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C316EACA-79D1-4463-BD75-A132492A9997}" xr6:coauthVersionLast="47" xr6:coauthVersionMax="47" xr10:uidLastSave="{00000000-0000-0000-0000-000000000000}"/>
  <bookViews>
    <workbookView xWindow="-120" yWindow="-120" windowWidth="29040" windowHeight="15840" xr2:uid="{81DC6904-D570-4EC7-8BCA-B52687810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500" i="1" l="1"/>
  <c r="AS1500" i="1"/>
  <c r="AT1499" i="1"/>
  <c r="AS1499" i="1"/>
  <c r="AT1498" i="1"/>
  <c r="AS1498" i="1"/>
  <c r="AT1497" i="1"/>
  <c r="AS1497" i="1"/>
  <c r="AR1497" i="1"/>
  <c r="AT1496" i="1"/>
  <c r="AS1496" i="1"/>
  <c r="AT1495" i="1"/>
  <c r="AS1495" i="1"/>
  <c r="AT1494" i="1"/>
  <c r="AS1494" i="1"/>
  <c r="AR1494" i="1"/>
  <c r="AT1493" i="1"/>
  <c r="AS1493" i="1"/>
  <c r="AT1492" i="1"/>
  <c r="AS1492" i="1"/>
  <c r="AT1491" i="1"/>
  <c r="AS1491" i="1"/>
  <c r="AT1490" i="1"/>
  <c r="AS1490" i="1"/>
  <c r="AT1489" i="1"/>
  <c r="AS1489" i="1"/>
  <c r="AR1489" i="1"/>
  <c r="AT1488" i="1"/>
  <c r="AS1488" i="1"/>
  <c r="AR1488" i="1"/>
  <c r="AT1487" i="1"/>
  <c r="AS1487" i="1"/>
  <c r="AT1486" i="1"/>
  <c r="AS1486" i="1"/>
  <c r="AT1485" i="1"/>
  <c r="AS1485" i="1"/>
  <c r="AT1484" i="1"/>
  <c r="AS1484" i="1"/>
  <c r="AR1484" i="1"/>
  <c r="AT1483" i="1"/>
  <c r="AS1483" i="1"/>
  <c r="AT1482" i="1"/>
  <c r="AS1482" i="1"/>
  <c r="AT1481" i="1"/>
  <c r="AS1481" i="1"/>
  <c r="AR1481" i="1"/>
  <c r="AT1480" i="1"/>
  <c r="AS1480" i="1"/>
  <c r="AT1479" i="1"/>
  <c r="AS1479" i="1"/>
  <c r="AT1478" i="1"/>
  <c r="AS1478" i="1"/>
  <c r="AR1478" i="1"/>
  <c r="AT1477" i="1"/>
  <c r="AS1477" i="1"/>
  <c r="AR1477" i="1"/>
  <c r="AT1476" i="1"/>
  <c r="AS1476" i="1"/>
  <c r="AR1476" i="1"/>
  <c r="AT1475" i="1"/>
  <c r="AS1475" i="1"/>
  <c r="AT1474" i="1"/>
  <c r="AS1474" i="1"/>
  <c r="AR1474" i="1"/>
  <c r="AT1473" i="1"/>
  <c r="AS1473" i="1"/>
  <c r="AR1473" i="1"/>
  <c r="AT1472" i="1"/>
  <c r="AS1472" i="1"/>
  <c r="AT1471" i="1"/>
  <c r="AS1471" i="1"/>
  <c r="AT1470" i="1"/>
  <c r="AS1470" i="1"/>
  <c r="AR1470" i="1"/>
  <c r="AT1469" i="1"/>
  <c r="AS1469" i="1"/>
  <c r="AR1469" i="1"/>
  <c r="AT1468" i="1"/>
  <c r="AS1468" i="1"/>
  <c r="AT1467" i="1"/>
  <c r="AS1467" i="1"/>
  <c r="AR1467" i="1"/>
  <c r="AT1466" i="1"/>
  <c r="AS1466" i="1"/>
  <c r="AT1465" i="1"/>
  <c r="AS1465" i="1"/>
  <c r="AR1465" i="1"/>
  <c r="AT1464" i="1"/>
  <c r="AS1464" i="1"/>
  <c r="AT1463" i="1"/>
  <c r="AS1463" i="1"/>
  <c r="AT1462" i="1"/>
  <c r="AS1462" i="1"/>
  <c r="AR1462" i="1"/>
  <c r="AT1461" i="1"/>
  <c r="AS1461" i="1"/>
  <c r="AR1461" i="1"/>
  <c r="AT1460" i="1"/>
  <c r="AS1460" i="1"/>
  <c r="AR1460" i="1"/>
  <c r="AT1459" i="1"/>
  <c r="AS1459" i="1"/>
  <c r="AR1459" i="1"/>
  <c r="AT1458" i="1"/>
  <c r="AS1458" i="1"/>
  <c r="AT1457" i="1"/>
  <c r="AS1457" i="1"/>
  <c r="AR1457" i="1"/>
  <c r="AT1456" i="1"/>
  <c r="AS1456" i="1"/>
  <c r="AR1456" i="1"/>
  <c r="AT1455" i="1"/>
  <c r="AS1455" i="1"/>
  <c r="AR1455" i="1"/>
  <c r="AT1454" i="1"/>
  <c r="AS1454" i="1"/>
  <c r="AR1454" i="1"/>
  <c r="AT1453" i="1"/>
  <c r="AS1453" i="1"/>
  <c r="AR1453" i="1"/>
  <c r="AT1452" i="1"/>
  <c r="AS1452" i="1"/>
  <c r="AT1451" i="1"/>
  <c r="AS1451" i="1"/>
  <c r="AR1451" i="1"/>
  <c r="AT1450" i="1"/>
  <c r="AS1450" i="1"/>
  <c r="AR1450" i="1"/>
  <c r="AT1449" i="1"/>
  <c r="AS1449" i="1"/>
  <c r="AT1448" i="1"/>
  <c r="AS1448" i="1"/>
  <c r="AR1448" i="1"/>
  <c r="AT1447" i="1"/>
  <c r="AS1447" i="1"/>
  <c r="AT1446" i="1"/>
  <c r="AS1446" i="1"/>
  <c r="AT1445" i="1"/>
  <c r="AS1445" i="1"/>
  <c r="AR1445" i="1"/>
  <c r="AT1444" i="1"/>
  <c r="AS1444" i="1"/>
  <c r="AR1444" i="1"/>
  <c r="AT1443" i="1"/>
  <c r="AS1443" i="1"/>
  <c r="AR1443" i="1"/>
  <c r="AT1442" i="1"/>
  <c r="AS1442" i="1"/>
  <c r="AT1441" i="1"/>
  <c r="AS1441" i="1"/>
  <c r="AR1441" i="1"/>
  <c r="AT1440" i="1"/>
  <c r="AS1440" i="1"/>
  <c r="AT1439" i="1"/>
  <c r="AS1439" i="1"/>
  <c r="AT1438" i="1"/>
  <c r="AS1438" i="1"/>
  <c r="AT1437" i="1"/>
  <c r="AS1437" i="1"/>
  <c r="AT1436" i="1"/>
  <c r="AS1436" i="1"/>
  <c r="AR1436" i="1"/>
  <c r="AT1435" i="1"/>
  <c r="AS1435" i="1"/>
  <c r="AT1434" i="1"/>
  <c r="AS1434" i="1"/>
  <c r="AR1434" i="1"/>
  <c r="AT1433" i="1"/>
  <c r="AS1433" i="1"/>
  <c r="AR1433" i="1"/>
  <c r="AT1432" i="1"/>
  <c r="AS1432" i="1"/>
  <c r="AR1432" i="1"/>
  <c r="AT1431" i="1"/>
  <c r="AS1431" i="1"/>
  <c r="AR1431" i="1"/>
  <c r="AT1430" i="1"/>
  <c r="AS1430" i="1"/>
  <c r="AR1430" i="1"/>
  <c r="AT1429" i="1"/>
  <c r="AS1429" i="1"/>
  <c r="AT1428" i="1"/>
  <c r="AS1428" i="1"/>
  <c r="AT1427" i="1"/>
  <c r="AS1427" i="1"/>
  <c r="AT1426" i="1"/>
  <c r="AS1426" i="1"/>
  <c r="AT1425" i="1"/>
  <c r="AS1425" i="1"/>
  <c r="AR1425" i="1"/>
  <c r="AT1424" i="1"/>
  <c r="AS1424" i="1"/>
  <c r="AT1423" i="1"/>
  <c r="AS1423" i="1"/>
  <c r="AT1422" i="1"/>
  <c r="AS1422" i="1"/>
  <c r="AT1421" i="1"/>
  <c r="AS1421" i="1"/>
  <c r="AR1421" i="1"/>
  <c r="AT1420" i="1"/>
  <c r="AS1420" i="1"/>
  <c r="AR1420" i="1"/>
  <c r="AT1419" i="1"/>
  <c r="AS1419" i="1"/>
  <c r="AR1419" i="1"/>
  <c r="AT1418" i="1"/>
  <c r="AS1418" i="1"/>
  <c r="AR1418" i="1"/>
  <c r="AT1417" i="1"/>
  <c r="AS1417" i="1"/>
  <c r="AT1416" i="1"/>
  <c r="AS1416" i="1"/>
  <c r="AR1416" i="1"/>
  <c r="AT1415" i="1"/>
  <c r="AS1415" i="1"/>
  <c r="AT1414" i="1"/>
  <c r="AS1414" i="1"/>
  <c r="AT1413" i="1"/>
  <c r="AS1413" i="1"/>
  <c r="AT1412" i="1"/>
  <c r="AS1412" i="1"/>
  <c r="AT1411" i="1"/>
  <c r="AS1411" i="1"/>
  <c r="AT1410" i="1"/>
  <c r="AS1410" i="1"/>
  <c r="AT1409" i="1"/>
  <c r="AS1409" i="1"/>
  <c r="AT1408" i="1"/>
  <c r="AS1408" i="1"/>
  <c r="AT1407" i="1"/>
  <c r="AS1407" i="1"/>
  <c r="AR1407" i="1"/>
  <c r="AT1406" i="1"/>
  <c r="AS1406" i="1"/>
  <c r="AT1405" i="1"/>
  <c r="AS1405" i="1"/>
  <c r="AT1404" i="1"/>
  <c r="AS1404" i="1"/>
  <c r="AT1403" i="1"/>
  <c r="AS1403" i="1"/>
  <c r="AT1402" i="1"/>
  <c r="AS1402" i="1"/>
  <c r="AT1401" i="1"/>
  <c r="AS1401" i="1"/>
  <c r="AT1400" i="1"/>
  <c r="AS1400" i="1"/>
  <c r="AT1399" i="1"/>
  <c r="AS1399" i="1"/>
  <c r="AT1398" i="1"/>
  <c r="AS1398" i="1"/>
  <c r="AT1397" i="1"/>
  <c r="AS1397" i="1"/>
  <c r="AR1397" i="1"/>
  <c r="AT1396" i="1"/>
  <c r="AS1396" i="1"/>
  <c r="AT1395" i="1"/>
  <c r="AS1395" i="1"/>
  <c r="AR1395" i="1"/>
  <c r="AT1394" i="1"/>
  <c r="AS1394" i="1"/>
  <c r="AT1393" i="1"/>
  <c r="AS1393" i="1"/>
  <c r="AT1392" i="1"/>
  <c r="AS1392" i="1"/>
  <c r="AR1392" i="1"/>
  <c r="AT1391" i="1"/>
  <c r="AS1391" i="1"/>
  <c r="AT1390" i="1"/>
  <c r="AS1390" i="1"/>
  <c r="AR1390" i="1"/>
  <c r="AT1389" i="1"/>
  <c r="AS1389" i="1"/>
  <c r="AR1389" i="1"/>
  <c r="AT1388" i="1"/>
  <c r="AS1388" i="1"/>
  <c r="AR1388" i="1"/>
  <c r="AT1387" i="1"/>
  <c r="AS1387" i="1"/>
  <c r="AT1386" i="1"/>
  <c r="AS1386" i="1"/>
  <c r="AT1385" i="1"/>
  <c r="AS1385" i="1"/>
  <c r="AR1385" i="1"/>
  <c r="AT1384" i="1"/>
  <c r="AS1384" i="1"/>
  <c r="AR1384" i="1"/>
  <c r="AT1383" i="1"/>
  <c r="AS1383" i="1"/>
  <c r="AT1382" i="1"/>
  <c r="AS1382" i="1"/>
  <c r="AR1382" i="1"/>
  <c r="AT1381" i="1"/>
  <c r="AS1381" i="1"/>
  <c r="AR1381" i="1"/>
  <c r="AT1380" i="1"/>
  <c r="AS1380" i="1"/>
  <c r="AR1380" i="1"/>
  <c r="AT1379" i="1"/>
  <c r="AS1379" i="1"/>
  <c r="AR1379" i="1"/>
  <c r="AT1378" i="1"/>
  <c r="AS1378" i="1"/>
  <c r="AT1377" i="1"/>
  <c r="AS1377" i="1"/>
  <c r="AR1377" i="1"/>
  <c r="AT1376" i="1"/>
  <c r="AS1376" i="1"/>
  <c r="AT1375" i="1"/>
  <c r="AS1375" i="1"/>
  <c r="AT1374" i="1"/>
  <c r="AS1374" i="1"/>
  <c r="AR1374" i="1"/>
  <c r="AT1373" i="1"/>
  <c r="AS1373" i="1"/>
  <c r="AR1373" i="1"/>
  <c r="AT1372" i="1"/>
  <c r="AS1372" i="1"/>
  <c r="AT1371" i="1"/>
  <c r="AS1371" i="1"/>
  <c r="AR1371" i="1"/>
  <c r="AT1370" i="1"/>
  <c r="AS1370" i="1"/>
  <c r="AR1370" i="1"/>
  <c r="AT1369" i="1"/>
  <c r="AS1369" i="1"/>
  <c r="AT1368" i="1"/>
  <c r="AS1368" i="1"/>
  <c r="AR1368" i="1"/>
  <c r="AT1367" i="1"/>
  <c r="AS1367" i="1"/>
  <c r="AR1367" i="1"/>
  <c r="AT1366" i="1"/>
  <c r="AS1366" i="1"/>
  <c r="AR1366" i="1"/>
  <c r="AT1365" i="1"/>
  <c r="AS1365" i="1"/>
  <c r="AT1364" i="1"/>
  <c r="AS1364" i="1"/>
  <c r="AT1363" i="1"/>
  <c r="AS1363" i="1"/>
  <c r="AR1363" i="1"/>
  <c r="AT1362" i="1"/>
  <c r="AS1362" i="1"/>
  <c r="AR1362" i="1"/>
  <c r="AT1361" i="1"/>
  <c r="AS1361" i="1"/>
  <c r="AT1360" i="1"/>
  <c r="AS1360" i="1"/>
  <c r="AT1359" i="1"/>
  <c r="AS1359" i="1"/>
  <c r="AT1358" i="1"/>
  <c r="AS1358" i="1"/>
  <c r="AR1358" i="1"/>
  <c r="AT1357" i="1"/>
  <c r="AS1357" i="1"/>
  <c r="AR1357" i="1"/>
  <c r="AT1356" i="1"/>
  <c r="AS1356" i="1"/>
  <c r="AR1356" i="1"/>
  <c r="AT1355" i="1"/>
  <c r="AS1355" i="1"/>
  <c r="AR1355" i="1"/>
  <c r="AT1354" i="1"/>
  <c r="AS1354" i="1"/>
  <c r="AT1353" i="1"/>
  <c r="AS1353" i="1"/>
  <c r="AT1352" i="1"/>
  <c r="AS1352" i="1"/>
  <c r="AR1352" i="1"/>
  <c r="AT1351" i="1"/>
  <c r="AS1351" i="1"/>
  <c r="AT1350" i="1"/>
  <c r="AS1350" i="1"/>
  <c r="AT1349" i="1"/>
  <c r="AS1349" i="1"/>
  <c r="AR1349" i="1"/>
  <c r="AT1348" i="1"/>
  <c r="AS1348" i="1"/>
  <c r="AR1348" i="1"/>
  <c r="AT1347" i="1"/>
  <c r="AS1347" i="1"/>
  <c r="AR1347" i="1"/>
  <c r="AT1346" i="1"/>
  <c r="AS1346" i="1"/>
  <c r="AR1346" i="1"/>
  <c r="AT1345" i="1"/>
  <c r="AS1345" i="1"/>
  <c r="AR1345" i="1"/>
  <c r="AT1344" i="1"/>
  <c r="AS1344" i="1"/>
  <c r="AR1344" i="1"/>
  <c r="AT1343" i="1"/>
  <c r="AS1343" i="1"/>
  <c r="AT1342" i="1"/>
  <c r="AS1342" i="1"/>
  <c r="AR1342" i="1"/>
  <c r="AT1341" i="1"/>
  <c r="AS1341" i="1"/>
  <c r="AT1340" i="1"/>
  <c r="AS1340" i="1"/>
  <c r="AT1339" i="1"/>
  <c r="AS1339" i="1"/>
  <c r="AT1338" i="1"/>
  <c r="AS1338" i="1"/>
  <c r="AT1337" i="1"/>
  <c r="AS1337" i="1"/>
  <c r="AR1337" i="1"/>
  <c r="AT1336" i="1"/>
  <c r="AS1336" i="1"/>
  <c r="AR1336" i="1"/>
  <c r="AT1335" i="1"/>
  <c r="AS1335" i="1"/>
  <c r="AR1335" i="1"/>
  <c r="AT1334" i="1"/>
  <c r="AS1334" i="1"/>
  <c r="AT1333" i="1"/>
  <c r="AS1333" i="1"/>
  <c r="AR1333" i="1"/>
  <c r="AT1332" i="1"/>
  <c r="AS1332" i="1"/>
  <c r="AT1331" i="1"/>
  <c r="AS1331" i="1"/>
  <c r="AR1331" i="1"/>
  <c r="AT1330" i="1"/>
  <c r="AS1330" i="1"/>
  <c r="AT1329" i="1"/>
  <c r="AS1329" i="1"/>
  <c r="AT1328" i="1"/>
  <c r="AS1328" i="1"/>
  <c r="AT1327" i="1"/>
  <c r="AS1327" i="1"/>
  <c r="AT1326" i="1"/>
  <c r="AS1326" i="1"/>
  <c r="AR1326" i="1"/>
  <c r="AT1325" i="1"/>
  <c r="AS1325" i="1"/>
  <c r="AT1324" i="1"/>
  <c r="AS1324" i="1"/>
  <c r="AT1323" i="1"/>
  <c r="AS1323" i="1"/>
  <c r="AT1322" i="1"/>
  <c r="AS1322" i="1"/>
  <c r="AT1321" i="1"/>
  <c r="AS1321" i="1"/>
  <c r="AR1321" i="1"/>
  <c r="AT1320" i="1"/>
  <c r="AS1320" i="1"/>
  <c r="AT1319" i="1"/>
  <c r="AS1319" i="1"/>
  <c r="AT1318" i="1"/>
  <c r="AS1318" i="1"/>
  <c r="AR1318" i="1"/>
  <c r="AT1317" i="1"/>
  <c r="AS1317" i="1"/>
  <c r="AT1316" i="1"/>
  <c r="AS1316" i="1"/>
  <c r="AT1315" i="1"/>
  <c r="AS1315" i="1"/>
  <c r="AR1315" i="1"/>
  <c r="AT1314" i="1"/>
  <c r="AS1314" i="1"/>
  <c r="AT1313" i="1"/>
  <c r="AS1313" i="1"/>
  <c r="AT1312" i="1"/>
  <c r="AS1312" i="1"/>
  <c r="AR1312" i="1"/>
  <c r="AT1311" i="1"/>
  <c r="AS1311" i="1"/>
  <c r="AT1310" i="1"/>
  <c r="AS1310" i="1"/>
  <c r="AT1309" i="1"/>
  <c r="AS1309" i="1"/>
  <c r="AT1308" i="1"/>
  <c r="AS1308" i="1"/>
  <c r="AR1308" i="1"/>
  <c r="AT1307" i="1"/>
  <c r="AS1307" i="1"/>
  <c r="AR1307" i="1"/>
  <c r="AT1306" i="1"/>
  <c r="AS1306" i="1"/>
  <c r="AR1306" i="1"/>
  <c r="AT1305" i="1"/>
  <c r="AS1305" i="1"/>
  <c r="AT1304" i="1"/>
  <c r="AS1304" i="1"/>
  <c r="AR1304" i="1"/>
  <c r="AT1303" i="1"/>
  <c r="AS1303" i="1"/>
  <c r="AT1302" i="1"/>
  <c r="AS1302" i="1"/>
  <c r="AR1302" i="1"/>
  <c r="AT1301" i="1"/>
  <c r="AS1301" i="1"/>
  <c r="AT1300" i="1"/>
  <c r="AS1300" i="1"/>
  <c r="AR1300" i="1"/>
  <c r="AT1299" i="1"/>
  <c r="AS1299" i="1"/>
  <c r="AR1299" i="1"/>
  <c r="AT1298" i="1"/>
  <c r="AS1298" i="1"/>
  <c r="AT1297" i="1"/>
  <c r="AS1297" i="1"/>
  <c r="AT1296" i="1"/>
  <c r="AS1296" i="1"/>
  <c r="AT1295" i="1"/>
  <c r="AS1295" i="1"/>
  <c r="AT1294" i="1"/>
  <c r="AS1294" i="1"/>
  <c r="AT1293" i="1"/>
  <c r="AS1293" i="1"/>
  <c r="AR1293" i="1"/>
  <c r="AT1292" i="1"/>
  <c r="AS1292" i="1"/>
  <c r="AR1292" i="1"/>
  <c r="AT1291" i="1"/>
  <c r="AS1291" i="1"/>
  <c r="AR1291" i="1"/>
  <c r="AT1290" i="1"/>
  <c r="AS1290" i="1"/>
  <c r="AT1289" i="1"/>
  <c r="AS1289" i="1"/>
  <c r="AT1288" i="1"/>
  <c r="AS1288" i="1"/>
  <c r="AR1288" i="1"/>
  <c r="AT1287" i="1"/>
  <c r="AS1287" i="1"/>
  <c r="AT1286" i="1"/>
  <c r="AS1286" i="1"/>
  <c r="AT1285" i="1"/>
  <c r="AS1285" i="1"/>
  <c r="AT1284" i="1"/>
  <c r="AS1284" i="1"/>
  <c r="AR1284" i="1"/>
  <c r="AT1283" i="1"/>
  <c r="AS1283" i="1"/>
  <c r="AR1283" i="1"/>
  <c r="AT1282" i="1"/>
  <c r="AS1282" i="1"/>
  <c r="AR1282" i="1"/>
  <c r="AT1281" i="1"/>
  <c r="AS1281" i="1"/>
  <c r="AT1280" i="1"/>
  <c r="AS1280" i="1"/>
  <c r="AR1280" i="1"/>
  <c r="AT1279" i="1"/>
  <c r="AS1279" i="1"/>
  <c r="AT1278" i="1"/>
  <c r="AS1278" i="1"/>
  <c r="AR1278" i="1"/>
  <c r="AT1277" i="1"/>
  <c r="AS1277" i="1"/>
  <c r="AT1276" i="1"/>
  <c r="AS1276" i="1"/>
  <c r="AT1275" i="1"/>
  <c r="AS1275" i="1"/>
  <c r="AR1275" i="1"/>
  <c r="AT1274" i="1"/>
  <c r="AS1274" i="1"/>
  <c r="AR1274" i="1"/>
  <c r="AT1273" i="1"/>
  <c r="AS1273" i="1"/>
  <c r="AT1272" i="1"/>
  <c r="AS1272" i="1"/>
  <c r="AR1272" i="1"/>
  <c r="AT1271" i="1"/>
  <c r="AS1271" i="1"/>
  <c r="AR1271" i="1"/>
  <c r="AT1270" i="1"/>
  <c r="AS1270" i="1"/>
  <c r="AT1269" i="1"/>
  <c r="AS1269" i="1"/>
  <c r="AT1268" i="1"/>
  <c r="AS1268" i="1"/>
  <c r="AR1268" i="1"/>
  <c r="AT1267" i="1"/>
  <c r="AS1267" i="1"/>
  <c r="AT1266" i="1"/>
  <c r="AS1266" i="1"/>
  <c r="AR1266" i="1"/>
  <c r="AT1265" i="1"/>
  <c r="AS1265" i="1"/>
  <c r="AT1264" i="1"/>
  <c r="AS1264" i="1"/>
  <c r="AT1263" i="1"/>
  <c r="AS1263" i="1"/>
  <c r="AR1263" i="1"/>
  <c r="AT1262" i="1"/>
  <c r="AS1262" i="1"/>
  <c r="AR1262" i="1"/>
  <c r="AT1261" i="1"/>
  <c r="AS1261" i="1"/>
  <c r="AR1261" i="1"/>
  <c r="AT1260" i="1"/>
  <c r="AS1260" i="1"/>
  <c r="AR1260" i="1"/>
  <c r="AT1259" i="1"/>
  <c r="AS1259" i="1"/>
  <c r="AT1258" i="1"/>
  <c r="AS1258" i="1"/>
  <c r="AR1258" i="1"/>
  <c r="AT1257" i="1"/>
  <c r="AS1257" i="1"/>
  <c r="AR1257" i="1"/>
  <c r="AT1256" i="1"/>
  <c r="AS1256" i="1"/>
  <c r="AR1256" i="1"/>
  <c r="AT1255" i="1"/>
  <c r="AS1255" i="1"/>
  <c r="AR1255" i="1"/>
  <c r="AT1254" i="1"/>
  <c r="AS1254" i="1"/>
  <c r="AR1254" i="1"/>
  <c r="AT1253" i="1"/>
  <c r="AS1253" i="1"/>
  <c r="AR1253" i="1"/>
  <c r="AT1252" i="1"/>
  <c r="AS1252" i="1"/>
  <c r="AT1251" i="1"/>
  <c r="AS1251" i="1"/>
  <c r="AT1250" i="1"/>
  <c r="AS1250" i="1"/>
  <c r="AR1250" i="1"/>
  <c r="AT1249" i="1"/>
  <c r="AS1249" i="1"/>
  <c r="AT1248" i="1"/>
  <c r="AS1248" i="1"/>
  <c r="AT1247" i="1"/>
  <c r="AS1247" i="1"/>
  <c r="AT1246" i="1"/>
  <c r="AS1246" i="1"/>
  <c r="AT1245" i="1"/>
  <c r="AS1245" i="1"/>
  <c r="AR1245" i="1"/>
  <c r="AT1244" i="1"/>
  <c r="AS1244" i="1"/>
  <c r="AT1243" i="1"/>
  <c r="AS1243" i="1"/>
  <c r="AT1242" i="1"/>
  <c r="AS1242" i="1"/>
  <c r="AT1241" i="1"/>
  <c r="AS1241" i="1"/>
  <c r="AR1241" i="1"/>
  <c r="AT1240" i="1"/>
  <c r="AS1240" i="1"/>
  <c r="AT1239" i="1"/>
  <c r="AS1239" i="1"/>
  <c r="AR1239" i="1"/>
  <c r="AT1238" i="1"/>
  <c r="AS1238" i="1"/>
  <c r="AT1237" i="1"/>
  <c r="AS1237" i="1"/>
  <c r="AR1237" i="1"/>
  <c r="AT1236" i="1"/>
  <c r="AS1236" i="1"/>
  <c r="AR1236" i="1"/>
  <c r="AT1235" i="1"/>
  <c r="AS1235" i="1"/>
  <c r="AT1234" i="1"/>
  <c r="AS1234" i="1"/>
  <c r="AT1233" i="1"/>
  <c r="AS1233" i="1"/>
  <c r="AT1232" i="1"/>
  <c r="AS1232" i="1"/>
  <c r="AT1231" i="1"/>
  <c r="AS1231" i="1"/>
  <c r="AT1230" i="1"/>
  <c r="AS1230" i="1"/>
  <c r="AT1229" i="1"/>
  <c r="AS1229" i="1"/>
  <c r="AT1228" i="1"/>
  <c r="AS1228" i="1"/>
  <c r="AT1227" i="1"/>
  <c r="AS1227" i="1"/>
  <c r="AT1226" i="1"/>
  <c r="AS1226" i="1"/>
  <c r="AR1226" i="1"/>
  <c r="AT1225" i="1"/>
  <c r="AS1225" i="1"/>
  <c r="AT1224" i="1"/>
  <c r="AS1224" i="1"/>
  <c r="AR1224" i="1"/>
  <c r="AT1223" i="1"/>
  <c r="AS1223" i="1"/>
  <c r="AR1223" i="1"/>
  <c r="AT1222" i="1"/>
  <c r="AS1222" i="1"/>
  <c r="AT1221" i="1"/>
  <c r="AS1221" i="1"/>
  <c r="AT1220" i="1"/>
  <c r="AS1220" i="1"/>
  <c r="AT1219" i="1"/>
  <c r="AS1219" i="1"/>
  <c r="AT1218" i="1"/>
  <c r="AS1218" i="1"/>
  <c r="AT1217" i="1"/>
  <c r="AS1217" i="1"/>
  <c r="AR1217" i="1"/>
  <c r="AT1216" i="1"/>
  <c r="AS1216" i="1"/>
  <c r="AR1216" i="1"/>
  <c r="AT1215" i="1"/>
  <c r="AS1215" i="1"/>
  <c r="AT1214" i="1"/>
  <c r="AS1214" i="1"/>
  <c r="AR1214" i="1"/>
  <c r="AT1213" i="1"/>
  <c r="AS1213" i="1"/>
  <c r="AT1212" i="1"/>
  <c r="AS1212" i="1"/>
  <c r="AT1211" i="1"/>
  <c r="AS1211" i="1"/>
  <c r="AR1211" i="1"/>
  <c r="AT1210" i="1"/>
  <c r="AS1210" i="1"/>
  <c r="AR1210" i="1"/>
  <c r="AT1209" i="1"/>
  <c r="AS1209" i="1"/>
  <c r="AT1208" i="1"/>
  <c r="AS1208" i="1"/>
  <c r="AR1208" i="1"/>
  <c r="AT1207" i="1"/>
  <c r="AS1207" i="1"/>
  <c r="AT1206" i="1"/>
  <c r="AS1206" i="1"/>
  <c r="AT1205" i="1"/>
  <c r="AS1205" i="1"/>
  <c r="AR1205" i="1"/>
  <c r="AT1204" i="1"/>
  <c r="AS1204" i="1"/>
  <c r="AR1204" i="1"/>
  <c r="AT1203" i="1"/>
  <c r="AS1203" i="1"/>
  <c r="AR1203" i="1"/>
  <c r="AT1202" i="1"/>
  <c r="AS1202" i="1"/>
  <c r="AR1202" i="1"/>
  <c r="AT1201" i="1"/>
  <c r="AS1201" i="1"/>
  <c r="AR1201" i="1"/>
  <c r="AT1200" i="1"/>
  <c r="AS1200" i="1"/>
  <c r="AR1200" i="1"/>
  <c r="AT1199" i="1"/>
  <c r="AS1199" i="1"/>
  <c r="AR1199" i="1"/>
  <c r="AT1198" i="1"/>
  <c r="AS1198" i="1"/>
  <c r="AR1198" i="1"/>
  <c r="AT1197" i="1"/>
  <c r="AS1197" i="1"/>
  <c r="AT1196" i="1"/>
  <c r="AS1196" i="1"/>
  <c r="AT1195" i="1"/>
  <c r="AS1195" i="1"/>
  <c r="AT1194" i="1"/>
  <c r="AS1194" i="1"/>
  <c r="AT1193" i="1"/>
  <c r="AS1193" i="1"/>
  <c r="AT1192" i="1"/>
  <c r="AS1192" i="1"/>
  <c r="AR1192" i="1"/>
  <c r="AT1191" i="1"/>
  <c r="AS1191" i="1"/>
  <c r="AR1191" i="1"/>
  <c r="AT1190" i="1"/>
  <c r="AS1190" i="1"/>
  <c r="AT1189" i="1"/>
  <c r="AS1189" i="1"/>
  <c r="AT1188" i="1"/>
  <c r="AS1188" i="1"/>
  <c r="AR1188" i="1"/>
  <c r="AT1187" i="1"/>
  <c r="AS1187" i="1"/>
  <c r="AR1187" i="1"/>
  <c r="AT1186" i="1"/>
  <c r="AS1186" i="1"/>
  <c r="AR1186" i="1"/>
  <c r="AT1185" i="1"/>
  <c r="AS1185" i="1"/>
  <c r="AR1185" i="1"/>
  <c r="AT1184" i="1"/>
  <c r="AS1184" i="1"/>
  <c r="AT1183" i="1"/>
  <c r="AS1183" i="1"/>
  <c r="AT1182" i="1"/>
  <c r="AS1182" i="1"/>
  <c r="AR1182" i="1"/>
  <c r="AT1181" i="1"/>
  <c r="AS1181" i="1"/>
  <c r="AR1181" i="1"/>
  <c r="AT1180" i="1"/>
  <c r="AS1180" i="1"/>
  <c r="AT1179" i="1"/>
  <c r="AS1179" i="1"/>
  <c r="AR1179" i="1"/>
  <c r="AT1178" i="1"/>
  <c r="AS1178" i="1"/>
  <c r="AT1177" i="1"/>
  <c r="AS1177" i="1"/>
  <c r="AT1176" i="1"/>
  <c r="AS1176" i="1"/>
  <c r="AT1175" i="1"/>
  <c r="AS1175" i="1"/>
  <c r="AR1175" i="1"/>
  <c r="AT1174" i="1"/>
  <c r="AS1174" i="1"/>
  <c r="AT1173" i="1"/>
  <c r="AS1173" i="1"/>
  <c r="AT1172" i="1"/>
  <c r="AS1172" i="1"/>
  <c r="AT1171" i="1"/>
  <c r="AS1171" i="1"/>
  <c r="AR1171" i="1"/>
  <c r="AT1170" i="1"/>
  <c r="AS1170" i="1"/>
  <c r="AR1170" i="1"/>
  <c r="AT1169" i="1"/>
  <c r="AS1169" i="1"/>
  <c r="AT1168" i="1"/>
  <c r="AS1168" i="1"/>
  <c r="AT1167" i="1"/>
  <c r="AS1167" i="1"/>
  <c r="AT1166" i="1"/>
  <c r="AS1166" i="1"/>
  <c r="AR1166" i="1"/>
  <c r="AT1165" i="1"/>
  <c r="AS1165" i="1"/>
  <c r="AR1165" i="1"/>
  <c r="AT1164" i="1"/>
  <c r="AS1164" i="1"/>
  <c r="AT1163" i="1"/>
  <c r="AS1163" i="1"/>
  <c r="AT1162" i="1"/>
  <c r="AS1162" i="1"/>
  <c r="AT1161" i="1"/>
  <c r="AS1161" i="1"/>
  <c r="AT1160" i="1"/>
  <c r="AS1160" i="1"/>
  <c r="AT1159" i="1"/>
  <c r="AS1159" i="1"/>
  <c r="AT1158" i="1"/>
  <c r="AS1158" i="1"/>
  <c r="AT1157" i="1"/>
  <c r="AS1157" i="1"/>
  <c r="AR1157" i="1"/>
  <c r="AT1156" i="1"/>
  <c r="AS1156" i="1"/>
  <c r="AR1156" i="1"/>
  <c r="AT1155" i="1"/>
  <c r="AS1155" i="1"/>
  <c r="AR1155" i="1"/>
  <c r="AT1154" i="1"/>
  <c r="AS1154" i="1"/>
  <c r="AT1153" i="1"/>
  <c r="AS1153" i="1"/>
  <c r="AR1153" i="1"/>
  <c r="AT1152" i="1"/>
  <c r="AS1152" i="1"/>
  <c r="AR1152" i="1"/>
  <c r="AT1151" i="1"/>
  <c r="AS1151" i="1"/>
  <c r="AR1151" i="1"/>
  <c r="AT1150" i="1"/>
  <c r="AS1150" i="1"/>
  <c r="AR1150" i="1"/>
  <c r="AT1149" i="1"/>
  <c r="AS1149" i="1"/>
  <c r="AT1148" i="1"/>
  <c r="AS1148" i="1"/>
  <c r="AT1147" i="1"/>
  <c r="AS1147" i="1"/>
  <c r="AR1147" i="1"/>
  <c r="AT1146" i="1"/>
  <c r="AS1146" i="1"/>
  <c r="AR1146" i="1"/>
  <c r="AT1145" i="1"/>
  <c r="AS1145" i="1"/>
  <c r="AT1144" i="1"/>
  <c r="AS1144" i="1"/>
  <c r="AT1143" i="1"/>
  <c r="AS1143" i="1"/>
  <c r="AR1143" i="1"/>
  <c r="AT1142" i="1"/>
  <c r="AS1142" i="1"/>
  <c r="AR1142" i="1"/>
  <c r="AT1141" i="1"/>
  <c r="AS1141" i="1"/>
  <c r="AT1140" i="1"/>
  <c r="AS1140" i="1"/>
  <c r="AR1140" i="1"/>
  <c r="AT1139" i="1"/>
  <c r="AS1139" i="1"/>
  <c r="AT1138" i="1"/>
  <c r="AS1138" i="1"/>
  <c r="AR1138" i="1"/>
  <c r="AT1137" i="1"/>
  <c r="AS1137" i="1"/>
  <c r="AT1136" i="1"/>
  <c r="AS1136" i="1"/>
  <c r="AT1135" i="1"/>
  <c r="AS1135" i="1"/>
  <c r="AR1135" i="1"/>
  <c r="AT1134" i="1"/>
  <c r="AS1134" i="1"/>
  <c r="AT1133" i="1"/>
  <c r="AS1133" i="1"/>
  <c r="AT1132" i="1"/>
  <c r="AS1132" i="1"/>
  <c r="AR1132" i="1"/>
  <c r="AT1131" i="1"/>
  <c r="AS1131" i="1"/>
  <c r="AR1131" i="1"/>
  <c r="AT1130" i="1"/>
  <c r="AS1130" i="1"/>
  <c r="AR1130" i="1"/>
  <c r="AT1129" i="1"/>
  <c r="AS1129" i="1"/>
  <c r="AT1128" i="1"/>
  <c r="AS1128" i="1"/>
  <c r="AT1127" i="1"/>
  <c r="AS1127" i="1"/>
  <c r="AR1127" i="1"/>
  <c r="AT1126" i="1"/>
  <c r="AS1126" i="1"/>
  <c r="AR1126" i="1"/>
  <c r="AT1125" i="1"/>
  <c r="AS1125" i="1"/>
  <c r="AR1125" i="1"/>
  <c r="AT1124" i="1"/>
  <c r="AS1124" i="1"/>
  <c r="AR1124" i="1"/>
  <c r="AT1123" i="1"/>
  <c r="AS1123" i="1"/>
  <c r="AR1123" i="1"/>
  <c r="AT1122" i="1"/>
  <c r="AS1122" i="1"/>
  <c r="AR1122" i="1"/>
  <c r="AT1121" i="1"/>
  <c r="AS1121" i="1"/>
  <c r="AT1120" i="1"/>
  <c r="AS1120" i="1"/>
  <c r="AT1119" i="1"/>
  <c r="AS1119" i="1"/>
  <c r="AR1119" i="1"/>
  <c r="AT1118" i="1"/>
  <c r="AS1118" i="1"/>
  <c r="AT1117" i="1"/>
  <c r="AS1117" i="1"/>
  <c r="AT1116" i="1"/>
  <c r="AS1116" i="1"/>
  <c r="AT1115" i="1"/>
  <c r="AS1115" i="1"/>
  <c r="AR1115" i="1"/>
  <c r="AT1114" i="1"/>
  <c r="AS1114" i="1"/>
  <c r="AT1113" i="1"/>
  <c r="AS1113" i="1"/>
  <c r="AR1113" i="1"/>
  <c r="AT1112" i="1"/>
  <c r="AS1112" i="1"/>
  <c r="AT1111" i="1"/>
  <c r="AS1111" i="1"/>
  <c r="AR1111" i="1"/>
  <c r="AT1110" i="1"/>
  <c r="AS1110" i="1"/>
  <c r="AR1110" i="1"/>
  <c r="AT1109" i="1"/>
  <c r="AS1109" i="1"/>
  <c r="AT1108" i="1"/>
  <c r="AS1108" i="1"/>
  <c r="AT1107" i="1"/>
  <c r="AS1107" i="1"/>
  <c r="AT1106" i="1"/>
  <c r="AS1106" i="1"/>
  <c r="AT1105" i="1"/>
  <c r="AS1105" i="1"/>
  <c r="AT1104" i="1"/>
  <c r="AS1104" i="1"/>
  <c r="AT1103" i="1"/>
  <c r="AS1103" i="1"/>
  <c r="AT1102" i="1"/>
  <c r="AS1102" i="1"/>
  <c r="AR1102" i="1"/>
  <c r="AT1101" i="1"/>
  <c r="AS1101" i="1"/>
  <c r="AT1100" i="1"/>
  <c r="AS1100" i="1"/>
  <c r="AR1100" i="1"/>
  <c r="AT1099" i="1"/>
  <c r="AS1099" i="1"/>
  <c r="AR1099" i="1"/>
  <c r="AT1098" i="1"/>
  <c r="AS1098" i="1"/>
  <c r="AR1098" i="1"/>
  <c r="AT1097" i="1"/>
  <c r="AS1097" i="1"/>
  <c r="AR1097" i="1"/>
  <c r="AT1096" i="1"/>
  <c r="AS1096" i="1"/>
  <c r="AR1096" i="1"/>
  <c r="AT1095" i="1"/>
  <c r="AS1095" i="1"/>
  <c r="AT1094" i="1"/>
  <c r="AS1094" i="1"/>
  <c r="AR1094" i="1"/>
  <c r="AT1093" i="1"/>
  <c r="AS1093" i="1"/>
  <c r="AR1093" i="1"/>
  <c r="AT1092" i="1"/>
  <c r="AS1092" i="1"/>
  <c r="AT1091" i="1"/>
  <c r="AS1091" i="1"/>
  <c r="AR1091" i="1"/>
  <c r="AT1090" i="1"/>
  <c r="AS1090" i="1"/>
  <c r="AR1090" i="1"/>
  <c r="AT1089" i="1"/>
  <c r="AS1089" i="1"/>
  <c r="AT1088" i="1"/>
  <c r="AS1088" i="1"/>
  <c r="AR1088" i="1"/>
  <c r="AT1087" i="1"/>
  <c r="AS1087" i="1"/>
  <c r="AT1086" i="1"/>
  <c r="AS1086" i="1"/>
  <c r="AR1086" i="1"/>
  <c r="AT1085" i="1"/>
  <c r="AS1085" i="1"/>
  <c r="AR1085" i="1"/>
  <c r="AT1084" i="1"/>
  <c r="AS1084" i="1"/>
  <c r="AR1084" i="1"/>
  <c r="AT1083" i="1"/>
  <c r="AS1083" i="1"/>
  <c r="AR1083" i="1"/>
  <c r="AT1082" i="1"/>
  <c r="AS1082" i="1"/>
  <c r="AR1082" i="1"/>
  <c r="AT1081" i="1"/>
  <c r="AS1081" i="1"/>
  <c r="AR1081" i="1"/>
  <c r="AT1080" i="1"/>
  <c r="AS1080" i="1"/>
  <c r="AR1080" i="1"/>
  <c r="AT1079" i="1"/>
  <c r="AS1079" i="1"/>
  <c r="AT1078" i="1"/>
  <c r="AS1078" i="1"/>
  <c r="AT1077" i="1"/>
  <c r="AS1077" i="1"/>
  <c r="AT1076" i="1"/>
  <c r="AS1076" i="1"/>
  <c r="AT1075" i="1"/>
  <c r="AS1075" i="1"/>
  <c r="AR1075" i="1"/>
  <c r="AT1074" i="1"/>
  <c r="AS1074" i="1"/>
  <c r="AT1073" i="1"/>
  <c r="AS1073" i="1"/>
  <c r="AT1072" i="1"/>
  <c r="AS1072" i="1"/>
  <c r="AR1072" i="1"/>
  <c r="AT1071" i="1"/>
  <c r="AS1071" i="1"/>
  <c r="AT1070" i="1"/>
  <c r="AS1070" i="1"/>
  <c r="AT1069" i="1"/>
  <c r="AS1069" i="1"/>
  <c r="AT1068" i="1"/>
  <c r="AS1068" i="1"/>
  <c r="AT1067" i="1"/>
  <c r="AS1067" i="1"/>
  <c r="AT1066" i="1"/>
  <c r="AS1066" i="1"/>
  <c r="AT1065" i="1"/>
  <c r="AS1065" i="1"/>
  <c r="AT1064" i="1"/>
  <c r="AS1064" i="1"/>
  <c r="AR1064" i="1"/>
  <c r="AT1063" i="1"/>
  <c r="AS1063" i="1"/>
  <c r="AT1062" i="1"/>
  <c r="AS1062" i="1"/>
  <c r="AT1061" i="1"/>
  <c r="AS1061" i="1"/>
  <c r="AT1060" i="1"/>
  <c r="AS1060" i="1"/>
  <c r="AR1060" i="1"/>
  <c r="AT1059" i="1"/>
  <c r="AS1059" i="1"/>
  <c r="AT1058" i="1"/>
  <c r="AS1058" i="1"/>
  <c r="AR1058" i="1"/>
  <c r="AT1057" i="1"/>
  <c r="AS1057" i="1"/>
  <c r="AR1057" i="1"/>
  <c r="AT1056" i="1"/>
  <c r="AS1056" i="1"/>
  <c r="AR1056" i="1"/>
  <c r="AT1055" i="1"/>
  <c r="AS1055" i="1"/>
  <c r="AR1055" i="1"/>
  <c r="AT1054" i="1"/>
  <c r="AS1054" i="1"/>
  <c r="AT1053" i="1"/>
  <c r="AS1053" i="1"/>
  <c r="AR1053" i="1"/>
  <c r="AT1052" i="1"/>
  <c r="AS1052" i="1"/>
  <c r="AT1051" i="1"/>
  <c r="AS1051" i="1"/>
  <c r="AT1050" i="1"/>
  <c r="AS1050" i="1"/>
  <c r="AT1049" i="1"/>
  <c r="AS1049" i="1"/>
  <c r="AT1048" i="1"/>
  <c r="AS1048" i="1"/>
  <c r="AT1047" i="1"/>
  <c r="AS1047" i="1"/>
  <c r="AT1046" i="1"/>
  <c r="AS1046" i="1"/>
  <c r="AT1045" i="1"/>
  <c r="AS1045" i="1"/>
  <c r="AT1044" i="1"/>
  <c r="AS1044" i="1"/>
  <c r="AT1043" i="1"/>
  <c r="AS1043" i="1"/>
  <c r="AT1042" i="1"/>
  <c r="AS1042" i="1"/>
  <c r="AT1041" i="1"/>
  <c r="AS1041" i="1"/>
  <c r="AT1040" i="1"/>
  <c r="AS1040" i="1"/>
  <c r="AT1039" i="1"/>
  <c r="AS1039" i="1"/>
  <c r="AR1039" i="1"/>
  <c r="AT1038" i="1"/>
  <c r="AS1038" i="1"/>
  <c r="AR1038" i="1"/>
  <c r="AT1037" i="1"/>
  <c r="AS1037" i="1"/>
  <c r="AT1036" i="1"/>
  <c r="AS1036" i="1"/>
  <c r="AR1036" i="1"/>
  <c r="AT1035" i="1"/>
  <c r="AS1035" i="1"/>
  <c r="AT1034" i="1"/>
  <c r="AS1034" i="1"/>
  <c r="AT1033" i="1"/>
  <c r="AS1033" i="1"/>
  <c r="AR1033" i="1"/>
  <c r="AT1032" i="1"/>
  <c r="AS1032" i="1"/>
  <c r="AR1032" i="1"/>
  <c r="AT1031" i="1"/>
  <c r="AS1031" i="1"/>
  <c r="AR1031" i="1"/>
  <c r="AT1030" i="1"/>
  <c r="AS1030" i="1"/>
  <c r="AR1030" i="1"/>
  <c r="AT1029" i="1"/>
  <c r="AS1029" i="1"/>
  <c r="AT1028" i="1"/>
  <c r="AS1028" i="1"/>
  <c r="AR1028" i="1"/>
  <c r="AT1027" i="1"/>
  <c r="AS1027" i="1"/>
  <c r="AT1026" i="1"/>
  <c r="AS1026" i="1"/>
  <c r="AT1025" i="1"/>
  <c r="AS1025" i="1"/>
  <c r="AR1025" i="1"/>
  <c r="AT1024" i="1"/>
  <c r="AS1024" i="1"/>
  <c r="AR1024" i="1"/>
  <c r="AT1023" i="1"/>
  <c r="AS1023" i="1"/>
  <c r="AR1023" i="1"/>
  <c r="AT1022" i="1"/>
  <c r="AS1022" i="1"/>
  <c r="AR1022" i="1"/>
  <c r="AT1021" i="1"/>
  <c r="AS1021" i="1"/>
  <c r="AR1021" i="1"/>
  <c r="AT1020" i="1"/>
  <c r="AS1020" i="1"/>
  <c r="AR1020" i="1"/>
  <c r="AT1019" i="1"/>
  <c r="AS1019" i="1"/>
  <c r="AR1019" i="1"/>
  <c r="AT1018" i="1"/>
  <c r="AS1018" i="1"/>
  <c r="AR1018" i="1"/>
  <c r="AT1017" i="1"/>
  <c r="AS1017" i="1"/>
  <c r="AT1016" i="1"/>
  <c r="AS1016" i="1"/>
  <c r="AR1016" i="1"/>
  <c r="AT1015" i="1"/>
  <c r="AS1015" i="1"/>
  <c r="AR1015" i="1"/>
  <c r="AT1014" i="1"/>
  <c r="AS1014" i="1"/>
  <c r="AR1014" i="1"/>
  <c r="AT1013" i="1"/>
  <c r="AS1013" i="1"/>
  <c r="AT1012" i="1"/>
  <c r="AS1012" i="1"/>
  <c r="AR1012" i="1"/>
  <c r="AT1011" i="1"/>
  <c r="AS1011" i="1"/>
  <c r="AR1011" i="1"/>
  <c r="AT1010" i="1"/>
  <c r="AS1010" i="1"/>
  <c r="AT1009" i="1"/>
  <c r="AS1009" i="1"/>
  <c r="AT1008" i="1"/>
  <c r="AS1008" i="1"/>
  <c r="AT1007" i="1"/>
  <c r="AS1007" i="1"/>
  <c r="AR1007" i="1"/>
  <c r="AT1006" i="1"/>
  <c r="AS1006" i="1"/>
  <c r="AT1005" i="1"/>
  <c r="AS1005" i="1"/>
  <c r="AT1004" i="1"/>
  <c r="AS1004" i="1"/>
  <c r="AT1003" i="1"/>
  <c r="AS1003" i="1"/>
  <c r="AR1003" i="1"/>
  <c r="AT1002" i="1"/>
  <c r="AS1002" i="1"/>
  <c r="AT1001" i="1"/>
  <c r="AS1001" i="1"/>
  <c r="AT1000" i="1"/>
  <c r="AS1000" i="1"/>
  <c r="AT999" i="1"/>
  <c r="AS999" i="1"/>
  <c r="AR999" i="1"/>
  <c r="AT998" i="1"/>
  <c r="AS998" i="1"/>
  <c r="AT997" i="1"/>
  <c r="AS997" i="1"/>
  <c r="AR997" i="1"/>
  <c r="AT996" i="1"/>
  <c r="AS996" i="1"/>
  <c r="AT995" i="1"/>
  <c r="AS995" i="1"/>
  <c r="AR995" i="1"/>
  <c r="AT994" i="1"/>
  <c r="AS994" i="1"/>
  <c r="AR994" i="1"/>
  <c r="AT993" i="1"/>
  <c r="AS993" i="1"/>
  <c r="AR993" i="1"/>
  <c r="AT992" i="1"/>
  <c r="AS992" i="1"/>
  <c r="AT991" i="1"/>
  <c r="AS991" i="1"/>
  <c r="AR991" i="1"/>
  <c r="AT990" i="1"/>
  <c r="AS990" i="1"/>
  <c r="AT989" i="1"/>
  <c r="AS989" i="1"/>
  <c r="AR989" i="1"/>
  <c r="AT988" i="1"/>
  <c r="AS988" i="1"/>
  <c r="AT987" i="1"/>
  <c r="AS987" i="1"/>
  <c r="AT986" i="1"/>
  <c r="AS986" i="1"/>
  <c r="AR986" i="1"/>
  <c r="AT985" i="1"/>
  <c r="AS985" i="1"/>
  <c r="AT984" i="1"/>
  <c r="AS984" i="1"/>
  <c r="AR984" i="1"/>
  <c r="AT983" i="1"/>
  <c r="AS983" i="1"/>
  <c r="AR983" i="1"/>
  <c r="AT982" i="1"/>
  <c r="AS982" i="1"/>
  <c r="AR982" i="1"/>
  <c r="AT981" i="1"/>
  <c r="AS981" i="1"/>
  <c r="AT980" i="1"/>
  <c r="AS980" i="1"/>
  <c r="AR980" i="1"/>
  <c r="AT979" i="1"/>
  <c r="AS979" i="1"/>
  <c r="AT978" i="1"/>
  <c r="AS978" i="1"/>
  <c r="AT977" i="1"/>
  <c r="AS977" i="1"/>
  <c r="AT976" i="1"/>
  <c r="AS976" i="1"/>
  <c r="AT975" i="1"/>
  <c r="AS975" i="1"/>
  <c r="AT974" i="1"/>
  <c r="AS974" i="1"/>
  <c r="AT973" i="1"/>
  <c r="AS973" i="1"/>
  <c r="AR973" i="1"/>
  <c r="AT972" i="1"/>
  <c r="AS972" i="1"/>
  <c r="AR972" i="1"/>
  <c r="AT971" i="1"/>
  <c r="AS971" i="1"/>
  <c r="AR971" i="1"/>
  <c r="AT970" i="1"/>
  <c r="AS970" i="1"/>
  <c r="AR970" i="1"/>
  <c r="AT969" i="1"/>
  <c r="AS969" i="1"/>
  <c r="AR969" i="1"/>
  <c r="AT968" i="1"/>
  <c r="AS968" i="1"/>
  <c r="AT967" i="1"/>
  <c r="AS967" i="1"/>
  <c r="AR967" i="1"/>
  <c r="AT966" i="1"/>
  <c r="AS966" i="1"/>
  <c r="AT965" i="1"/>
  <c r="AS965" i="1"/>
  <c r="AT964" i="1"/>
  <c r="AS964" i="1"/>
  <c r="AT963" i="1"/>
  <c r="AS963" i="1"/>
  <c r="AR963" i="1"/>
  <c r="AT962" i="1"/>
  <c r="AS962" i="1"/>
  <c r="AT961" i="1"/>
  <c r="AS961" i="1"/>
  <c r="AT960" i="1"/>
  <c r="AS960" i="1"/>
  <c r="AR960" i="1"/>
  <c r="AT959" i="1"/>
  <c r="AS959" i="1"/>
  <c r="AR959" i="1"/>
  <c r="AT958" i="1"/>
  <c r="AS958" i="1"/>
  <c r="AR958" i="1"/>
  <c r="AT957" i="1"/>
  <c r="AS957" i="1"/>
  <c r="AT956" i="1"/>
  <c r="AS956" i="1"/>
  <c r="AR956" i="1"/>
  <c r="AT955" i="1"/>
  <c r="AS955" i="1"/>
  <c r="AT954" i="1"/>
  <c r="AS954" i="1"/>
  <c r="AT953" i="1"/>
  <c r="AS953" i="1"/>
  <c r="AR953" i="1"/>
  <c r="AT952" i="1"/>
  <c r="AS952" i="1"/>
  <c r="AR952" i="1"/>
  <c r="AT951" i="1"/>
  <c r="AS951" i="1"/>
  <c r="AT950" i="1"/>
  <c r="AS950" i="1"/>
  <c r="AR950" i="1"/>
  <c r="AT949" i="1"/>
  <c r="AS949" i="1"/>
  <c r="AT948" i="1"/>
  <c r="AS948" i="1"/>
  <c r="AR948" i="1"/>
  <c r="AT947" i="1"/>
  <c r="AS947" i="1"/>
  <c r="AT946" i="1"/>
  <c r="AS946" i="1"/>
  <c r="AR946" i="1"/>
  <c r="AT945" i="1"/>
  <c r="AS945" i="1"/>
  <c r="AR945" i="1"/>
  <c r="AT944" i="1"/>
  <c r="AS944" i="1"/>
  <c r="AR944" i="1"/>
  <c r="AT943" i="1"/>
  <c r="AS943" i="1"/>
  <c r="AR943" i="1"/>
  <c r="AT942" i="1"/>
  <c r="AS942" i="1"/>
  <c r="AT941" i="1"/>
  <c r="AS941" i="1"/>
  <c r="AR941" i="1"/>
  <c r="AT940" i="1"/>
  <c r="AS940" i="1"/>
  <c r="AT939" i="1"/>
  <c r="AS939" i="1"/>
  <c r="AR939" i="1"/>
  <c r="AT938" i="1"/>
  <c r="AS938" i="1"/>
  <c r="AR938" i="1"/>
  <c r="AT937" i="1"/>
  <c r="AS937" i="1"/>
  <c r="AR937" i="1"/>
  <c r="AT936" i="1"/>
  <c r="AS936" i="1"/>
  <c r="AT935" i="1"/>
  <c r="AS935" i="1"/>
  <c r="AR935" i="1"/>
  <c r="AT934" i="1"/>
  <c r="AS934" i="1"/>
  <c r="AR934" i="1"/>
  <c r="AT933" i="1"/>
  <c r="AS933" i="1"/>
  <c r="AT932" i="1"/>
  <c r="AS932" i="1"/>
  <c r="AR932" i="1"/>
  <c r="AT931" i="1"/>
  <c r="AS931" i="1"/>
  <c r="AT930" i="1"/>
  <c r="AS930" i="1"/>
  <c r="AR930" i="1"/>
  <c r="AT929" i="1"/>
  <c r="AS929" i="1"/>
  <c r="AR929" i="1"/>
  <c r="AT928" i="1"/>
  <c r="AS928" i="1"/>
  <c r="AR928" i="1"/>
  <c r="AT927" i="1"/>
  <c r="AS927" i="1"/>
  <c r="AT926" i="1"/>
  <c r="AS926" i="1"/>
  <c r="AR926" i="1"/>
  <c r="AT925" i="1"/>
  <c r="AS925" i="1"/>
  <c r="AR925" i="1"/>
  <c r="AT924" i="1"/>
  <c r="AS924" i="1"/>
  <c r="AT923" i="1"/>
  <c r="AS923" i="1"/>
  <c r="AR923" i="1"/>
  <c r="AT922" i="1"/>
  <c r="AS922" i="1"/>
  <c r="AR922" i="1"/>
  <c r="AT921" i="1"/>
  <c r="AS921" i="1"/>
  <c r="AR921" i="1"/>
  <c r="AT920" i="1"/>
  <c r="AS920" i="1"/>
  <c r="AT919" i="1"/>
  <c r="AS919" i="1"/>
  <c r="AT918" i="1"/>
  <c r="AS918" i="1"/>
  <c r="AR918" i="1"/>
  <c r="AT917" i="1"/>
  <c r="AS917" i="1"/>
  <c r="AT916" i="1"/>
  <c r="AS916" i="1"/>
  <c r="AR916" i="1"/>
  <c r="AT915" i="1"/>
  <c r="AS915" i="1"/>
  <c r="AR915" i="1"/>
  <c r="AT914" i="1"/>
  <c r="AS914" i="1"/>
  <c r="AT913" i="1"/>
  <c r="AS913" i="1"/>
  <c r="AT912" i="1"/>
  <c r="AS912" i="1"/>
  <c r="AR912" i="1"/>
  <c r="AT911" i="1"/>
  <c r="AS911" i="1"/>
  <c r="AT910" i="1"/>
  <c r="AS910" i="1"/>
  <c r="AT909" i="1"/>
  <c r="AS909" i="1"/>
  <c r="AT908" i="1"/>
  <c r="AS908" i="1"/>
  <c r="AR908" i="1"/>
  <c r="AT907" i="1"/>
  <c r="AS907" i="1"/>
  <c r="AT906" i="1"/>
  <c r="AS906" i="1"/>
  <c r="AT905" i="1"/>
  <c r="AS905" i="1"/>
  <c r="AT904" i="1"/>
  <c r="AS904" i="1"/>
  <c r="AT903" i="1"/>
  <c r="AS903" i="1"/>
  <c r="AR903" i="1"/>
  <c r="AT902" i="1"/>
  <c r="AS902" i="1"/>
  <c r="AT901" i="1"/>
  <c r="AS901" i="1"/>
  <c r="AT900" i="1"/>
  <c r="AS900" i="1"/>
  <c r="AR900" i="1"/>
  <c r="AT899" i="1"/>
  <c r="AS899" i="1"/>
  <c r="AR899" i="1"/>
  <c r="AT898" i="1"/>
  <c r="AS898" i="1"/>
  <c r="AT897" i="1"/>
  <c r="AS897" i="1"/>
  <c r="AR897" i="1"/>
  <c r="AT896" i="1"/>
  <c r="AS896" i="1"/>
  <c r="AR896" i="1"/>
  <c r="AT895" i="1"/>
  <c r="AS895" i="1"/>
  <c r="AT894" i="1"/>
  <c r="AS894" i="1"/>
  <c r="AR894" i="1"/>
  <c r="AT893" i="1"/>
  <c r="AS893" i="1"/>
  <c r="AR893" i="1"/>
  <c r="AT892" i="1"/>
  <c r="AS892" i="1"/>
  <c r="AT891" i="1"/>
  <c r="AS891" i="1"/>
  <c r="AT890" i="1"/>
  <c r="AS890" i="1"/>
  <c r="AR890" i="1"/>
  <c r="AT889" i="1"/>
  <c r="AS889" i="1"/>
  <c r="AR889" i="1"/>
  <c r="AT888" i="1"/>
  <c r="AS888" i="1"/>
  <c r="AT887" i="1"/>
  <c r="AS887" i="1"/>
  <c r="AR887" i="1"/>
  <c r="AT886" i="1"/>
  <c r="AS886" i="1"/>
  <c r="AR886" i="1"/>
  <c r="AT885" i="1"/>
  <c r="AS885" i="1"/>
  <c r="AR885" i="1"/>
  <c r="AT884" i="1"/>
  <c r="AS884" i="1"/>
  <c r="AT883" i="1"/>
  <c r="AS883" i="1"/>
  <c r="AR883" i="1"/>
  <c r="AT882" i="1"/>
  <c r="AS882" i="1"/>
  <c r="AT881" i="1"/>
  <c r="AS881" i="1"/>
  <c r="AT880" i="1"/>
  <c r="AS880" i="1"/>
  <c r="AR880" i="1"/>
  <c r="AT879" i="1"/>
  <c r="AS879" i="1"/>
  <c r="AT878" i="1"/>
  <c r="AS878" i="1"/>
  <c r="AT877" i="1"/>
  <c r="AS877" i="1"/>
  <c r="AR877" i="1"/>
  <c r="AT876" i="1"/>
  <c r="AS876" i="1"/>
  <c r="AT875" i="1"/>
  <c r="AS875" i="1"/>
  <c r="AT874" i="1"/>
  <c r="AS874" i="1"/>
  <c r="AT873" i="1"/>
  <c r="AS873" i="1"/>
  <c r="AT872" i="1"/>
  <c r="AS872" i="1"/>
  <c r="AR872" i="1"/>
  <c r="AT871" i="1"/>
  <c r="AS871" i="1"/>
  <c r="AR871" i="1"/>
  <c r="AT870" i="1"/>
  <c r="AS870" i="1"/>
  <c r="AR870" i="1"/>
  <c r="AT869" i="1"/>
  <c r="AS869" i="1"/>
  <c r="AT868" i="1"/>
  <c r="AS868" i="1"/>
  <c r="AR868" i="1"/>
  <c r="AT867" i="1"/>
  <c r="AS867" i="1"/>
  <c r="AT866" i="1"/>
  <c r="AS866" i="1"/>
  <c r="AR866" i="1"/>
  <c r="AT865" i="1"/>
  <c r="AS865" i="1"/>
  <c r="AR865" i="1"/>
  <c r="AT864" i="1"/>
  <c r="AS864" i="1"/>
  <c r="AT863" i="1"/>
  <c r="AS863" i="1"/>
  <c r="AT862" i="1"/>
  <c r="AS862" i="1"/>
  <c r="AR862" i="1"/>
  <c r="AT861" i="1"/>
  <c r="AS861" i="1"/>
  <c r="AR861" i="1"/>
  <c r="AT860" i="1"/>
  <c r="AS860" i="1"/>
  <c r="AR860" i="1"/>
  <c r="AT859" i="1"/>
  <c r="AS859" i="1"/>
  <c r="AR859" i="1"/>
  <c r="AT858" i="1"/>
  <c r="AS858" i="1"/>
  <c r="AR858" i="1"/>
  <c r="AT857" i="1"/>
  <c r="AS857" i="1"/>
  <c r="AR857" i="1"/>
  <c r="AT856" i="1"/>
  <c r="AS856" i="1"/>
  <c r="AT855" i="1"/>
  <c r="AS855" i="1"/>
  <c r="AT854" i="1"/>
  <c r="AS854" i="1"/>
  <c r="AT853" i="1"/>
  <c r="AS853" i="1"/>
  <c r="AR853" i="1"/>
  <c r="AT852" i="1"/>
  <c r="AS852" i="1"/>
  <c r="AT851" i="1"/>
  <c r="AS851" i="1"/>
  <c r="AT850" i="1"/>
  <c r="AS850" i="1"/>
  <c r="AT849" i="1"/>
  <c r="AS849" i="1"/>
  <c r="AT848" i="1"/>
  <c r="AS848" i="1"/>
  <c r="AR848" i="1"/>
  <c r="AT847" i="1"/>
  <c r="AS847" i="1"/>
  <c r="AR847" i="1"/>
  <c r="AT846" i="1"/>
  <c r="AS846" i="1"/>
  <c r="AR846" i="1"/>
  <c r="AT845" i="1"/>
  <c r="AS845" i="1"/>
  <c r="AT844" i="1"/>
  <c r="AS844" i="1"/>
  <c r="AT843" i="1"/>
  <c r="AS843" i="1"/>
  <c r="AT842" i="1"/>
  <c r="AS842" i="1"/>
  <c r="AT841" i="1"/>
  <c r="AS841" i="1"/>
  <c r="AR841" i="1"/>
  <c r="AT840" i="1"/>
  <c r="AS840" i="1"/>
  <c r="AT839" i="1"/>
  <c r="AS839" i="1"/>
  <c r="AT838" i="1"/>
  <c r="AS838" i="1"/>
  <c r="AT837" i="1"/>
  <c r="AS837" i="1"/>
  <c r="AR837" i="1"/>
  <c r="AT836" i="1"/>
  <c r="AS836" i="1"/>
  <c r="AT835" i="1"/>
  <c r="AS835" i="1"/>
  <c r="AT834" i="1"/>
  <c r="AS834" i="1"/>
  <c r="AT833" i="1"/>
  <c r="AS833" i="1"/>
  <c r="AT832" i="1"/>
  <c r="AS832" i="1"/>
  <c r="AR832" i="1"/>
  <c r="AT831" i="1"/>
  <c r="AS831" i="1"/>
  <c r="AT830" i="1"/>
  <c r="AS830" i="1"/>
  <c r="AR830" i="1"/>
  <c r="AT829" i="1"/>
  <c r="AS829" i="1"/>
  <c r="AT828" i="1"/>
  <c r="AS828" i="1"/>
  <c r="AR828" i="1"/>
  <c r="AT827" i="1"/>
  <c r="AS827" i="1"/>
  <c r="AT826" i="1"/>
  <c r="AS826" i="1"/>
  <c r="AT825" i="1"/>
  <c r="AS825" i="1"/>
  <c r="AT824" i="1"/>
  <c r="AS824" i="1"/>
  <c r="AT823" i="1"/>
  <c r="AS823" i="1"/>
  <c r="AT822" i="1"/>
  <c r="AS822" i="1"/>
  <c r="AT821" i="1"/>
  <c r="AS821" i="1"/>
  <c r="AT820" i="1"/>
  <c r="AS820" i="1"/>
  <c r="AR820" i="1"/>
  <c r="AT819" i="1"/>
  <c r="AS819" i="1"/>
  <c r="AT818" i="1"/>
  <c r="AS818" i="1"/>
  <c r="AT817" i="1"/>
  <c r="AS817" i="1"/>
  <c r="AT816" i="1"/>
  <c r="AS816" i="1"/>
  <c r="AT815" i="1"/>
  <c r="AS815" i="1"/>
  <c r="AR815" i="1"/>
  <c r="AT814" i="1"/>
  <c r="AS814" i="1"/>
  <c r="AT813" i="1"/>
  <c r="AS813" i="1"/>
  <c r="AR813" i="1"/>
  <c r="AT812" i="1"/>
  <c r="AS812" i="1"/>
  <c r="AR812" i="1"/>
  <c r="AT811" i="1"/>
  <c r="AS811" i="1"/>
  <c r="AT810" i="1"/>
  <c r="AS810" i="1"/>
  <c r="AT809" i="1"/>
  <c r="AS809" i="1"/>
  <c r="AT808" i="1"/>
  <c r="AS808" i="1"/>
  <c r="AT807" i="1"/>
  <c r="AS807" i="1"/>
  <c r="AT806" i="1"/>
  <c r="AS806" i="1"/>
  <c r="AR806" i="1"/>
  <c r="AT805" i="1"/>
  <c r="AS805" i="1"/>
  <c r="AR805" i="1"/>
  <c r="AT804" i="1"/>
  <c r="AS804" i="1"/>
  <c r="AR804" i="1"/>
  <c r="AT803" i="1"/>
  <c r="AS803" i="1"/>
  <c r="AR803" i="1"/>
  <c r="AT802" i="1"/>
  <c r="AS802" i="1"/>
  <c r="AT801" i="1"/>
  <c r="AS801" i="1"/>
  <c r="AR801" i="1"/>
  <c r="AT800" i="1"/>
  <c r="AS800" i="1"/>
  <c r="AR800" i="1"/>
  <c r="AT799" i="1"/>
  <c r="AS799" i="1"/>
  <c r="AR799" i="1"/>
  <c r="AT798" i="1"/>
  <c r="AS798" i="1"/>
  <c r="AT797" i="1"/>
  <c r="AS797" i="1"/>
  <c r="AT796" i="1"/>
  <c r="AS796" i="1"/>
  <c r="AR796" i="1"/>
  <c r="AT795" i="1"/>
  <c r="AS795" i="1"/>
  <c r="AR795" i="1"/>
  <c r="AT794" i="1"/>
  <c r="AS794" i="1"/>
  <c r="AT793" i="1"/>
  <c r="AS793" i="1"/>
  <c r="AT792" i="1"/>
  <c r="AS792" i="1"/>
  <c r="AT791" i="1"/>
  <c r="AS791" i="1"/>
  <c r="AT790" i="1"/>
  <c r="AS790" i="1"/>
  <c r="AR790" i="1"/>
  <c r="AT789" i="1"/>
  <c r="AS789" i="1"/>
  <c r="AT788" i="1"/>
  <c r="AS788" i="1"/>
  <c r="AT787" i="1"/>
  <c r="AS787" i="1"/>
  <c r="AR787" i="1"/>
  <c r="AT786" i="1"/>
  <c r="AS786" i="1"/>
  <c r="AT785" i="1"/>
  <c r="AS785" i="1"/>
  <c r="AR785" i="1"/>
  <c r="AT784" i="1"/>
  <c r="AS784" i="1"/>
  <c r="AR784" i="1"/>
  <c r="AT783" i="1"/>
  <c r="AS783" i="1"/>
  <c r="AR783" i="1"/>
  <c r="AT782" i="1"/>
  <c r="AS782" i="1"/>
  <c r="AR782" i="1"/>
  <c r="AT781" i="1"/>
  <c r="AS781" i="1"/>
  <c r="AR781" i="1"/>
  <c r="AT780" i="1"/>
  <c r="AS780" i="1"/>
  <c r="AR780" i="1"/>
  <c r="AT779" i="1"/>
  <c r="AS779" i="1"/>
  <c r="AT778" i="1"/>
  <c r="AS778" i="1"/>
  <c r="AT777" i="1"/>
  <c r="AS777" i="1"/>
  <c r="AT776" i="1"/>
  <c r="AS776" i="1"/>
  <c r="AT775" i="1"/>
  <c r="AS775" i="1"/>
  <c r="AT774" i="1"/>
  <c r="AS774" i="1"/>
  <c r="AR774" i="1"/>
  <c r="AT773" i="1"/>
  <c r="AS773" i="1"/>
  <c r="AR773" i="1"/>
  <c r="AT772" i="1"/>
  <c r="AS772" i="1"/>
  <c r="AR772" i="1"/>
  <c r="AT771" i="1"/>
  <c r="AS771" i="1"/>
  <c r="AT770" i="1"/>
  <c r="AS770" i="1"/>
  <c r="AT769" i="1"/>
  <c r="AS769" i="1"/>
  <c r="AR769" i="1"/>
  <c r="AT768" i="1"/>
  <c r="AS768" i="1"/>
  <c r="AR768" i="1"/>
  <c r="AT767" i="1"/>
  <c r="AS767" i="1"/>
  <c r="AT766" i="1"/>
  <c r="AS766" i="1"/>
  <c r="AT765" i="1"/>
  <c r="AS765" i="1"/>
  <c r="AR765" i="1"/>
  <c r="AT764" i="1"/>
  <c r="AS764" i="1"/>
  <c r="AT763" i="1"/>
  <c r="AS763" i="1"/>
  <c r="AR763" i="1"/>
  <c r="AT762" i="1"/>
  <c r="AS762" i="1"/>
  <c r="AR762" i="1"/>
  <c r="AT761" i="1"/>
  <c r="AS761" i="1"/>
  <c r="AT760" i="1"/>
  <c r="AS760" i="1"/>
  <c r="AT759" i="1"/>
  <c r="AS759" i="1"/>
  <c r="AT758" i="1"/>
  <c r="AS758" i="1"/>
  <c r="AT757" i="1"/>
  <c r="AS757" i="1"/>
  <c r="AT756" i="1"/>
  <c r="AS756" i="1"/>
  <c r="AR756" i="1"/>
  <c r="AT755" i="1"/>
  <c r="AS755" i="1"/>
  <c r="AT754" i="1"/>
  <c r="AS754" i="1"/>
  <c r="AT753" i="1"/>
  <c r="AS753" i="1"/>
  <c r="AR753" i="1"/>
  <c r="AT752" i="1"/>
  <c r="AS752" i="1"/>
  <c r="AR752" i="1"/>
  <c r="AT751" i="1"/>
  <c r="AS751" i="1"/>
  <c r="AT750" i="1"/>
  <c r="AS750" i="1"/>
  <c r="AR750" i="1"/>
  <c r="AT749" i="1"/>
  <c r="AS749" i="1"/>
  <c r="AR749" i="1"/>
  <c r="AT748" i="1"/>
  <c r="AS748" i="1"/>
  <c r="AT747" i="1"/>
  <c r="AS747" i="1"/>
  <c r="AT746" i="1"/>
  <c r="AS746" i="1"/>
  <c r="AR746" i="1"/>
  <c r="AT745" i="1"/>
  <c r="AS745" i="1"/>
  <c r="AR745" i="1"/>
  <c r="AT744" i="1"/>
  <c r="AS744" i="1"/>
  <c r="AR744" i="1"/>
  <c r="AT743" i="1"/>
  <c r="AS743" i="1"/>
  <c r="AR743" i="1"/>
  <c r="AT742" i="1"/>
  <c r="AS742" i="1"/>
  <c r="AT741" i="1"/>
  <c r="AS741" i="1"/>
  <c r="AR741" i="1"/>
  <c r="AT740" i="1"/>
  <c r="AS740" i="1"/>
  <c r="AT739" i="1"/>
  <c r="AS739" i="1"/>
  <c r="AT738" i="1"/>
  <c r="AS738" i="1"/>
  <c r="AT737" i="1"/>
  <c r="AS737" i="1"/>
  <c r="AT736" i="1"/>
  <c r="AS736" i="1"/>
  <c r="AR736" i="1"/>
  <c r="AT735" i="1"/>
  <c r="AS735" i="1"/>
  <c r="AR735" i="1"/>
  <c r="AT734" i="1"/>
  <c r="AS734" i="1"/>
  <c r="AT733" i="1"/>
  <c r="AS733" i="1"/>
  <c r="AT732" i="1"/>
  <c r="AS732" i="1"/>
  <c r="AT731" i="1"/>
  <c r="AS731" i="1"/>
  <c r="AR731" i="1"/>
  <c r="AT730" i="1"/>
  <c r="AS730" i="1"/>
  <c r="AT729" i="1"/>
  <c r="AS729" i="1"/>
  <c r="AR729" i="1"/>
  <c r="AT728" i="1"/>
  <c r="AS728" i="1"/>
  <c r="AR728" i="1"/>
  <c r="AT727" i="1"/>
  <c r="AS727" i="1"/>
  <c r="AT726" i="1"/>
  <c r="AS726" i="1"/>
  <c r="AT725" i="1"/>
  <c r="AS725" i="1"/>
  <c r="AT724" i="1"/>
  <c r="AS724" i="1"/>
  <c r="AT723" i="1"/>
  <c r="AS723" i="1"/>
  <c r="AR723" i="1"/>
  <c r="AT722" i="1"/>
  <c r="AS722" i="1"/>
  <c r="AT721" i="1"/>
  <c r="AS721" i="1"/>
  <c r="AR721" i="1"/>
  <c r="AT720" i="1"/>
  <c r="AS720" i="1"/>
  <c r="AR720" i="1"/>
  <c r="AT719" i="1"/>
  <c r="AS719" i="1"/>
  <c r="AR719" i="1"/>
  <c r="AT718" i="1"/>
  <c r="AS718" i="1"/>
  <c r="AR718" i="1"/>
  <c r="AT717" i="1"/>
  <c r="AS717" i="1"/>
  <c r="AR717" i="1"/>
  <c r="AT716" i="1"/>
  <c r="AS716" i="1"/>
  <c r="AR716" i="1"/>
  <c r="AT715" i="1"/>
  <c r="AS715" i="1"/>
  <c r="AR715" i="1"/>
  <c r="AT714" i="1"/>
  <c r="AS714" i="1"/>
  <c r="AR714" i="1"/>
  <c r="AT713" i="1"/>
  <c r="AS713" i="1"/>
  <c r="AR713" i="1"/>
  <c r="AT712" i="1"/>
  <c r="AS712" i="1"/>
  <c r="AR712" i="1"/>
  <c r="AT711" i="1"/>
  <c r="AS711" i="1"/>
  <c r="AR711" i="1"/>
  <c r="AT710" i="1"/>
  <c r="AS710" i="1"/>
  <c r="AT709" i="1"/>
  <c r="AS709" i="1"/>
  <c r="AR709" i="1"/>
  <c r="AT708" i="1"/>
  <c r="AS708" i="1"/>
  <c r="AR708" i="1"/>
  <c r="AT707" i="1"/>
  <c r="AS707" i="1"/>
  <c r="AT706" i="1"/>
  <c r="AS706" i="1"/>
  <c r="AR706" i="1"/>
  <c r="AT705" i="1"/>
  <c r="AS705" i="1"/>
  <c r="AR705" i="1"/>
  <c r="AT704" i="1"/>
  <c r="AS704" i="1"/>
  <c r="AT703" i="1"/>
  <c r="AS703" i="1"/>
  <c r="AR703" i="1"/>
  <c r="AT702" i="1"/>
  <c r="AS702" i="1"/>
  <c r="AT701" i="1"/>
  <c r="AS701" i="1"/>
  <c r="AT700" i="1"/>
  <c r="AS700" i="1"/>
  <c r="AT699" i="1"/>
  <c r="AS699" i="1"/>
  <c r="AT698" i="1"/>
  <c r="AS698" i="1"/>
  <c r="AT697" i="1"/>
  <c r="AS697" i="1"/>
  <c r="AT696" i="1"/>
  <c r="AS696" i="1"/>
  <c r="AT695" i="1"/>
  <c r="AS695" i="1"/>
  <c r="AT694" i="1"/>
  <c r="AS694" i="1"/>
  <c r="AT693" i="1"/>
  <c r="AS693" i="1"/>
  <c r="AT692" i="1"/>
  <c r="AS692" i="1"/>
  <c r="AT691" i="1"/>
  <c r="AS691" i="1"/>
  <c r="AT690" i="1"/>
  <c r="AS690" i="1"/>
  <c r="AT689" i="1"/>
  <c r="AS689" i="1"/>
  <c r="AT688" i="1"/>
  <c r="AS688" i="1"/>
  <c r="AR688" i="1"/>
  <c r="AT687" i="1"/>
  <c r="AS687" i="1"/>
  <c r="AR687" i="1"/>
  <c r="AT686" i="1"/>
  <c r="AS686" i="1"/>
  <c r="AR686" i="1"/>
  <c r="AT685" i="1"/>
  <c r="AS685" i="1"/>
  <c r="AT684" i="1"/>
  <c r="AS684" i="1"/>
  <c r="AR684" i="1"/>
  <c r="AT683" i="1"/>
  <c r="AS683" i="1"/>
  <c r="AT682" i="1"/>
  <c r="AS682" i="1"/>
  <c r="AT681" i="1"/>
  <c r="AS681" i="1"/>
  <c r="AR681" i="1"/>
  <c r="AT680" i="1"/>
  <c r="AS680" i="1"/>
  <c r="AT679" i="1"/>
  <c r="AS679" i="1"/>
  <c r="AT678" i="1"/>
  <c r="AS678" i="1"/>
  <c r="AR678" i="1"/>
  <c r="AT677" i="1"/>
  <c r="AS677" i="1"/>
  <c r="AT676" i="1"/>
  <c r="AS676" i="1"/>
  <c r="AT675" i="1"/>
  <c r="AS675" i="1"/>
  <c r="AT674" i="1"/>
  <c r="AS674" i="1"/>
  <c r="AT673" i="1"/>
  <c r="AS673" i="1"/>
  <c r="AR673" i="1"/>
  <c r="AT672" i="1"/>
  <c r="AS672" i="1"/>
  <c r="AT671" i="1"/>
  <c r="AS671" i="1"/>
  <c r="AT670" i="1"/>
  <c r="AS670" i="1"/>
  <c r="AT669" i="1"/>
  <c r="AS669" i="1"/>
  <c r="AT668" i="1"/>
  <c r="AS668" i="1"/>
  <c r="AR668" i="1"/>
  <c r="AT667" i="1"/>
  <c r="AS667" i="1"/>
  <c r="AT666" i="1"/>
  <c r="AS666" i="1"/>
  <c r="AR666" i="1"/>
  <c r="AT665" i="1"/>
  <c r="AS665" i="1"/>
  <c r="AR665" i="1"/>
  <c r="AT664" i="1"/>
  <c r="AS664" i="1"/>
  <c r="AT663" i="1"/>
  <c r="AS663" i="1"/>
  <c r="AT662" i="1"/>
  <c r="AS662" i="1"/>
  <c r="AT661" i="1"/>
  <c r="AS661" i="1"/>
  <c r="AT660" i="1"/>
  <c r="AS660" i="1"/>
  <c r="AR660" i="1"/>
  <c r="AT659" i="1"/>
  <c r="AS659" i="1"/>
  <c r="AR659" i="1"/>
  <c r="AT658" i="1"/>
  <c r="AS658" i="1"/>
  <c r="AT657" i="1"/>
  <c r="AS657" i="1"/>
  <c r="AT656" i="1"/>
  <c r="AS656" i="1"/>
  <c r="AT655" i="1"/>
  <c r="AS655" i="1"/>
  <c r="AT654" i="1"/>
  <c r="AS654" i="1"/>
  <c r="AT653" i="1"/>
  <c r="AS653" i="1"/>
  <c r="AT652" i="1"/>
  <c r="AS652" i="1"/>
  <c r="AT651" i="1"/>
  <c r="AS651" i="1"/>
  <c r="AR651" i="1"/>
  <c r="AT650" i="1"/>
  <c r="AS650" i="1"/>
  <c r="AT649" i="1"/>
  <c r="AS649" i="1"/>
  <c r="AT648" i="1"/>
  <c r="AS648" i="1"/>
  <c r="AR648" i="1"/>
  <c r="AT647" i="1"/>
  <c r="AS647" i="1"/>
  <c r="AT646" i="1"/>
  <c r="AS646" i="1"/>
  <c r="AR646" i="1"/>
  <c r="AT645" i="1"/>
  <c r="AS645" i="1"/>
  <c r="AT644" i="1"/>
  <c r="AS644" i="1"/>
  <c r="AT643" i="1"/>
  <c r="AS643" i="1"/>
  <c r="AT642" i="1"/>
  <c r="AS642" i="1"/>
  <c r="AT641" i="1"/>
  <c r="AS641" i="1"/>
  <c r="AT640" i="1"/>
  <c r="AS640" i="1"/>
  <c r="AR640" i="1"/>
  <c r="AT639" i="1"/>
  <c r="AS639" i="1"/>
  <c r="AT638" i="1"/>
  <c r="AS638" i="1"/>
  <c r="AT637" i="1"/>
  <c r="AS637" i="1"/>
  <c r="AT636" i="1"/>
  <c r="AS636" i="1"/>
  <c r="AT635" i="1"/>
  <c r="AS635" i="1"/>
  <c r="AT634" i="1"/>
  <c r="AS634" i="1"/>
  <c r="AR634" i="1"/>
  <c r="AT633" i="1"/>
  <c r="AS633" i="1"/>
  <c r="AT632" i="1"/>
  <c r="AS632" i="1"/>
  <c r="AT631" i="1"/>
  <c r="AS631" i="1"/>
  <c r="AT630" i="1"/>
  <c r="AS630" i="1"/>
  <c r="AT629" i="1"/>
  <c r="AS629" i="1"/>
  <c r="AT628" i="1"/>
  <c r="AS628" i="1"/>
  <c r="AT627" i="1"/>
  <c r="AS627" i="1"/>
  <c r="AT626" i="1"/>
  <c r="AS626" i="1"/>
  <c r="AT625" i="1"/>
  <c r="AS625" i="1"/>
  <c r="AT624" i="1"/>
  <c r="AS624" i="1"/>
  <c r="AT623" i="1"/>
  <c r="AS623" i="1"/>
  <c r="AT622" i="1"/>
  <c r="AS622" i="1"/>
  <c r="AT621" i="1"/>
  <c r="AS621" i="1"/>
  <c r="AT620" i="1"/>
  <c r="AS620" i="1"/>
  <c r="AT619" i="1"/>
  <c r="AS619" i="1"/>
  <c r="AT618" i="1"/>
  <c r="AS618" i="1"/>
  <c r="AT617" i="1"/>
  <c r="AS617" i="1"/>
  <c r="AR617" i="1"/>
  <c r="AT616" i="1"/>
  <c r="AS616" i="1"/>
  <c r="AR616" i="1"/>
  <c r="AT615" i="1"/>
  <c r="AS615" i="1"/>
  <c r="AR615" i="1"/>
  <c r="AT614" i="1"/>
  <c r="AS614" i="1"/>
  <c r="AT613" i="1"/>
  <c r="AS613" i="1"/>
  <c r="AT612" i="1"/>
  <c r="AS612" i="1"/>
  <c r="AT611" i="1"/>
  <c r="AS611" i="1"/>
  <c r="AT610" i="1"/>
  <c r="AS610" i="1"/>
  <c r="AT609" i="1"/>
  <c r="AS609" i="1"/>
  <c r="AR609" i="1"/>
  <c r="AT608" i="1"/>
  <c r="AS608" i="1"/>
  <c r="AT607" i="1"/>
  <c r="AS607" i="1"/>
  <c r="AT606" i="1"/>
  <c r="AS606" i="1"/>
  <c r="AT605" i="1"/>
  <c r="AS605" i="1"/>
  <c r="AR605" i="1"/>
  <c r="AT604" i="1"/>
  <c r="AS604" i="1"/>
  <c r="AT603" i="1"/>
  <c r="AS603" i="1"/>
  <c r="AT602" i="1"/>
  <c r="AS602" i="1"/>
  <c r="AT601" i="1"/>
  <c r="AS601" i="1"/>
  <c r="AT600" i="1"/>
  <c r="AS600" i="1"/>
  <c r="AT599" i="1"/>
  <c r="AS599" i="1"/>
  <c r="AT598" i="1"/>
  <c r="AS598" i="1"/>
  <c r="AT597" i="1"/>
  <c r="AS597" i="1"/>
  <c r="AT596" i="1"/>
  <c r="AS596" i="1"/>
  <c r="AT595" i="1"/>
  <c r="AS595" i="1"/>
  <c r="AT594" i="1"/>
  <c r="AS594" i="1"/>
  <c r="AT593" i="1"/>
  <c r="AS593" i="1"/>
  <c r="AT592" i="1"/>
  <c r="AS592" i="1"/>
  <c r="AR592" i="1"/>
  <c r="AT591" i="1"/>
  <c r="AS591" i="1"/>
  <c r="AT590" i="1"/>
  <c r="AS590" i="1"/>
  <c r="AR590" i="1"/>
  <c r="AT589" i="1"/>
  <c r="AS589" i="1"/>
  <c r="AT588" i="1"/>
  <c r="AS588" i="1"/>
  <c r="AR588" i="1"/>
  <c r="AT587" i="1"/>
  <c r="AS587" i="1"/>
  <c r="AT586" i="1"/>
  <c r="AS586" i="1"/>
  <c r="AT585" i="1"/>
  <c r="AS585" i="1"/>
  <c r="AT584" i="1"/>
  <c r="AS584" i="1"/>
  <c r="AT583" i="1"/>
  <c r="AS583" i="1"/>
  <c r="AT582" i="1"/>
  <c r="AS582" i="1"/>
  <c r="AT581" i="1"/>
  <c r="AS581" i="1"/>
  <c r="AT580" i="1"/>
  <c r="AS580" i="1"/>
  <c r="AR580" i="1"/>
  <c r="AT579" i="1"/>
  <c r="AS579" i="1"/>
  <c r="AR579" i="1"/>
  <c r="AT578" i="1"/>
  <c r="AS578" i="1"/>
  <c r="AR578" i="1"/>
  <c r="AT577" i="1"/>
  <c r="AS577" i="1"/>
  <c r="AR577" i="1"/>
  <c r="AT576" i="1"/>
  <c r="AS576" i="1"/>
  <c r="AR576" i="1"/>
  <c r="AT575" i="1"/>
  <c r="AS575" i="1"/>
  <c r="AT574" i="1"/>
  <c r="AS574" i="1"/>
  <c r="AR574" i="1"/>
  <c r="AT573" i="1"/>
  <c r="AS573" i="1"/>
  <c r="AR573" i="1"/>
  <c r="AT572" i="1"/>
  <c r="AS572" i="1"/>
  <c r="AR572" i="1"/>
  <c r="AT571" i="1"/>
  <c r="AS571" i="1"/>
  <c r="AR571" i="1"/>
  <c r="AT570" i="1"/>
  <c r="AS570" i="1"/>
  <c r="AR570" i="1"/>
  <c r="AT569" i="1"/>
  <c r="AS569" i="1"/>
  <c r="AR569" i="1"/>
  <c r="AT568" i="1"/>
  <c r="AS568" i="1"/>
  <c r="AR568" i="1"/>
  <c r="AT567" i="1"/>
  <c r="AS567" i="1"/>
  <c r="AR567" i="1"/>
  <c r="AT566" i="1"/>
  <c r="AS566" i="1"/>
  <c r="AR566" i="1"/>
  <c r="AT565" i="1"/>
  <c r="AS565" i="1"/>
  <c r="AR565" i="1"/>
  <c r="AT564" i="1"/>
  <c r="AS564" i="1"/>
  <c r="AR564" i="1"/>
  <c r="AT563" i="1"/>
  <c r="AS563" i="1"/>
  <c r="AR563" i="1"/>
  <c r="AT562" i="1"/>
  <c r="AS562" i="1"/>
  <c r="AR562" i="1"/>
  <c r="AT561" i="1"/>
  <c r="AS561" i="1"/>
  <c r="AT560" i="1"/>
  <c r="AS560" i="1"/>
  <c r="AT559" i="1"/>
  <c r="AS559" i="1"/>
  <c r="AT558" i="1"/>
  <c r="AS558" i="1"/>
  <c r="AT557" i="1"/>
  <c r="AS557" i="1"/>
  <c r="AT556" i="1"/>
  <c r="AS556" i="1"/>
  <c r="AT555" i="1"/>
  <c r="AS555" i="1"/>
  <c r="AT554" i="1"/>
  <c r="AS554" i="1"/>
  <c r="AR554" i="1"/>
  <c r="AT553" i="1"/>
  <c r="AS553" i="1"/>
  <c r="AR553" i="1"/>
  <c r="AT552" i="1"/>
  <c r="AS552" i="1"/>
  <c r="AR552" i="1"/>
  <c r="AT551" i="1"/>
  <c r="AS551" i="1"/>
  <c r="AR551" i="1"/>
  <c r="AT550" i="1"/>
  <c r="AS550" i="1"/>
  <c r="AT549" i="1"/>
  <c r="AS549" i="1"/>
  <c r="AT548" i="1"/>
  <c r="AS548" i="1"/>
  <c r="AT547" i="1"/>
  <c r="AS547" i="1"/>
  <c r="AT546" i="1"/>
  <c r="AS546" i="1"/>
  <c r="AT545" i="1"/>
  <c r="AS545" i="1"/>
  <c r="AT544" i="1"/>
  <c r="AS544" i="1"/>
  <c r="AT543" i="1"/>
  <c r="AS543" i="1"/>
  <c r="AT542" i="1"/>
  <c r="AS542" i="1"/>
  <c r="AT541" i="1"/>
  <c r="AS541" i="1"/>
  <c r="AT540" i="1"/>
  <c r="AS540" i="1"/>
  <c r="AR540" i="1"/>
  <c r="AT539" i="1"/>
  <c r="AS539" i="1"/>
  <c r="AT538" i="1"/>
  <c r="AS538" i="1"/>
  <c r="AT537" i="1"/>
  <c r="AS537" i="1"/>
  <c r="AR537" i="1"/>
  <c r="AT536" i="1"/>
  <c r="AS536" i="1"/>
  <c r="AR536" i="1"/>
  <c r="AT535" i="1"/>
  <c r="AS535" i="1"/>
  <c r="AR535" i="1"/>
  <c r="AT534" i="1"/>
  <c r="AS534" i="1"/>
  <c r="AR534" i="1"/>
  <c r="AT533" i="1"/>
  <c r="AS533" i="1"/>
  <c r="AT532" i="1"/>
  <c r="AS532" i="1"/>
  <c r="AT531" i="1"/>
  <c r="AS531" i="1"/>
  <c r="AR531" i="1"/>
  <c r="AT530" i="1"/>
  <c r="AS530" i="1"/>
  <c r="AT529" i="1"/>
  <c r="AS529" i="1"/>
  <c r="AT528" i="1"/>
  <c r="AS528" i="1"/>
  <c r="AR528" i="1"/>
  <c r="AT527" i="1"/>
  <c r="AS527" i="1"/>
  <c r="AT526" i="1"/>
  <c r="AS526" i="1"/>
  <c r="AT525" i="1"/>
  <c r="AS525" i="1"/>
  <c r="AT524" i="1"/>
  <c r="AS524" i="1"/>
  <c r="AT523" i="1"/>
  <c r="AS523" i="1"/>
  <c r="AT522" i="1"/>
  <c r="AS522" i="1"/>
  <c r="AT521" i="1"/>
  <c r="AS521" i="1"/>
  <c r="AR521" i="1"/>
  <c r="AT520" i="1"/>
  <c r="AS520" i="1"/>
  <c r="AT519" i="1"/>
  <c r="AS519" i="1"/>
  <c r="AT518" i="1"/>
  <c r="AS518" i="1"/>
  <c r="AR518" i="1"/>
  <c r="AT517" i="1"/>
  <c r="AS517" i="1"/>
  <c r="AR517" i="1"/>
  <c r="AT516" i="1"/>
  <c r="AS516" i="1"/>
  <c r="AR516" i="1"/>
  <c r="AT515" i="1"/>
  <c r="AS515" i="1"/>
  <c r="AR515" i="1"/>
  <c r="AT514" i="1"/>
  <c r="AS514" i="1"/>
  <c r="AT513" i="1"/>
  <c r="AS513" i="1"/>
  <c r="AT512" i="1"/>
  <c r="AS512" i="1"/>
  <c r="AT511" i="1"/>
  <c r="AS511" i="1"/>
  <c r="AT510" i="1"/>
  <c r="AS510" i="1"/>
  <c r="AT509" i="1"/>
  <c r="AS509" i="1"/>
  <c r="AT508" i="1"/>
  <c r="AS508" i="1"/>
  <c r="AT507" i="1"/>
  <c r="AS507" i="1"/>
  <c r="AT506" i="1"/>
  <c r="AS506" i="1"/>
  <c r="AT505" i="1"/>
  <c r="AS505" i="1"/>
  <c r="AT504" i="1"/>
  <c r="AS504" i="1"/>
  <c r="AT503" i="1"/>
  <c r="AS503" i="1"/>
  <c r="AT502" i="1"/>
  <c r="AS502" i="1"/>
  <c r="AT501" i="1"/>
  <c r="AS501" i="1"/>
  <c r="AR501" i="1"/>
  <c r="AT500" i="1"/>
  <c r="AS500" i="1"/>
  <c r="AT499" i="1"/>
  <c r="AS499" i="1"/>
  <c r="AT498" i="1"/>
  <c r="AS498" i="1"/>
  <c r="AT497" i="1"/>
  <c r="AS497" i="1"/>
  <c r="AT496" i="1"/>
  <c r="AS496" i="1"/>
  <c r="AT495" i="1"/>
  <c r="AS495" i="1"/>
  <c r="AT494" i="1"/>
  <c r="AS494" i="1"/>
  <c r="AR494" i="1"/>
  <c r="AT493" i="1"/>
  <c r="AS493" i="1"/>
  <c r="AR493" i="1"/>
  <c r="AT492" i="1"/>
  <c r="AS492" i="1"/>
  <c r="AT491" i="1"/>
  <c r="AS491" i="1"/>
  <c r="AR491" i="1"/>
  <c r="AT490" i="1"/>
  <c r="AS490" i="1"/>
  <c r="AT489" i="1"/>
  <c r="AS489" i="1"/>
  <c r="AT488" i="1"/>
  <c r="AS488" i="1"/>
  <c r="AT487" i="1"/>
  <c r="AS487" i="1"/>
  <c r="AT486" i="1"/>
  <c r="AS486" i="1"/>
  <c r="AT485" i="1"/>
  <c r="AS485" i="1"/>
  <c r="AT484" i="1"/>
  <c r="AS484" i="1"/>
  <c r="AT483" i="1"/>
  <c r="AS483" i="1"/>
  <c r="AR483" i="1"/>
  <c r="AT482" i="1"/>
  <c r="AS482" i="1"/>
  <c r="AT481" i="1"/>
  <c r="AS481" i="1"/>
  <c r="AT480" i="1"/>
  <c r="AS480" i="1"/>
  <c r="AR480" i="1"/>
  <c r="AT479" i="1"/>
  <c r="AS479" i="1"/>
  <c r="AT478" i="1"/>
  <c r="AS478" i="1"/>
  <c r="AT477" i="1"/>
  <c r="AS477" i="1"/>
  <c r="AT476" i="1"/>
  <c r="AS476" i="1"/>
  <c r="AT475" i="1"/>
  <c r="AS475" i="1"/>
  <c r="AR475" i="1"/>
  <c r="AT474" i="1"/>
  <c r="AS474" i="1"/>
  <c r="AT473" i="1"/>
  <c r="AS473" i="1"/>
  <c r="AR473" i="1"/>
  <c r="AT472" i="1"/>
  <c r="AS472" i="1"/>
  <c r="AT471" i="1"/>
  <c r="AS471" i="1"/>
  <c r="AT470" i="1"/>
  <c r="AS470" i="1"/>
  <c r="AT469" i="1"/>
  <c r="AS469" i="1"/>
  <c r="AT468" i="1"/>
  <c r="AS468" i="1"/>
  <c r="AT467" i="1"/>
  <c r="AS467" i="1"/>
  <c r="AT466" i="1"/>
  <c r="AS466" i="1"/>
  <c r="AR466" i="1"/>
  <c r="AT465" i="1"/>
  <c r="AS465" i="1"/>
  <c r="AT464" i="1"/>
  <c r="AS464" i="1"/>
  <c r="AT463" i="1"/>
  <c r="AS463" i="1"/>
  <c r="AT462" i="1"/>
  <c r="AS462" i="1"/>
  <c r="AR462" i="1"/>
  <c r="AT461" i="1"/>
  <c r="AS461" i="1"/>
  <c r="AT460" i="1"/>
  <c r="AS460" i="1"/>
  <c r="AT459" i="1"/>
  <c r="AS459" i="1"/>
  <c r="AT458" i="1"/>
  <c r="AS458" i="1"/>
  <c r="AT457" i="1"/>
  <c r="AS457" i="1"/>
  <c r="AT456" i="1"/>
  <c r="AS456" i="1"/>
  <c r="AT455" i="1"/>
  <c r="AS455" i="1"/>
  <c r="AT454" i="1"/>
  <c r="AS454" i="1"/>
  <c r="AT453" i="1"/>
  <c r="AS453" i="1"/>
  <c r="AR453" i="1"/>
  <c r="AT452" i="1"/>
  <c r="AS452" i="1"/>
  <c r="AT451" i="1"/>
  <c r="AS451" i="1"/>
  <c r="AR451" i="1"/>
  <c r="AT450" i="1"/>
  <c r="AS450" i="1"/>
  <c r="AR450" i="1"/>
  <c r="AT449" i="1"/>
  <c r="AS449" i="1"/>
  <c r="AR449" i="1"/>
  <c r="AT448" i="1"/>
  <c r="AS448" i="1"/>
  <c r="AT447" i="1"/>
  <c r="AS447" i="1"/>
  <c r="AR447" i="1"/>
  <c r="AT446" i="1"/>
  <c r="AS446" i="1"/>
  <c r="AR446" i="1"/>
  <c r="AT445" i="1"/>
  <c r="AS445" i="1"/>
  <c r="AT444" i="1"/>
  <c r="AS444" i="1"/>
  <c r="AT443" i="1"/>
  <c r="AS443" i="1"/>
  <c r="AR443" i="1"/>
  <c r="AT442" i="1"/>
  <c r="AS442" i="1"/>
  <c r="AT441" i="1"/>
  <c r="AS441" i="1"/>
  <c r="AR441" i="1"/>
  <c r="AT440" i="1"/>
  <c r="AS440" i="1"/>
  <c r="AT439" i="1"/>
  <c r="AS439" i="1"/>
  <c r="AR439" i="1"/>
  <c r="AT438" i="1"/>
  <c r="AS438" i="1"/>
  <c r="AT437" i="1"/>
  <c r="AS437" i="1"/>
  <c r="AT436" i="1"/>
  <c r="AS436" i="1"/>
  <c r="AR436" i="1"/>
  <c r="AT435" i="1"/>
  <c r="AS435" i="1"/>
  <c r="AR435" i="1"/>
  <c r="AT434" i="1"/>
  <c r="AS434" i="1"/>
  <c r="AR434" i="1"/>
  <c r="AT433" i="1"/>
  <c r="AS433" i="1"/>
  <c r="AR433" i="1"/>
  <c r="AT432" i="1"/>
  <c r="AS432" i="1"/>
  <c r="AT431" i="1"/>
  <c r="AS431" i="1"/>
  <c r="AT430" i="1"/>
  <c r="AS430" i="1"/>
  <c r="AT429" i="1"/>
  <c r="AS429" i="1"/>
  <c r="AR429" i="1"/>
  <c r="AT428" i="1"/>
  <c r="AS428" i="1"/>
  <c r="AT427" i="1"/>
  <c r="AS427" i="1"/>
  <c r="AT426" i="1"/>
  <c r="AS426" i="1"/>
  <c r="AT425" i="1"/>
  <c r="AS425" i="1"/>
  <c r="AT424" i="1"/>
  <c r="AS424" i="1"/>
  <c r="AR424" i="1"/>
  <c r="AT423" i="1"/>
  <c r="AS423" i="1"/>
  <c r="AT422" i="1"/>
  <c r="AS422" i="1"/>
  <c r="AT421" i="1"/>
  <c r="AS421" i="1"/>
  <c r="AT420" i="1"/>
  <c r="AS420" i="1"/>
  <c r="AT419" i="1"/>
  <c r="AS419" i="1"/>
  <c r="AR419" i="1"/>
  <c r="AT418" i="1"/>
  <c r="AS418" i="1"/>
  <c r="AT417" i="1"/>
  <c r="AS417" i="1"/>
  <c r="AT416" i="1"/>
  <c r="AS416" i="1"/>
  <c r="AT415" i="1"/>
  <c r="AS415" i="1"/>
  <c r="AT414" i="1"/>
  <c r="AS414" i="1"/>
  <c r="AR414" i="1"/>
  <c r="AT413" i="1"/>
  <c r="AS413" i="1"/>
  <c r="AT412" i="1"/>
  <c r="AS412" i="1"/>
  <c r="AT411" i="1"/>
  <c r="AS411" i="1"/>
  <c r="AR411" i="1"/>
  <c r="AT410" i="1"/>
  <c r="AS410" i="1"/>
  <c r="AT409" i="1"/>
  <c r="AS409" i="1"/>
  <c r="AT408" i="1"/>
  <c r="AS408" i="1"/>
  <c r="AT407" i="1"/>
  <c r="AS407" i="1"/>
  <c r="AT406" i="1"/>
  <c r="AS406" i="1"/>
  <c r="AR406" i="1"/>
  <c r="AT405" i="1"/>
  <c r="AS405" i="1"/>
  <c r="AR405" i="1"/>
  <c r="AT404" i="1"/>
  <c r="AS404" i="1"/>
  <c r="AT403" i="1"/>
  <c r="AS403" i="1"/>
  <c r="AT402" i="1"/>
  <c r="AS402" i="1"/>
  <c r="AR402" i="1"/>
  <c r="AT401" i="1"/>
  <c r="AS401" i="1"/>
  <c r="AR401" i="1"/>
  <c r="AT400" i="1"/>
  <c r="AS400" i="1"/>
  <c r="AT399" i="1"/>
  <c r="AS399" i="1"/>
  <c r="AR399" i="1"/>
  <c r="AT398" i="1"/>
  <c r="AS398" i="1"/>
  <c r="AT397" i="1"/>
  <c r="AS397" i="1"/>
  <c r="AR397" i="1"/>
  <c r="AT396" i="1"/>
  <c r="AS396" i="1"/>
  <c r="AR396" i="1"/>
  <c r="AT395" i="1"/>
  <c r="AS395" i="1"/>
  <c r="AT394" i="1"/>
  <c r="AS394" i="1"/>
  <c r="AT393" i="1"/>
  <c r="AS393" i="1"/>
  <c r="AT392" i="1"/>
  <c r="AS392" i="1"/>
  <c r="AT391" i="1"/>
  <c r="AS391" i="1"/>
  <c r="AR391" i="1"/>
  <c r="AT390" i="1"/>
  <c r="AS390" i="1"/>
  <c r="AT389" i="1"/>
  <c r="AS389" i="1"/>
  <c r="AR389" i="1"/>
  <c r="AT388" i="1"/>
  <c r="AS388" i="1"/>
  <c r="AT387" i="1"/>
  <c r="AS387" i="1"/>
  <c r="AR387" i="1"/>
  <c r="AT386" i="1"/>
  <c r="AS386" i="1"/>
  <c r="AR386" i="1"/>
  <c r="AT385" i="1"/>
  <c r="AS385" i="1"/>
  <c r="AR385" i="1"/>
  <c r="AT384" i="1"/>
  <c r="AS384" i="1"/>
  <c r="AR384" i="1"/>
  <c r="AT383" i="1"/>
  <c r="AS383" i="1"/>
  <c r="AT382" i="1"/>
  <c r="AS382" i="1"/>
  <c r="AT381" i="1"/>
  <c r="AS381" i="1"/>
  <c r="AR381" i="1"/>
  <c r="AT380" i="1"/>
  <c r="AS380" i="1"/>
  <c r="AT379" i="1"/>
  <c r="AS379" i="1"/>
  <c r="AT378" i="1"/>
  <c r="AS378" i="1"/>
  <c r="AT377" i="1"/>
  <c r="AS377" i="1"/>
  <c r="AT376" i="1"/>
  <c r="AS376" i="1"/>
  <c r="AR376" i="1"/>
  <c r="AT375" i="1"/>
  <c r="AS375" i="1"/>
  <c r="AT374" i="1"/>
  <c r="AS374" i="1"/>
  <c r="AT373" i="1"/>
  <c r="AS373" i="1"/>
  <c r="AR373" i="1"/>
  <c r="AT372" i="1"/>
  <c r="AS372" i="1"/>
  <c r="AR372" i="1"/>
  <c r="AT371" i="1"/>
  <c r="AS371" i="1"/>
  <c r="AR371" i="1"/>
  <c r="AT370" i="1"/>
  <c r="AS370" i="1"/>
  <c r="AT369" i="1"/>
  <c r="AS369" i="1"/>
  <c r="AT368" i="1"/>
  <c r="AS368" i="1"/>
  <c r="AR368" i="1"/>
  <c r="AT367" i="1"/>
  <c r="AS367" i="1"/>
  <c r="AT366" i="1"/>
  <c r="AS366" i="1"/>
  <c r="AT365" i="1"/>
  <c r="AS365" i="1"/>
  <c r="AR365" i="1"/>
  <c r="AT364" i="1"/>
  <c r="AS364" i="1"/>
  <c r="AT363" i="1"/>
  <c r="AS363" i="1"/>
  <c r="AT362" i="1"/>
  <c r="AS362" i="1"/>
  <c r="AT361" i="1"/>
  <c r="AS361" i="1"/>
  <c r="AT360" i="1"/>
  <c r="AS360" i="1"/>
  <c r="AT359" i="1"/>
  <c r="AS359" i="1"/>
  <c r="AT358" i="1"/>
  <c r="AS358" i="1"/>
  <c r="AT357" i="1"/>
  <c r="AS357" i="1"/>
  <c r="AT356" i="1"/>
  <c r="AS356" i="1"/>
  <c r="AT355" i="1"/>
  <c r="AS355" i="1"/>
  <c r="AT354" i="1"/>
  <c r="AS354" i="1"/>
  <c r="AT353" i="1"/>
  <c r="AS353" i="1"/>
  <c r="AT352" i="1"/>
  <c r="AS352" i="1"/>
  <c r="AR352" i="1"/>
  <c r="AT351" i="1"/>
  <c r="AS351" i="1"/>
  <c r="AR351" i="1"/>
  <c r="AT350" i="1"/>
  <c r="AS350" i="1"/>
  <c r="AT349" i="1"/>
  <c r="AS349" i="1"/>
  <c r="AT348" i="1"/>
  <c r="AS348" i="1"/>
  <c r="AT347" i="1"/>
  <c r="AS347" i="1"/>
  <c r="AT346" i="1"/>
  <c r="AS346" i="1"/>
  <c r="AT345" i="1"/>
  <c r="AS345" i="1"/>
  <c r="AR345" i="1"/>
  <c r="AT344" i="1"/>
  <c r="AS344" i="1"/>
  <c r="AT343" i="1"/>
  <c r="AS343" i="1"/>
  <c r="AT342" i="1"/>
  <c r="AS342" i="1"/>
  <c r="AT341" i="1"/>
  <c r="AS341" i="1"/>
  <c r="AR341" i="1"/>
  <c r="AT340" i="1"/>
  <c r="AS340" i="1"/>
  <c r="AT339" i="1"/>
  <c r="AS339" i="1"/>
  <c r="AR339" i="1"/>
  <c r="AT338" i="1"/>
  <c r="AS338" i="1"/>
  <c r="AR338" i="1"/>
  <c r="AT337" i="1"/>
  <c r="AS337" i="1"/>
  <c r="AT336" i="1"/>
  <c r="AS336" i="1"/>
  <c r="AR336" i="1"/>
  <c r="AT335" i="1"/>
  <c r="AS335" i="1"/>
  <c r="AR335" i="1"/>
  <c r="AT334" i="1"/>
  <c r="AS334" i="1"/>
  <c r="AR334" i="1"/>
  <c r="AT333" i="1"/>
  <c r="AS333" i="1"/>
  <c r="AT332" i="1"/>
  <c r="AS332" i="1"/>
  <c r="AR332" i="1"/>
  <c r="AT331" i="1"/>
  <c r="AS331" i="1"/>
  <c r="AR331" i="1"/>
  <c r="AT330" i="1"/>
  <c r="AS330" i="1"/>
  <c r="AR330" i="1"/>
  <c r="AT329" i="1"/>
  <c r="AS329" i="1"/>
  <c r="AR329" i="1"/>
  <c r="AT328" i="1"/>
  <c r="AS328" i="1"/>
  <c r="AR328" i="1"/>
  <c r="AT327" i="1"/>
  <c r="AS327" i="1"/>
  <c r="AR327" i="1"/>
  <c r="AT326" i="1"/>
  <c r="AS326" i="1"/>
  <c r="AT325" i="1"/>
  <c r="AS325" i="1"/>
  <c r="AT324" i="1"/>
  <c r="AS324" i="1"/>
  <c r="AR324" i="1"/>
  <c r="AT323" i="1"/>
  <c r="AS323" i="1"/>
  <c r="AR323" i="1"/>
  <c r="AT322" i="1"/>
  <c r="AS322" i="1"/>
  <c r="AT321" i="1"/>
  <c r="AS321" i="1"/>
  <c r="AR321" i="1"/>
  <c r="AT320" i="1"/>
  <c r="AS320" i="1"/>
  <c r="AT319" i="1"/>
  <c r="AS319" i="1"/>
  <c r="AT318" i="1"/>
  <c r="AS318" i="1"/>
  <c r="AT317" i="1"/>
  <c r="AS317" i="1"/>
  <c r="AT316" i="1"/>
  <c r="AS316" i="1"/>
  <c r="AR316" i="1"/>
  <c r="AT315" i="1"/>
  <c r="AS315" i="1"/>
  <c r="AR315" i="1"/>
  <c r="AT314" i="1"/>
  <c r="AS314" i="1"/>
  <c r="AT313" i="1"/>
  <c r="AS313" i="1"/>
  <c r="AT312" i="1"/>
  <c r="AS312" i="1"/>
  <c r="AR312" i="1"/>
  <c r="AT311" i="1"/>
  <c r="AS311" i="1"/>
  <c r="AT310" i="1"/>
  <c r="AS310" i="1"/>
  <c r="AR310" i="1"/>
  <c r="AT309" i="1"/>
  <c r="AS309" i="1"/>
  <c r="AR309" i="1"/>
  <c r="AT308" i="1"/>
  <c r="AS308" i="1"/>
  <c r="AR308" i="1"/>
  <c r="AT307" i="1"/>
  <c r="AS307" i="1"/>
  <c r="AT306" i="1"/>
  <c r="AS306" i="1"/>
  <c r="AR306" i="1"/>
  <c r="AT305" i="1"/>
  <c r="AS305" i="1"/>
  <c r="AR305" i="1"/>
  <c r="AT304" i="1"/>
  <c r="AS304" i="1"/>
  <c r="AR304" i="1"/>
  <c r="AT303" i="1"/>
  <c r="AS303" i="1"/>
  <c r="AR303" i="1"/>
  <c r="AT302" i="1"/>
  <c r="AS302" i="1"/>
  <c r="AT301" i="1"/>
  <c r="AS301" i="1"/>
  <c r="AT300" i="1"/>
  <c r="AS300" i="1"/>
  <c r="AR300" i="1"/>
  <c r="AT299" i="1"/>
  <c r="AS299" i="1"/>
  <c r="AT298" i="1"/>
  <c r="AS298" i="1"/>
  <c r="AT297" i="1"/>
  <c r="AS297" i="1"/>
  <c r="AT296" i="1"/>
  <c r="AS296" i="1"/>
  <c r="AR296" i="1"/>
  <c r="AT295" i="1"/>
  <c r="AS295" i="1"/>
  <c r="AR295" i="1"/>
  <c r="AT294" i="1"/>
  <c r="AS294" i="1"/>
  <c r="AR294" i="1"/>
  <c r="AT293" i="1"/>
  <c r="AS293" i="1"/>
  <c r="AT292" i="1"/>
  <c r="AS292" i="1"/>
  <c r="AT291" i="1"/>
  <c r="AS291" i="1"/>
  <c r="AR291" i="1"/>
  <c r="AT290" i="1"/>
  <c r="AS290" i="1"/>
  <c r="AT289" i="1"/>
  <c r="AS289" i="1"/>
  <c r="AT288" i="1"/>
  <c r="AS288" i="1"/>
  <c r="AT287" i="1"/>
  <c r="AS287" i="1"/>
  <c r="AT286" i="1"/>
  <c r="AS286" i="1"/>
  <c r="AR286" i="1"/>
  <c r="AT285" i="1"/>
  <c r="AS285" i="1"/>
  <c r="AT284" i="1"/>
  <c r="AS284" i="1"/>
  <c r="AT283" i="1"/>
  <c r="AS283" i="1"/>
  <c r="AR283" i="1"/>
  <c r="AT282" i="1"/>
  <c r="AS282" i="1"/>
  <c r="AR282" i="1"/>
  <c r="AT281" i="1"/>
  <c r="AS281" i="1"/>
  <c r="AR281" i="1"/>
  <c r="AT280" i="1"/>
  <c r="AS280" i="1"/>
  <c r="AR280" i="1"/>
  <c r="AT279" i="1"/>
  <c r="AS279" i="1"/>
  <c r="AT278" i="1"/>
  <c r="AS278" i="1"/>
  <c r="AR278" i="1"/>
  <c r="AT277" i="1"/>
  <c r="AS277" i="1"/>
  <c r="AR277" i="1"/>
  <c r="AT276" i="1"/>
  <c r="AS276" i="1"/>
  <c r="AT275" i="1"/>
  <c r="AS275" i="1"/>
  <c r="AR275" i="1"/>
  <c r="AT274" i="1"/>
  <c r="AS274" i="1"/>
  <c r="AR274" i="1"/>
  <c r="AT273" i="1"/>
  <c r="AS273" i="1"/>
  <c r="AR273" i="1"/>
  <c r="AT272" i="1"/>
  <c r="AS272" i="1"/>
  <c r="AR272" i="1"/>
  <c r="AT271" i="1"/>
  <c r="AS271" i="1"/>
  <c r="AR271" i="1"/>
  <c r="AT270" i="1"/>
  <c r="AS270" i="1"/>
  <c r="AR270" i="1"/>
  <c r="AT269" i="1"/>
  <c r="AS269" i="1"/>
  <c r="AR269" i="1"/>
  <c r="AT268" i="1"/>
  <c r="AS268" i="1"/>
  <c r="AR268" i="1"/>
  <c r="AT267" i="1"/>
  <c r="AS267" i="1"/>
  <c r="AT266" i="1"/>
  <c r="AS266" i="1"/>
  <c r="AR266" i="1"/>
  <c r="AT265" i="1"/>
  <c r="AS265" i="1"/>
  <c r="AR265" i="1"/>
  <c r="AT264" i="1"/>
  <c r="AS264" i="1"/>
  <c r="AR264" i="1"/>
  <c r="AT263" i="1"/>
  <c r="AS263" i="1"/>
  <c r="AT262" i="1"/>
  <c r="AS262" i="1"/>
  <c r="AT261" i="1"/>
  <c r="AS261" i="1"/>
  <c r="AR261" i="1"/>
  <c r="AT260" i="1"/>
  <c r="AS260" i="1"/>
  <c r="AR260" i="1"/>
  <c r="AT259" i="1"/>
  <c r="AS259" i="1"/>
  <c r="AR259" i="1"/>
  <c r="AT258" i="1"/>
  <c r="AS258" i="1"/>
  <c r="AR258" i="1"/>
  <c r="AT257" i="1"/>
  <c r="AS257" i="1"/>
  <c r="AR257" i="1"/>
  <c r="AT256" i="1"/>
  <c r="AS256" i="1"/>
  <c r="AT255" i="1"/>
  <c r="AS255" i="1"/>
  <c r="AR255" i="1"/>
  <c r="AT254" i="1"/>
  <c r="AS254" i="1"/>
  <c r="AT253" i="1"/>
  <c r="AS253" i="1"/>
  <c r="AR253" i="1"/>
  <c r="AT252" i="1"/>
  <c r="AS252" i="1"/>
  <c r="AR252" i="1"/>
  <c r="AT251" i="1"/>
  <c r="AS251" i="1"/>
  <c r="AT250" i="1"/>
  <c r="AS250" i="1"/>
  <c r="AR250" i="1"/>
  <c r="AT249" i="1"/>
  <c r="AS249" i="1"/>
  <c r="AR249" i="1"/>
  <c r="AT248" i="1"/>
  <c r="AS248" i="1"/>
  <c r="AR248" i="1"/>
  <c r="AT247" i="1"/>
  <c r="AS247" i="1"/>
  <c r="AT246" i="1"/>
  <c r="AS246" i="1"/>
  <c r="AR246" i="1"/>
  <c r="AT245" i="1"/>
  <c r="AS245" i="1"/>
  <c r="AR245" i="1"/>
  <c r="AT244" i="1"/>
  <c r="AS244" i="1"/>
  <c r="AT243" i="1"/>
  <c r="AS243" i="1"/>
  <c r="AR243" i="1"/>
  <c r="AT242" i="1"/>
  <c r="AS242" i="1"/>
  <c r="AR242" i="1"/>
  <c r="AT241" i="1"/>
  <c r="AS241" i="1"/>
  <c r="AR241" i="1"/>
  <c r="AT240" i="1"/>
  <c r="AS240" i="1"/>
  <c r="AR240" i="1"/>
  <c r="AT239" i="1"/>
  <c r="AS239" i="1"/>
  <c r="AT238" i="1"/>
  <c r="AS238" i="1"/>
  <c r="AT237" i="1"/>
  <c r="AS237" i="1"/>
  <c r="AT236" i="1"/>
  <c r="AS236" i="1"/>
  <c r="AR236" i="1"/>
  <c r="AT235" i="1"/>
  <c r="AS235" i="1"/>
  <c r="AR235" i="1"/>
  <c r="AT234" i="1"/>
  <c r="AS234" i="1"/>
  <c r="AR234" i="1"/>
  <c r="AT233" i="1"/>
  <c r="AS233" i="1"/>
  <c r="AR233" i="1"/>
  <c r="AT232" i="1"/>
  <c r="AS232" i="1"/>
  <c r="AR232" i="1"/>
  <c r="AT231" i="1"/>
  <c r="AS231" i="1"/>
  <c r="AT230" i="1"/>
  <c r="AS230" i="1"/>
  <c r="AR230" i="1"/>
  <c r="AT229" i="1"/>
  <c r="AS229" i="1"/>
  <c r="AR229" i="1"/>
  <c r="AT228" i="1"/>
  <c r="AS228" i="1"/>
  <c r="AR228" i="1"/>
  <c r="AT227" i="1"/>
  <c r="AS227" i="1"/>
  <c r="AR227" i="1"/>
  <c r="AT226" i="1"/>
  <c r="AS226" i="1"/>
  <c r="AT225" i="1"/>
  <c r="AS225" i="1"/>
  <c r="AR225" i="1"/>
  <c r="AT224" i="1"/>
  <c r="AS224" i="1"/>
  <c r="AR224" i="1"/>
  <c r="AT223" i="1"/>
  <c r="AS223" i="1"/>
  <c r="AT222" i="1"/>
  <c r="AS222" i="1"/>
  <c r="AT221" i="1"/>
  <c r="AS221" i="1"/>
  <c r="AT220" i="1"/>
  <c r="AS220" i="1"/>
  <c r="AT219" i="1"/>
  <c r="AS219" i="1"/>
  <c r="AR219" i="1"/>
  <c r="AT218" i="1"/>
  <c r="AS218" i="1"/>
  <c r="AT217" i="1"/>
  <c r="AS217" i="1"/>
  <c r="AT216" i="1"/>
  <c r="AS216" i="1"/>
  <c r="AT215" i="1"/>
  <c r="AS215" i="1"/>
  <c r="AR215" i="1"/>
  <c r="AT214" i="1"/>
  <c r="AS214" i="1"/>
  <c r="AT213" i="1"/>
  <c r="AS213" i="1"/>
  <c r="AT212" i="1"/>
  <c r="AS212" i="1"/>
  <c r="AR212" i="1"/>
  <c r="AT211" i="1"/>
  <c r="AS211" i="1"/>
  <c r="AT210" i="1"/>
  <c r="AS210" i="1"/>
  <c r="AR210" i="1"/>
  <c r="AT209" i="1"/>
  <c r="AS209" i="1"/>
  <c r="AT208" i="1"/>
  <c r="AS208" i="1"/>
  <c r="AR208" i="1"/>
  <c r="AT207" i="1"/>
  <c r="AS207" i="1"/>
  <c r="AR207" i="1"/>
  <c r="AT206" i="1"/>
  <c r="AS206" i="1"/>
  <c r="AT205" i="1"/>
  <c r="AS205" i="1"/>
  <c r="AR205" i="1"/>
  <c r="AT204" i="1"/>
  <c r="AS204" i="1"/>
  <c r="AT203" i="1"/>
  <c r="AS203" i="1"/>
  <c r="AR203" i="1"/>
  <c r="AT202" i="1"/>
  <c r="AS202" i="1"/>
  <c r="AT201" i="1"/>
  <c r="AS201" i="1"/>
  <c r="AR201" i="1"/>
  <c r="AT200" i="1"/>
  <c r="AS200" i="1"/>
  <c r="AT199" i="1"/>
  <c r="AS199" i="1"/>
  <c r="AT198" i="1"/>
  <c r="AS198" i="1"/>
  <c r="AR198" i="1"/>
  <c r="AT197" i="1"/>
  <c r="AS197" i="1"/>
  <c r="AR197" i="1"/>
  <c r="AT196" i="1"/>
  <c r="AS196" i="1"/>
  <c r="AT195" i="1"/>
  <c r="AS195" i="1"/>
  <c r="AR195" i="1"/>
  <c r="AT194" i="1"/>
  <c r="AS194" i="1"/>
  <c r="AR194" i="1"/>
  <c r="AT193" i="1"/>
  <c r="AS193" i="1"/>
  <c r="AR193" i="1"/>
  <c r="AT192" i="1"/>
  <c r="AS192" i="1"/>
  <c r="AR192" i="1"/>
  <c r="AT191" i="1"/>
  <c r="AS191" i="1"/>
  <c r="AR191" i="1"/>
  <c r="AT190" i="1"/>
  <c r="AS190" i="1"/>
  <c r="AT189" i="1"/>
  <c r="AS189" i="1"/>
  <c r="AR189" i="1"/>
  <c r="AT188" i="1"/>
  <c r="AS188" i="1"/>
  <c r="AR188" i="1"/>
  <c r="AT187" i="1"/>
  <c r="AS187" i="1"/>
  <c r="AR187" i="1"/>
  <c r="AT186" i="1"/>
  <c r="AS186" i="1"/>
  <c r="AR186" i="1"/>
  <c r="AT185" i="1"/>
  <c r="AS185" i="1"/>
  <c r="AT184" i="1"/>
  <c r="AS184" i="1"/>
  <c r="AT183" i="1"/>
  <c r="AS183" i="1"/>
  <c r="AR183" i="1"/>
  <c r="AT182" i="1"/>
  <c r="AS182" i="1"/>
  <c r="AR182" i="1"/>
  <c r="AT181" i="1"/>
  <c r="AS181" i="1"/>
  <c r="AT180" i="1"/>
  <c r="AS180" i="1"/>
  <c r="AR180" i="1"/>
  <c r="AT179" i="1"/>
  <c r="AS179" i="1"/>
  <c r="AR179" i="1"/>
  <c r="AT178" i="1"/>
  <c r="AS178" i="1"/>
  <c r="AR178" i="1"/>
  <c r="AT177" i="1"/>
  <c r="AS177" i="1"/>
  <c r="AR177" i="1"/>
  <c r="AT176" i="1"/>
  <c r="AS176" i="1"/>
  <c r="AR176" i="1"/>
  <c r="AT175" i="1"/>
  <c r="AS175" i="1"/>
  <c r="AR175" i="1"/>
  <c r="AT174" i="1"/>
  <c r="AS174" i="1"/>
  <c r="AT173" i="1"/>
  <c r="AS173" i="1"/>
  <c r="AR173" i="1"/>
  <c r="AT172" i="1"/>
  <c r="AS172" i="1"/>
  <c r="AT171" i="1"/>
  <c r="AS171" i="1"/>
  <c r="AR171" i="1"/>
  <c r="AT170" i="1"/>
  <c r="AS170" i="1"/>
  <c r="AT169" i="1"/>
  <c r="AS169" i="1"/>
  <c r="AT168" i="1"/>
  <c r="AS168" i="1"/>
  <c r="AR168" i="1"/>
  <c r="AT167" i="1"/>
  <c r="AS167" i="1"/>
  <c r="AT166" i="1"/>
  <c r="AS166" i="1"/>
  <c r="AR166" i="1"/>
  <c r="AT165" i="1"/>
  <c r="AS165" i="1"/>
  <c r="AT164" i="1"/>
  <c r="AS164" i="1"/>
  <c r="AR164" i="1"/>
  <c r="AT163" i="1"/>
  <c r="AS163" i="1"/>
  <c r="AR163" i="1"/>
  <c r="AT162" i="1"/>
  <c r="AS162" i="1"/>
  <c r="AR162" i="1"/>
  <c r="AT161" i="1"/>
  <c r="AS161" i="1"/>
  <c r="AR161" i="1"/>
  <c r="AT160" i="1"/>
  <c r="AS160" i="1"/>
  <c r="AR160" i="1"/>
  <c r="AT159" i="1"/>
  <c r="AS159" i="1"/>
  <c r="AR159" i="1"/>
  <c r="AT158" i="1"/>
  <c r="AS158" i="1"/>
  <c r="AT157" i="1"/>
  <c r="AS157" i="1"/>
  <c r="AT156" i="1"/>
  <c r="AS156" i="1"/>
  <c r="AR156" i="1"/>
  <c r="AT155" i="1"/>
  <c r="AS155" i="1"/>
  <c r="AR155" i="1"/>
  <c r="AT154" i="1"/>
  <c r="AS154" i="1"/>
  <c r="AR154" i="1"/>
  <c r="AT153" i="1"/>
  <c r="AS153" i="1"/>
  <c r="AR153" i="1"/>
  <c r="AT152" i="1"/>
  <c r="AS152" i="1"/>
  <c r="AR152" i="1"/>
  <c r="AT151" i="1"/>
  <c r="AS151" i="1"/>
  <c r="AR151" i="1"/>
  <c r="AT150" i="1"/>
  <c r="AS150" i="1"/>
  <c r="AT149" i="1"/>
  <c r="AS149" i="1"/>
  <c r="AR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T143" i="1"/>
  <c r="AS143" i="1"/>
  <c r="AT142" i="1"/>
  <c r="AS142" i="1"/>
  <c r="AT141" i="1"/>
  <c r="AS141" i="1"/>
  <c r="AT140" i="1"/>
  <c r="AS140" i="1"/>
  <c r="AR140" i="1"/>
  <c r="AT139" i="1"/>
  <c r="AS139" i="1"/>
  <c r="AT138" i="1"/>
  <c r="AS138" i="1"/>
  <c r="AT137" i="1"/>
  <c r="AS137" i="1"/>
  <c r="AR137" i="1"/>
  <c r="AT136" i="1"/>
  <c r="AS136" i="1"/>
  <c r="AR136" i="1"/>
  <c r="AT135" i="1"/>
  <c r="AS135" i="1"/>
  <c r="AR135" i="1"/>
  <c r="AT134" i="1"/>
  <c r="AS134" i="1"/>
  <c r="AT133" i="1"/>
  <c r="AS133" i="1"/>
  <c r="AT132" i="1"/>
  <c r="AS132" i="1"/>
  <c r="AT131" i="1"/>
  <c r="AS131" i="1"/>
  <c r="AT130" i="1"/>
  <c r="AS130" i="1"/>
  <c r="AT129" i="1"/>
  <c r="AS129" i="1"/>
  <c r="AT128" i="1"/>
  <c r="AS128" i="1"/>
  <c r="AR128" i="1"/>
  <c r="AT127" i="1"/>
  <c r="AS127" i="1"/>
  <c r="AT126" i="1"/>
  <c r="AS126" i="1"/>
  <c r="AT125" i="1"/>
  <c r="AS125" i="1"/>
  <c r="AT124" i="1"/>
  <c r="AS124" i="1"/>
  <c r="AT123" i="1"/>
  <c r="AS123" i="1"/>
  <c r="AR123" i="1"/>
  <c r="AT122" i="1"/>
  <c r="AS122" i="1"/>
  <c r="AT121" i="1"/>
  <c r="AS121" i="1"/>
  <c r="AR121" i="1"/>
  <c r="AT120" i="1"/>
  <c r="AS120" i="1"/>
  <c r="AR120" i="1"/>
  <c r="AT119" i="1"/>
  <c r="AS119" i="1"/>
  <c r="AT118" i="1"/>
  <c r="AS118" i="1"/>
  <c r="AT117" i="1"/>
  <c r="AS117" i="1"/>
  <c r="AR117" i="1"/>
  <c r="AT116" i="1"/>
  <c r="AS116" i="1"/>
  <c r="AR116" i="1"/>
  <c r="AT115" i="1"/>
  <c r="AS115" i="1"/>
  <c r="AR115" i="1"/>
  <c r="AT114" i="1"/>
  <c r="AS114" i="1"/>
  <c r="AR114" i="1"/>
  <c r="AT113" i="1"/>
  <c r="AS113" i="1"/>
  <c r="AR113" i="1"/>
  <c r="AT112" i="1"/>
  <c r="AS112" i="1"/>
  <c r="AT111" i="1"/>
  <c r="AS111" i="1"/>
  <c r="AT110" i="1"/>
  <c r="AS110" i="1"/>
  <c r="AT109" i="1"/>
  <c r="AS109" i="1"/>
  <c r="AR109" i="1"/>
  <c r="AT108" i="1"/>
  <c r="AS108" i="1"/>
  <c r="AT107" i="1"/>
  <c r="AS107" i="1"/>
  <c r="AT106" i="1"/>
  <c r="AS106" i="1"/>
  <c r="AT105" i="1"/>
  <c r="AS105" i="1"/>
  <c r="AT104" i="1"/>
  <c r="AS104" i="1"/>
  <c r="AT103" i="1"/>
  <c r="AS103" i="1"/>
  <c r="AT102" i="1"/>
  <c r="AS102" i="1"/>
  <c r="AT101" i="1"/>
  <c r="AS101" i="1"/>
  <c r="AT100" i="1"/>
  <c r="AS100" i="1"/>
  <c r="AT99" i="1"/>
  <c r="AS99" i="1"/>
  <c r="AR99" i="1"/>
  <c r="AT98" i="1"/>
  <c r="AS98" i="1"/>
  <c r="AR98" i="1"/>
  <c r="AT97" i="1"/>
  <c r="AS97" i="1"/>
  <c r="AR97" i="1"/>
  <c r="AT96" i="1"/>
  <c r="AS96" i="1"/>
  <c r="AT95" i="1"/>
  <c r="AS95" i="1"/>
  <c r="AR95" i="1"/>
  <c r="AT94" i="1"/>
  <c r="AS94" i="1"/>
  <c r="AR94" i="1"/>
  <c r="AT93" i="1"/>
  <c r="AS93" i="1"/>
  <c r="AR93" i="1"/>
  <c r="AT92" i="1"/>
  <c r="AS92" i="1"/>
  <c r="AR92" i="1"/>
  <c r="AT91" i="1"/>
  <c r="AS91" i="1"/>
  <c r="AT90" i="1"/>
  <c r="AS90" i="1"/>
  <c r="AT89" i="1"/>
  <c r="AS89" i="1"/>
  <c r="AR89" i="1"/>
  <c r="AT88" i="1"/>
  <c r="AS88" i="1"/>
  <c r="AR88" i="1"/>
  <c r="AT87" i="1"/>
  <c r="AS87" i="1"/>
  <c r="AT86" i="1"/>
  <c r="AS86" i="1"/>
  <c r="AR86" i="1"/>
  <c r="AT85" i="1"/>
  <c r="AS85" i="1"/>
  <c r="AR85" i="1"/>
  <c r="AT84" i="1"/>
  <c r="AS84" i="1"/>
  <c r="AR84" i="1"/>
  <c r="AT83" i="1"/>
  <c r="AS83" i="1"/>
  <c r="AT82" i="1"/>
  <c r="AS82" i="1"/>
  <c r="AR82" i="1"/>
  <c r="AT81" i="1"/>
  <c r="AS81" i="1"/>
  <c r="AT80" i="1"/>
  <c r="AS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R75" i="1"/>
  <c r="AT74" i="1"/>
  <c r="AS74" i="1"/>
  <c r="AR74" i="1"/>
  <c r="AT73" i="1"/>
  <c r="AS73" i="1"/>
  <c r="AR73" i="1"/>
  <c r="AT72" i="1"/>
  <c r="AS72" i="1"/>
  <c r="AR72" i="1"/>
  <c r="AT71" i="1"/>
  <c r="AS71" i="1"/>
  <c r="AT70" i="1"/>
  <c r="AS70" i="1"/>
  <c r="AT69" i="1"/>
  <c r="AS69" i="1"/>
  <c r="AR69" i="1"/>
  <c r="AT68" i="1"/>
  <c r="AS68" i="1"/>
  <c r="AR68" i="1"/>
  <c r="AT67" i="1"/>
  <c r="AS67" i="1"/>
  <c r="AR67" i="1"/>
  <c r="AT66" i="1"/>
  <c r="AS66" i="1"/>
  <c r="AR66" i="1"/>
  <c r="AT65" i="1"/>
  <c r="AS65" i="1"/>
  <c r="AR65" i="1"/>
  <c r="AT64" i="1"/>
  <c r="AS64" i="1"/>
  <c r="AR64" i="1"/>
  <c r="AT63" i="1"/>
  <c r="AS63" i="1"/>
  <c r="AT62" i="1"/>
  <c r="AS62" i="1"/>
  <c r="AR62" i="1"/>
  <c r="AT61" i="1"/>
  <c r="AS61" i="1"/>
  <c r="AR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T53" i="1"/>
  <c r="AS53" i="1"/>
  <c r="AT52" i="1"/>
  <c r="AS52" i="1"/>
  <c r="AT51" i="1"/>
  <c r="AS51" i="1"/>
  <c r="AR51" i="1"/>
  <c r="AT50" i="1"/>
  <c r="AS50" i="1"/>
  <c r="AT49" i="1"/>
  <c r="AS49" i="1"/>
  <c r="AT48" i="1"/>
  <c r="AS48" i="1"/>
  <c r="AR48" i="1"/>
  <c r="AT47" i="1"/>
  <c r="AS47" i="1"/>
  <c r="AR47" i="1"/>
  <c r="AT46" i="1"/>
  <c r="AS46" i="1"/>
  <c r="AT45" i="1"/>
  <c r="AS45" i="1"/>
  <c r="AR45" i="1"/>
  <c r="AT44" i="1"/>
  <c r="AS44" i="1"/>
  <c r="AT43" i="1"/>
  <c r="AS43" i="1"/>
  <c r="AT42" i="1"/>
  <c r="AS42" i="1"/>
  <c r="AR42" i="1"/>
  <c r="AT41" i="1"/>
  <c r="AS41" i="1"/>
  <c r="AR41" i="1"/>
  <c r="AT40" i="1"/>
  <c r="AS40" i="1"/>
  <c r="AT39" i="1"/>
  <c r="AS39" i="1"/>
  <c r="AR39" i="1"/>
  <c r="AT38" i="1"/>
  <c r="AS38" i="1"/>
  <c r="AR38" i="1"/>
  <c r="AT37" i="1"/>
  <c r="AS37" i="1"/>
  <c r="AR37" i="1"/>
  <c r="AT36" i="1"/>
  <c r="AS36" i="1"/>
  <c r="AT35" i="1"/>
  <c r="AS35" i="1"/>
  <c r="AT34" i="1"/>
  <c r="AS34" i="1"/>
  <c r="AR34" i="1"/>
  <c r="AT33" i="1"/>
  <c r="AS33" i="1"/>
  <c r="AR33" i="1"/>
  <c r="AT32" i="1"/>
  <c r="AS32" i="1"/>
  <c r="AT31" i="1"/>
  <c r="AS31" i="1"/>
  <c r="AR31" i="1"/>
  <c r="AT30" i="1"/>
  <c r="AS30" i="1"/>
  <c r="AT29" i="1"/>
  <c r="AS29" i="1"/>
  <c r="AT28" i="1"/>
  <c r="AS28" i="1"/>
  <c r="AT27" i="1"/>
  <c r="AS27" i="1"/>
  <c r="AT26" i="1"/>
  <c r="AS26" i="1"/>
  <c r="AT25" i="1"/>
  <c r="AS25" i="1"/>
  <c r="AR25" i="1"/>
  <c r="AT24" i="1"/>
  <c r="AS24" i="1"/>
  <c r="AT23" i="1"/>
  <c r="AS23" i="1"/>
  <c r="AR23" i="1"/>
  <c r="AT22" i="1"/>
  <c r="AS22" i="1"/>
  <c r="AR22" i="1"/>
  <c r="AT21" i="1"/>
  <c r="AS21" i="1"/>
  <c r="AT20" i="1"/>
  <c r="AS20" i="1"/>
  <c r="AT19" i="1"/>
  <c r="AS19" i="1"/>
  <c r="AR19" i="1"/>
  <c r="AT18" i="1"/>
  <c r="AS18" i="1"/>
  <c r="AR18" i="1"/>
  <c r="AT17" i="1"/>
  <c r="AS17" i="1"/>
  <c r="AR17" i="1"/>
  <c r="AT16" i="1"/>
  <c r="AS16" i="1"/>
  <c r="AR16" i="1"/>
  <c r="AT15" i="1"/>
  <c r="AS15" i="1"/>
  <c r="AR15" i="1"/>
  <c r="AT14" i="1"/>
  <c r="AS14" i="1"/>
  <c r="AR14" i="1"/>
  <c r="AT13" i="1"/>
  <c r="AS13" i="1"/>
  <c r="AT12" i="1"/>
  <c r="AS12" i="1"/>
  <c r="AT11" i="1"/>
  <c r="AS11" i="1"/>
  <c r="AT10" i="1"/>
  <c r="AS10" i="1"/>
  <c r="AT9" i="1"/>
  <c r="AS9" i="1"/>
  <c r="AT8" i="1"/>
  <c r="AS8" i="1"/>
  <c r="AT7" i="1"/>
  <c r="AS7" i="1"/>
  <c r="AR7" i="1"/>
  <c r="AT6" i="1"/>
  <c r="AS6" i="1"/>
  <c r="AT5" i="1"/>
  <c r="AS5" i="1"/>
  <c r="AT4" i="1"/>
  <c r="AS4" i="1"/>
  <c r="AR4" i="1"/>
  <c r="AT3" i="1"/>
  <c r="AS3" i="1"/>
  <c r="AR3" i="1"/>
  <c r="AT2" i="1"/>
  <c r="AS2" i="1"/>
</calcChain>
</file>

<file path=xl/sharedStrings.xml><?xml version="1.0" encoding="utf-8"?>
<sst xmlns="http://schemas.openxmlformats.org/spreadsheetml/2006/main" count="45155" uniqueCount="19364">
  <si>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</si>
  <si>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</si>
  <si>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</si>
  <si>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</si>
  <si>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</si>
  <si>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</si>
  <si>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</si>
  <si>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</si>
  <si>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</si>
  <si>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</si>
  <si>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</si>
  <si>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</si>
  <si>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</si>
  <si>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</si>
  <si>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</si>
  <si>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</si>
  <si>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</si>
  <si>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</si>
  <si>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</si>
  <si>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</si>
  <si>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</si>
  <si>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</si>
  <si>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</si>
  <si>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</si>
  <si>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</si>
  <si>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</si>
  <si>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</si>
  <si>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</si>
  <si>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</si>
  <si>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</si>
  <si>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</si>
  <si>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</si>
  <si>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</si>
  <si>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</si>
  <si>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</si>
  <si>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</si>
  <si>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</si>
  <si>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</si>
  <si>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</si>
  <si>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</si>
  <si>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</si>
  <si>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</si>
  <si>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</si>
  <si>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</si>
  <si>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</si>
  <si>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</si>
  <si>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</si>
  <si>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</si>
  <si>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</si>
  <si>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</si>
  <si>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</si>
  <si>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</si>
  <si>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</si>
  <si>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</si>
  <si>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</si>
  <si>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HV10.5 .D63 2005</t>
  </si>
  <si>
    <t>0                      HV 0010500D  63          2005</t>
  </si>
  <si>
    <t>Social work career development : a handbook for job hunting and career planning / Carol Nesslein Doelling.</t>
  </si>
  <si>
    <t>No</t>
  </si>
  <si>
    <t>1</t>
  </si>
  <si>
    <t>0</t>
  </si>
  <si>
    <t>Doelling, Carol Nesslein.</t>
  </si>
  <si>
    <t>Washington, DC : NASW Press/National Association of Social Workers, [2005].</t>
  </si>
  <si>
    <t>2005</t>
  </si>
  <si>
    <t>2nd ed.</t>
  </si>
  <si>
    <t>eng</t>
  </si>
  <si>
    <t>dcu</t>
  </si>
  <si>
    <t xml:space="preserve">HV </t>
  </si>
  <si>
    <t>2005-05-13</t>
  </si>
  <si>
    <t>2005-04-07</t>
  </si>
  <si>
    <t>639840:eng</t>
  </si>
  <si>
    <t>56096062</t>
  </si>
  <si>
    <t>991004408949702656</t>
  </si>
  <si>
    <t>2263761390002656</t>
  </si>
  <si>
    <t>BOOK</t>
  </si>
  <si>
    <t>9780871013637</t>
  </si>
  <si>
    <t>32285005048573</t>
  </si>
  <si>
    <t>893247553</t>
  </si>
  <si>
    <t>HV10.5 .W43 1986</t>
  </si>
  <si>
    <t>0                      HV 0010500W  43          1986</t>
  </si>
  <si>
    <t>Social work ethics day to day : guidelines for professional practice / Carolyn Cressy Wells with M. Kathleen Masch.</t>
  </si>
  <si>
    <t>Wells, Carolyn Cressy.</t>
  </si>
  <si>
    <t>New York : Longman, c1986.</t>
  </si>
  <si>
    <t>1986</t>
  </si>
  <si>
    <t>nyu</t>
  </si>
  <si>
    <t>2000-03-07</t>
  </si>
  <si>
    <t>1994-04-06</t>
  </si>
  <si>
    <t>Yes</t>
  </si>
  <si>
    <t>1081094:eng</t>
  </si>
  <si>
    <t>12135241</t>
  </si>
  <si>
    <t>991000647269702656</t>
  </si>
  <si>
    <t>2259998740002656</t>
  </si>
  <si>
    <t>9780582285828</t>
  </si>
  <si>
    <t>32285001863710</t>
  </si>
  <si>
    <t>893315123</t>
  </si>
  <si>
    <t>HV105 .A75</t>
  </si>
  <si>
    <t>0                      HV 0105000A  75</t>
  </si>
  <si>
    <t>Social welfare in Canada : ideals and realities / Andrew Armitage.</t>
  </si>
  <si>
    <t>Armitage, Andrew.</t>
  </si>
  <si>
    <t>Toronto : McClelland and Stewart, c1975.</t>
  </si>
  <si>
    <t>1975</t>
  </si>
  <si>
    <t>onc</t>
  </si>
  <si>
    <t>1994-02-27</t>
  </si>
  <si>
    <t>1993-05-17</t>
  </si>
  <si>
    <t>1806993497:eng</t>
  </si>
  <si>
    <t>1801037</t>
  </si>
  <si>
    <t>991003892919702656</t>
  </si>
  <si>
    <t>2267041860002656</t>
  </si>
  <si>
    <t>9780771007255</t>
  </si>
  <si>
    <t>32285001681047</t>
  </si>
  <si>
    <t>893525387</t>
  </si>
  <si>
    <t>HV105 .M39 1998</t>
  </si>
  <si>
    <t>0                      HV 0105000M  39          1998</t>
  </si>
  <si>
    <t>An introduction to Canada's public social services : understanding income and health programs / Frank McGilly.</t>
  </si>
  <si>
    <t>McGilly, Frank J., 1929-</t>
  </si>
  <si>
    <t>Toronto ; New York : Oxford University Press, 1998.</t>
  </si>
  <si>
    <t>1998</t>
  </si>
  <si>
    <t>2006-01-21</t>
  </si>
  <si>
    <t>2000-10-23</t>
  </si>
  <si>
    <t>987619:eng</t>
  </si>
  <si>
    <t>38106670</t>
  </si>
  <si>
    <t>991003234109702656</t>
  </si>
  <si>
    <t>2258665840002656</t>
  </si>
  <si>
    <t>9780195412321</t>
  </si>
  <si>
    <t>32285003769022</t>
  </si>
  <si>
    <t>893899749</t>
  </si>
  <si>
    <t>HV11 .B37 2006</t>
  </si>
  <si>
    <t>0                      HV 0011000B  37          2006</t>
  </si>
  <si>
    <t>Successful social work education : a student's guide / Allan E. Barsky.</t>
  </si>
  <si>
    <t>Barsky, Allan Edward.</t>
  </si>
  <si>
    <t>Belmont, CA : Thomson Brooks/Cole, c2006.</t>
  </si>
  <si>
    <t>2006</t>
  </si>
  <si>
    <t>cau</t>
  </si>
  <si>
    <t>2010-09-16</t>
  </si>
  <si>
    <t>2005-11-10</t>
  </si>
  <si>
    <t>114121012:eng</t>
  </si>
  <si>
    <t>61772527</t>
  </si>
  <si>
    <t>991004663919702656</t>
  </si>
  <si>
    <t>2263955260002656</t>
  </si>
  <si>
    <t>9780534641238</t>
  </si>
  <si>
    <t>32285005146823</t>
  </si>
  <si>
    <t>893882722</t>
  </si>
  <si>
    <t>HV11 .C782 2004</t>
  </si>
  <si>
    <t>0                      HV 0011000C  782         2004</t>
  </si>
  <si>
    <t>The evidence-based social work skills book / Barry R. Cournoyer.</t>
  </si>
  <si>
    <t>Cournoyer, Barry.</t>
  </si>
  <si>
    <t>Boston : Pearson A and B, c2004.</t>
  </si>
  <si>
    <t>2004</t>
  </si>
  <si>
    <t>mau</t>
  </si>
  <si>
    <t>2007-03-08</t>
  </si>
  <si>
    <t>665985:eng</t>
  </si>
  <si>
    <t>52727532</t>
  </si>
  <si>
    <t>991005035779702656</t>
  </si>
  <si>
    <t>2256829320002656</t>
  </si>
  <si>
    <t>9780205358625</t>
  </si>
  <si>
    <t>32285005280994</t>
  </si>
  <si>
    <t>893883239</t>
  </si>
  <si>
    <t>HV11 .D17 2008</t>
  </si>
  <si>
    <t>0                      HV 0011000D  17          2008</t>
  </si>
  <si>
    <t>Social work research methods : from conceptualization to dissemination / Brett Drake, Melissa Jonson-Reid.</t>
  </si>
  <si>
    <t>Drake, Brett.</t>
  </si>
  <si>
    <t>Boston : Pearson/Allyn and Bacon, c2008.</t>
  </si>
  <si>
    <t>2008</t>
  </si>
  <si>
    <t>2007-12-13</t>
  </si>
  <si>
    <t>320942075:eng</t>
  </si>
  <si>
    <t>154806658</t>
  </si>
  <si>
    <t>991005150629702656</t>
  </si>
  <si>
    <t>2266610760002656</t>
  </si>
  <si>
    <t>9780205460977</t>
  </si>
  <si>
    <t>32285005372825</t>
  </si>
  <si>
    <t>893807894</t>
  </si>
  <si>
    <t>HV11 .E965 2008</t>
  </si>
  <si>
    <t>0                      HV 0011000E  965         2008</t>
  </si>
  <si>
    <t>The evidence-based internship : a field manual / edited by Barbara Thomlison and Kevin Corcoran.</t>
  </si>
  <si>
    <t>Oxford ; New York : Oxford University Press, 2008.</t>
  </si>
  <si>
    <t>enk</t>
  </si>
  <si>
    <t>2007-12-17</t>
  </si>
  <si>
    <t>364615030:eng</t>
  </si>
  <si>
    <t>71243918</t>
  </si>
  <si>
    <t>991005162019702656</t>
  </si>
  <si>
    <t>2261267710002656</t>
  </si>
  <si>
    <t>9780195323504</t>
  </si>
  <si>
    <t>32285005373427</t>
  </si>
  <si>
    <t>893694841</t>
  </si>
  <si>
    <t>HV11 .F37 2009</t>
  </si>
  <si>
    <t>0                      HV 0011000F  37          2009</t>
  </si>
  <si>
    <t>Research methods for social workers : a practice-based approach / Cynthia A. Faulkner and Samuel S. Faulkner.</t>
  </si>
  <si>
    <t>Faulkner, Cynthia A.</t>
  </si>
  <si>
    <t>Chicago : Lyceum Books, c2009.</t>
  </si>
  <si>
    <t>2009</t>
  </si>
  <si>
    <t>ilu</t>
  </si>
  <si>
    <t>2009-12-10</t>
  </si>
  <si>
    <t>1066811340:eng</t>
  </si>
  <si>
    <t>228300799</t>
  </si>
  <si>
    <t>991005341479702656</t>
  </si>
  <si>
    <t>2261451750002656</t>
  </si>
  <si>
    <t>9781933478159</t>
  </si>
  <si>
    <t>32285005554349</t>
  </si>
  <si>
    <t>893242564</t>
  </si>
  <si>
    <t>HV11 .F453 2002</t>
  </si>
  <si>
    <t>0                      HV 0011000F  453         2002</t>
  </si>
  <si>
    <t>The field placement survival guide : what you need to know to get the most from your social work practicum / edited by Linda May Grobman.</t>
  </si>
  <si>
    <t>Harrisburg, PA : White Hat Communications, c2002.</t>
  </si>
  <si>
    <t>2002</t>
  </si>
  <si>
    <t>pau</t>
  </si>
  <si>
    <t>Best of the New social worker</t>
  </si>
  <si>
    <t>2005-04-30</t>
  </si>
  <si>
    <t>2003-04-03</t>
  </si>
  <si>
    <t>905245870:eng</t>
  </si>
  <si>
    <t>48177120</t>
  </si>
  <si>
    <t>991004007389702656</t>
  </si>
  <si>
    <t>2255915610002656</t>
  </si>
  <si>
    <t>9781929109104</t>
  </si>
  <si>
    <t>32285004689476</t>
  </si>
  <si>
    <t>893240894</t>
  </si>
  <si>
    <t>HV11 .G42 1999</t>
  </si>
  <si>
    <t>0                      HV 0011000G  42          1999</t>
  </si>
  <si>
    <t>Critical thinking for social workers : exercises for the helping professions / Leonard Gibbs, Eileen Gambrill.</t>
  </si>
  <si>
    <t>Gibbs, Leonard E.</t>
  </si>
  <si>
    <t>Thousand Oaks, Calif. : Pine Forge Press, c1999.</t>
  </si>
  <si>
    <t>1999</t>
  </si>
  <si>
    <t>2009-01-14</t>
  </si>
  <si>
    <t>2001-01-04</t>
  </si>
  <si>
    <t>23775035:eng</t>
  </si>
  <si>
    <t>40263420</t>
  </si>
  <si>
    <t>991003335449702656</t>
  </si>
  <si>
    <t>2271504630002656</t>
  </si>
  <si>
    <t>9780761986089</t>
  </si>
  <si>
    <t>32285004279427</t>
  </si>
  <si>
    <t>893780879</t>
  </si>
  <si>
    <t>HV11 .H845 2008</t>
  </si>
  <si>
    <t>0                      HV 0011000H  845         2008</t>
  </si>
  <si>
    <t>Social work research for social justice / Beth Humphries.</t>
  </si>
  <si>
    <t>Humphries, Beth, 1940-</t>
  </si>
  <si>
    <t>Houndmills, Basingstoke, Hampshire ; New York : Palgrave Macmillan, c2008.</t>
  </si>
  <si>
    <t>Reshaping social work</t>
  </si>
  <si>
    <t>2009-10-13</t>
  </si>
  <si>
    <t>119527351:eng</t>
  </si>
  <si>
    <t>223370074</t>
  </si>
  <si>
    <t>991005335179702656</t>
  </si>
  <si>
    <t>2272022830002656</t>
  </si>
  <si>
    <t>9781403949356</t>
  </si>
  <si>
    <t>32285005547483</t>
  </si>
  <si>
    <t>893437537</t>
  </si>
  <si>
    <t>HV11 .I566 2007</t>
  </si>
  <si>
    <t>0                      HV 0011000I  566         2007</t>
  </si>
  <si>
    <t>International social work : social problems, cultural issues and social work education / Stefan Borrmann, Michael Klassen, Christian Spatscheck (eds.).</t>
  </si>
  <si>
    <t>Opladen ; Farmington Hills, MI : Barbara Budrich Publishers, 2007.</t>
  </si>
  <si>
    <t>2007</t>
  </si>
  <si>
    <t xml:space="preserve">gw </t>
  </si>
  <si>
    <t>2009-02-23</t>
  </si>
  <si>
    <t>857291999:eng</t>
  </si>
  <si>
    <t>123893487</t>
  </si>
  <si>
    <t>991005293459702656</t>
  </si>
  <si>
    <t>2259130260002656</t>
  </si>
  <si>
    <t>9783866490871</t>
  </si>
  <si>
    <t>32285005505671</t>
  </si>
  <si>
    <t>893783366</t>
  </si>
  <si>
    <t>HV11 .M3494 1996</t>
  </si>
  <si>
    <t>0                      HV 0011000M  3494        1996</t>
  </si>
  <si>
    <t>Measuring the performance of human service programs / Lawrence L. Martin, Peter M. Kettner.</t>
  </si>
  <si>
    <t>Martin, Lawrence L.</t>
  </si>
  <si>
    <t>Thousand Oaks : Sage Publications, c1996.</t>
  </si>
  <si>
    <t>1996</t>
  </si>
  <si>
    <t>Sage human services guides ; v. 71</t>
  </si>
  <si>
    <t>2006-11-13</t>
  </si>
  <si>
    <t>1997-01-23</t>
  </si>
  <si>
    <t>37600352:eng</t>
  </si>
  <si>
    <t>33408066</t>
  </si>
  <si>
    <t>991002571269702656</t>
  </si>
  <si>
    <t>2257064270002656</t>
  </si>
  <si>
    <t>9780803971349</t>
  </si>
  <si>
    <t>32285002410693</t>
  </si>
  <si>
    <t>893498273</t>
  </si>
  <si>
    <t>HV11 .R3975 2006</t>
  </si>
  <si>
    <t>0                      HV 0011000R  3975        2006</t>
  </si>
  <si>
    <t>The research process in the human services : behind the scenes / [edited by] Leslie B. Alexander, Phyllis Solomon.</t>
  </si>
  <si>
    <t>2005-11-09</t>
  </si>
  <si>
    <t>796496786:eng</t>
  </si>
  <si>
    <t>60931793</t>
  </si>
  <si>
    <t>991004671579702656</t>
  </si>
  <si>
    <t>2261762270002656</t>
  </si>
  <si>
    <t>9780534626105</t>
  </si>
  <si>
    <t>32285005146641</t>
  </si>
  <si>
    <t>893411817</t>
  </si>
  <si>
    <t>HV11 .R84 2001</t>
  </si>
  <si>
    <t>0                      HV 0011000R  84          2001</t>
  </si>
  <si>
    <t>Research methods for social work / Allen Rubin, Earl Babbie.</t>
  </si>
  <si>
    <t>Rubin, Allen.</t>
  </si>
  <si>
    <t>Australia ; Belmont, CA : Wadsworth/Thomson Learning, c2001.</t>
  </si>
  <si>
    <t>2001</t>
  </si>
  <si>
    <t>4th ed.</t>
  </si>
  <si>
    <t xml:space="preserve">at </t>
  </si>
  <si>
    <t>2005-04-19</t>
  </si>
  <si>
    <t>2001-04-09</t>
  </si>
  <si>
    <t>12348899:eng</t>
  </si>
  <si>
    <t>43953996</t>
  </si>
  <si>
    <t>991003494639702656</t>
  </si>
  <si>
    <t>2255285600002656</t>
  </si>
  <si>
    <t>9780534362171</t>
  </si>
  <si>
    <t>32285004310784</t>
  </si>
  <si>
    <t>893627611</t>
  </si>
  <si>
    <t>HV11 .S36 1995</t>
  </si>
  <si>
    <t>0                      HV 0011000S  36          1995</t>
  </si>
  <si>
    <t>Outcome-based evaluation / Robert L. Schalock.</t>
  </si>
  <si>
    <t>Schalock, Robert L.</t>
  </si>
  <si>
    <t>New York : Plenum Press, c1995.</t>
  </si>
  <si>
    <t>1995</t>
  </si>
  <si>
    <t>2007-03-07</t>
  </si>
  <si>
    <t>1996-01-23</t>
  </si>
  <si>
    <t>998306:eng</t>
  </si>
  <si>
    <t>32969826</t>
  </si>
  <si>
    <t>991002537219702656</t>
  </si>
  <si>
    <t>2265713360002656</t>
  </si>
  <si>
    <t>9780306450518</t>
  </si>
  <si>
    <t>32285002125465</t>
  </si>
  <si>
    <t>893251348</t>
  </si>
  <si>
    <t>HV11 .S5924 1999</t>
  </si>
  <si>
    <t>0                      HV 0011000S  5924        1999</t>
  </si>
  <si>
    <t>Social work research methods : building knowledge for practice / edited by Stuart A. Kirk.</t>
  </si>
  <si>
    <t>Washington, D.C. : NASW Press, c1999.</t>
  </si>
  <si>
    <t>2006-11-05</t>
  </si>
  <si>
    <t>1999-12-20</t>
  </si>
  <si>
    <t>894502022:eng</t>
  </si>
  <si>
    <t>39982198</t>
  </si>
  <si>
    <t>991002978659702656</t>
  </si>
  <si>
    <t>2258184490002656</t>
  </si>
  <si>
    <t>9780871013002</t>
  </si>
  <si>
    <t>32285003634770</t>
  </si>
  <si>
    <t>893780478</t>
  </si>
  <si>
    <t>HV11 .S833 2010</t>
  </si>
  <si>
    <t>0                      HV 0011000S  833         2010</t>
  </si>
  <si>
    <t>A dream deferred : how social work education lost its way and what can be done / David Stoesz, Howard Jacob Karger, Terry Carrilio.</t>
  </si>
  <si>
    <t>Stoesz, David.</t>
  </si>
  <si>
    <t>New Brunswick, N.J. : Transaction Publishers, c2010.</t>
  </si>
  <si>
    <t>2010</t>
  </si>
  <si>
    <t>nju</t>
  </si>
  <si>
    <t>2010-09-29</t>
  </si>
  <si>
    <t>792539609:eng</t>
  </si>
  <si>
    <t>489256975</t>
  </si>
  <si>
    <t>991000153289702656</t>
  </si>
  <si>
    <t>2265608470002656</t>
  </si>
  <si>
    <t>9780202363806</t>
  </si>
  <si>
    <t>32285005597546</t>
  </si>
  <si>
    <t>893777740</t>
  </si>
  <si>
    <t>HV11 .S835 1996</t>
  </si>
  <si>
    <t>0                      HV 0011000S  835         1996</t>
  </si>
  <si>
    <t>Action research : a handbook for practitioners / Ernest T. Stringer.</t>
  </si>
  <si>
    <t>Stringer, Ernest T.</t>
  </si>
  <si>
    <t>Thousand Oaks, Calif. : Sage Publications, c1996.</t>
  </si>
  <si>
    <t>2006-04-10</t>
  </si>
  <si>
    <t>1996-05-06</t>
  </si>
  <si>
    <t>4917727986:eng</t>
  </si>
  <si>
    <t>33408082</t>
  </si>
  <si>
    <t>991005422609702656</t>
  </si>
  <si>
    <t>2257068340002656</t>
  </si>
  <si>
    <t>9780761900641</t>
  </si>
  <si>
    <t>32285002159092</t>
  </si>
  <si>
    <t>893796206</t>
  </si>
  <si>
    <t>HV11 .T394 2005</t>
  </si>
  <si>
    <t>0                      HV 0011000T  394         2005</t>
  </si>
  <si>
    <t>Teaching international content : curriculum resources for social work education / edited by Rosemary J. Link and Lynne M. Healy.</t>
  </si>
  <si>
    <t>Alexandria, VA : Council on Social Work Education, c2005.</t>
  </si>
  <si>
    <t>vau</t>
  </si>
  <si>
    <t>2009-09-29</t>
  </si>
  <si>
    <t>364446134:eng</t>
  </si>
  <si>
    <t>58448574</t>
  </si>
  <si>
    <t>991005335469702656</t>
  </si>
  <si>
    <t>2263177820002656</t>
  </si>
  <si>
    <t>9780872931152</t>
  </si>
  <si>
    <t>32285005545792</t>
  </si>
  <si>
    <t>893713882</t>
  </si>
  <si>
    <t>HV11 .T745 2007</t>
  </si>
  <si>
    <t>0                      HV 0011000T  745         2007</t>
  </si>
  <si>
    <t>International social work research : issues and prospects / Tony Tripodi and Miriam Potocky-Tripodi.</t>
  </si>
  <si>
    <t>Tripodi, Tony.</t>
  </si>
  <si>
    <t>Oxford ; New York : Oxford University Press, 2007.</t>
  </si>
  <si>
    <t>2007-04-02</t>
  </si>
  <si>
    <t>801817571:eng</t>
  </si>
  <si>
    <t>62697140</t>
  </si>
  <si>
    <t>991005061389702656</t>
  </si>
  <si>
    <t>2267063940002656</t>
  </si>
  <si>
    <t>9780195187250</t>
  </si>
  <si>
    <t>32285005284723</t>
  </si>
  <si>
    <t>893344581</t>
  </si>
  <si>
    <t>HV11 .W478  2005</t>
  </si>
  <si>
    <t>0                      HV 0011000W  478         2005</t>
  </si>
  <si>
    <t>Planning and conducting agency-based research / Alex Westerfelt, Tracy J. Dietz.</t>
  </si>
  <si>
    <t>Westerfelt, Alex.</t>
  </si>
  <si>
    <t>Boston : Pearson, c2005.</t>
  </si>
  <si>
    <t>3rd ed.</t>
  </si>
  <si>
    <t>2009-01-26</t>
  </si>
  <si>
    <t>2007-11-15</t>
  </si>
  <si>
    <t>425903:eng</t>
  </si>
  <si>
    <t>56982737</t>
  </si>
  <si>
    <t>991005147109702656</t>
  </si>
  <si>
    <t>2265322230002656</t>
  </si>
  <si>
    <t>9780205386871</t>
  </si>
  <si>
    <t>32285005367536</t>
  </si>
  <si>
    <t>893248438</t>
  </si>
  <si>
    <t>HV11 .Y43 2006</t>
  </si>
  <si>
    <t>0                      HV 0011000Y  43          2006</t>
  </si>
  <si>
    <t>Research methods for social workers / Bonnie L. Yegidis, Robert W. Weinbach.</t>
  </si>
  <si>
    <t>Yegidis, Bonnie L.</t>
  </si>
  <si>
    <t>Boston, Mass. : Pearson/Allyn and Bacon, 2006.</t>
  </si>
  <si>
    <t>5th ed.</t>
  </si>
  <si>
    <t>2008-01-17</t>
  </si>
  <si>
    <t>892856:eng</t>
  </si>
  <si>
    <t>58451847</t>
  </si>
  <si>
    <t>991005150649702656</t>
  </si>
  <si>
    <t>2268240610002656</t>
  </si>
  <si>
    <t>9780205408184</t>
  </si>
  <si>
    <t>32285005372718</t>
  </si>
  <si>
    <t>893719872</t>
  </si>
  <si>
    <t>HV11.5 .S65 2000</t>
  </si>
  <si>
    <t>0                      HV 0011500S  65          2000</t>
  </si>
  <si>
    <t>Active learning exercises for social work and the human services / Cate Solomon.</t>
  </si>
  <si>
    <t>Solomon, Cate.</t>
  </si>
  <si>
    <t>Boston : Allyn and Bacon, c2000.</t>
  </si>
  <si>
    <t>2000</t>
  </si>
  <si>
    <t>2002-02-27</t>
  </si>
  <si>
    <t>1999-11-02</t>
  </si>
  <si>
    <t>2210801630:eng</t>
  </si>
  <si>
    <t>42648108</t>
  </si>
  <si>
    <t>991003046639702656</t>
  </si>
  <si>
    <t>2259884130002656</t>
  </si>
  <si>
    <t>9780205284856</t>
  </si>
  <si>
    <t>32285003617395</t>
  </si>
  <si>
    <t>893409866</t>
  </si>
  <si>
    <t>HV11.5 .S86 2008</t>
  </si>
  <si>
    <t>0                      HV 0011500S  86          2008</t>
  </si>
  <si>
    <t>Fundamentals of case management practice : skills for the human services / Nancy Summers.</t>
  </si>
  <si>
    <t>Summers, Nancy.</t>
  </si>
  <si>
    <t>Belmont, CA : Brooks/Cole, 2008.</t>
  </si>
  <si>
    <t>2010-01-08</t>
  </si>
  <si>
    <t>2008-08-13</t>
  </si>
  <si>
    <t>796385078:eng</t>
  </si>
  <si>
    <t>226389208</t>
  </si>
  <si>
    <t>991005255659702656</t>
  </si>
  <si>
    <t>2266248110002656</t>
  </si>
  <si>
    <t>9780495501473</t>
  </si>
  <si>
    <t>32285005453740</t>
  </si>
  <si>
    <t>893236547</t>
  </si>
  <si>
    <t>HV11.7 .P49 2007</t>
  </si>
  <si>
    <t>0                      HV 0011700P  49          2007</t>
  </si>
  <si>
    <t>Challenging White privilege : critical discourse for social work education / Nocona Pewewardy.</t>
  </si>
  <si>
    <t>Pewewardy, Nocona.</t>
  </si>
  <si>
    <t>Alexandria, Va. : Council on Social Work Education, c2007.</t>
  </si>
  <si>
    <t>2009-09-22</t>
  </si>
  <si>
    <t>69693583:eng</t>
  </si>
  <si>
    <t>85766086</t>
  </si>
  <si>
    <t>991005335499702656</t>
  </si>
  <si>
    <t>2263495200002656</t>
  </si>
  <si>
    <t>9780872931275</t>
  </si>
  <si>
    <t>32285005545032</t>
  </si>
  <si>
    <t>893619809</t>
  </si>
  <si>
    <t>HV11.7 .S68 2006</t>
  </si>
  <si>
    <t>0                      HV 0011700S  68          2006</t>
  </si>
  <si>
    <t>Getting your MSW : how to survive and thrive in a social work program / Karen M. Sowers, Bruce A.Thyer.</t>
  </si>
  <si>
    <t>Sowers, Karen M. (Karen Marlaine)</t>
  </si>
  <si>
    <t>Chicago, Ill. : Lyceum Books, c2006.</t>
  </si>
  <si>
    <t>2006-01-26</t>
  </si>
  <si>
    <t>364485521:eng</t>
  </si>
  <si>
    <t>59011500</t>
  </si>
  <si>
    <t>991004704929702656</t>
  </si>
  <si>
    <t>2270324950002656</t>
  </si>
  <si>
    <t>9780925065704</t>
  </si>
  <si>
    <t>32285005156517</t>
  </si>
  <si>
    <t>893612673</t>
  </si>
  <si>
    <t>HV11.7 .W665 2010</t>
  </si>
  <si>
    <t>0                      HV 0011700W  665         2010</t>
  </si>
  <si>
    <t>Women of color on the rise : leadership and administration in social work education and the academy / Halaevalu F. Ofahengaue Vakalahi and Wilma Peebles-Wilkins, editors.</t>
  </si>
  <si>
    <t>New York : Columbia University Press, c2010.</t>
  </si>
  <si>
    <t>2010-04-12</t>
  </si>
  <si>
    <t>364938475:eng</t>
  </si>
  <si>
    <t>320798877</t>
  </si>
  <si>
    <t>991005381819702656</t>
  </si>
  <si>
    <t>2261071890002656</t>
  </si>
  <si>
    <t>9780231144766</t>
  </si>
  <si>
    <t>32285005562789</t>
  </si>
  <si>
    <t>893418868</t>
  </si>
  <si>
    <t>HV1344.5.Z8 A334 2006</t>
  </si>
  <si>
    <t>0                      HV 1344500Z  8                  A  334         2006</t>
  </si>
  <si>
    <t>There is no me without you : one woman's odyssey to rescue Africa's children / Melissa Fay Greene.</t>
  </si>
  <si>
    <t>Greene, Melissa Fay.</t>
  </si>
  <si>
    <t>New York : Bloomsbury : Distributed to the trade by Holtzbrinck, 2006.</t>
  </si>
  <si>
    <t>1st U.S. ed.</t>
  </si>
  <si>
    <t>2008-10-07</t>
  </si>
  <si>
    <t>2006-09-26</t>
  </si>
  <si>
    <t>51359856:eng</t>
  </si>
  <si>
    <t>67945340</t>
  </si>
  <si>
    <t>991004905939702656</t>
  </si>
  <si>
    <t>2262403770002656</t>
  </si>
  <si>
    <t>9781596911161</t>
  </si>
  <si>
    <t>32285005225163</t>
  </si>
  <si>
    <t>893782793</t>
  </si>
  <si>
    <t>HV1421 .M35 2004</t>
  </si>
  <si>
    <t>0                      HV 1421000M  35          2004</t>
  </si>
  <si>
    <t>Group work with adolescents : principles and practice / Andrew Malekoff.</t>
  </si>
  <si>
    <t>Malekoff, Andrew.</t>
  </si>
  <si>
    <t>New York : Guilford Press, c2004.</t>
  </si>
  <si>
    <t>Social work practice with children and families</t>
  </si>
  <si>
    <t>2004-11-02</t>
  </si>
  <si>
    <t>796386712:eng</t>
  </si>
  <si>
    <t>54966274</t>
  </si>
  <si>
    <t>991004391539702656</t>
  </si>
  <si>
    <t>2255313490002656</t>
  </si>
  <si>
    <t>9781593850692</t>
  </si>
  <si>
    <t>32285005008312</t>
  </si>
  <si>
    <t>893718849</t>
  </si>
  <si>
    <t>HV1431 .A64 1999</t>
  </si>
  <si>
    <t>0                      HV 1431000A  64          1999</t>
  </si>
  <si>
    <t>America's disconnected youth : toward a preventive strategy / Douglas J. Besharov, editor.</t>
  </si>
  <si>
    <t>Washington, DC : CWLA Press/American Enterprise Institute for Public Policy Research , c1999.</t>
  </si>
  <si>
    <t>2003-02-26</t>
  </si>
  <si>
    <t>1999-10-26</t>
  </si>
  <si>
    <t>476427412:eng</t>
  </si>
  <si>
    <t>40990127</t>
  </si>
  <si>
    <t>991003014919702656</t>
  </si>
  <si>
    <t>2272315700002656</t>
  </si>
  <si>
    <t>9780878687565</t>
  </si>
  <si>
    <t>32285003613733</t>
  </si>
  <si>
    <t>893530766</t>
  </si>
  <si>
    <t>HV1431 .B7 1990</t>
  </si>
  <si>
    <t>0                      HV 1431000B  7           1990</t>
  </si>
  <si>
    <t>Reclaiming youth at risk : our hope for the future / Larry K. Brendtro, Martin Brokenleg, Steve Van Bockern.</t>
  </si>
  <si>
    <t>Brendtro, Larry K.</t>
  </si>
  <si>
    <t>Bloomington, Ind. : National Educational Service, c1990.</t>
  </si>
  <si>
    <t>1990</t>
  </si>
  <si>
    <t>inu</t>
  </si>
  <si>
    <t>2006-06-23</t>
  </si>
  <si>
    <t>1990-11-13</t>
  </si>
  <si>
    <t>23504246:eng</t>
  </si>
  <si>
    <t>21981645</t>
  </si>
  <si>
    <t>991001739619702656</t>
  </si>
  <si>
    <t>2266911070002656</t>
  </si>
  <si>
    <t>32285000315001</t>
  </si>
  <si>
    <t>893715671</t>
  </si>
  <si>
    <t>HV1431 .B84 1998</t>
  </si>
  <si>
    <t>0                      HV 1431000B  84          1998</t>
  </si>
  <si>
    <t>Building supportive communities for at-risk adolescents : it takes more than services / Martha R. Burt, Gary Resnick, Emily R. Novick.</t>
  </si>
  <si>
    <t>Burt, Martha R.</t>
  </si>
  <si>
    <t>Washington, D.C. : American Psychological Association, c1998.</t>
  </si>
  <si>
    <t>1st ed.</t>
  </si>
  <si>
    <t>2003-11-07</t>
  </si>
  <si>
    <t>1998-07-21</t>
  </si>
  <si>
    <t>668218:eng</t>
  </si>
  <si>
    <t>37806044</t>
  </si>
  <si>
    <t>991002867559702656</t>
  </si>
  <si>
    <t>2259268640002656</t>
  </si>
  <si>
    <t>9781557984661</t>
  </si>
  <si>
    <t>32285003433827</t>
  </si>
  <si>
    <t>893893100</t>
  </si>
  <si>
    <t>HV1431 .E25 1993</t>
  </si>
  <si>
    <t>0                      HV 1431000E  25          1993</t>
  </si>
  <si>
    <t>Early adolescence : perspectives on research, policy, and intervention / edited by Richard M. Lerner.</t>
  </si>
  <si>
    <t>Hillsdale, N.J. : Lawrence, 1993.</t>
  </si>
  <si>
    <t>1993</t>
  </si>
  <si>
    <t>The Penn State series on child &amp; adolescent development</t>
  </si>
  <si>
    <t>1999-06-20</t>
  </si>
  <si>
    <t>1994-11-22</t>
  </si>
  <si>
    <t>890162034:eng</t>
  </si>
  <si>
    <t>27149832</t>
  </si>
  <si>
    <t>991002118729702656</t>
  </si>
  <si>
    <t>2259284670002656</t>
  </si>
  <si>
    <t>9780805811643</t>
  </si>
  <si>
    <t>32285001959484</t>
  </si>
  <si>
    <t>893444978</t>
  </si>
  <si>
    <t>HV1431 .M37 2003</t>
  </si>
  <si>
    <t>0                      HV 1431000M  37          2003</t>
  </si>
  <si>
    <t>Uncertain futures : foster youth in transition to adulthood / by Edmund V. Mech ; with contributions from Hewitt B. Clark ... [et al.].</t>
  </si>
  <si>
    <t>Mech, Edmund V.</t>
  </si>
  <si>
    <t>Washington, DC : CWLA Press, c2003.</t>
  </si>
  <si>
    <t>2003</t>
  </si>
  <si>
    <t>2004-04-19</t>
  </si>
  <si>
    <t>732647:eng</t>
  </si>
  <si>
    <t>50898407</t>
  </si>
  <si>
    <t>991004263239702656</t>
  </si>
  <si>
    <t>2259967100002656</t>
  </si>
  <si>
    <t>9780878688692</t>
  </si>
  <si>
    <t>32285004900139</t>
  </si>
  <si>
    <t>893782040</t>
  </si>
  <si>
    <t>HV1431 .S54 2004</t>
  </si>
  <si>
    <t>0                      HV 1431000S  54          2004</t>
  </si>
  <si>
    <t>Our runaway and homeless youth : a guide to understanding / Natasha Slesnick.</t>
  </si>
  <si>
    <t>Slesnick, Natasha, 1966-</t>
  </si>
  <si>
    <t>Westport, CT : Praeger, 2004.</t>
  </si>
  <si>
    <t>ctu</t>
  </si>
  <si>
    <t>2008-09-25</t>
  </si>
  <si>
    <t>2004-08-30</t>
  </si>
  <si>
    <t>797250797:eng</t>
  </si>
  <si>
    <t>54365208</t>
  </si>
  <si>
    <t>991004330369702656</t>
  </si>
  <si>
    <t>2258121370002656</t>
  </si>
  <si>
    <t>9780275979942</t>
  </si>
  <si>
    <t>32285004983846</t>
  </si>
  <si>
    <t>893693812</t>
  </si>
  <si>
    <t>HV1431 .S97 2006</t>
  </si>
  <si>
    <t>0                      HV 1431000S  97          2006</t>
  </si>
  <si>
    <t>Help at any cost : how the troubled-teen industry cons parents and hurts kids / Maia Szalavitz.</t>
  </si>
  <si>
    <t>Szalavitz, Maia.</t>
  </si>
  <si>
    <t>New York : Riverhead, 2006.</t>
  </si>
  <si>
    <t>2006-04-26</t>
  </si>
  <si>
    <t>974023:eng</t>
  </si>
  <si>
    <t>61169844</t>
  </si>
  <si>
    <t>991004800049702656</t>
  </si>
  <si>
    <t>2266233850002656</t>
  </si>
  <si>
    <t>9781594489105</t>
  </si>
  <si>
    <t>32285005182927</t>
  </si>
  <si>
    <t>893247994</t>
  </si>
  <si>
    <t>HV1437.N5 F56 2005</t>
  </si>
  <si>
    <t>0                      HV 1437000N  5                  F  56          2005</t>
  </si>
  <si>
    <t>With no direction home : homeless youth on the road and in the streets / Marni Finkelstein.</t>
  </si>
  <si>
    <t>Finkelstein, Marni.</t>
  </si>
  <si>
    <t>Belmont, CA : Thomson/Wadsworth, c2005.</t>
  </si>
  <si>
    <t>Case studies on contemporary social issues</t>
  </si>
  <si>
    <t>2004-11-08</t>
  </si>
  <si>
    <t>911679:eng</t>
  </si>
  <si>
    <t>56356098</t>
  </si>
  <si>
    <t>991004376859702656</t>
  </si>
  <si>
    <t>2263949770002656</t>
  </si>
  <si>
    <t>9780534626495</t>
  </si>
  <si>
    <t>32285005009468</t>
  </si>
  <si>
    <t>893687657</t>
  </si>
  <si>
    <t>HV1437.N5 W55 1994</t>
  </si>
  <si>
    <t>0                      HV 1437000N  5                  W  55          1994</t>
  </si>
  <si>
    <t>The uptown kids : struggle and hope in the projects / Terry Williams and William Kornblum.</t>
  </si>
  <si>
    <t>Williams, Terry M. (Terry Moses), 1948-</t>
  </si>
  <si>
    <t>New York : Putnam, c1994.</t>
  </si>
  <si>
    <t>1994</t>
  </si>
  <si>
    <t>2007-09-26</t>
  </si>
  <si>
    <t>1994-05-26</t>
  </si>
  <si>
    <t>375671098:eng</t>
  </si>
  <si>
    <t>29518865</t>
  </si>
  <si>
    <t>991002274359702656</t>
  </si>
  <si>
    <t>2272072470002656</t>
  </si>
  <si>
    <t>9780399138874</t>
  </si>
  <si>
    <t>32285001899144</t>
  </si>
  <si>
    <t>893341245</t>
  </si>
  <si>
    <t>HV1445 .B85 1994</t>
  </si>
  <si>
    <t>0                      HV 1445000B  85          1994</t>
  </si>
  <si>
    <t>Building on women's strengths : a social work agenda for the twenty-first century / Liane V. Davis, editor.</t>
  </si>
  <si>
    <t>New York : Haworth Press, c1994.</t>
  </si>
  <si>
    <t>Haworth social work practice</t>
  </si>
  <si>
    <t>2005-10-29</t>
  </si>
  <si>
    <t>2000-01-27</t>
  </si>
  <si>
    <t>800759754:eng</t>
  </si>
  <si>
    <t>29361270</t>
  </si>
  <si>
    <t>991002264529702656</t>
  </si>
  <si>
    <t>2256585650002656</t>
  </si>
  <si>
    <t>9781560248620</t>
  </si>
  <si>
    <t>32285003656393</t>
  </si>
  <si>
    <t>893785928</t>
  </si>
  <si>
    <t>HV1445 .E45 1999</t>
  </si>
  <si>
    <t>0                      HV 1445000E  45          1999</t>
  </si>
  <si>
    <t>Empowering women of color / [edited by] Lorraine M. Gutiérrez and Edith A. Lewis.</t>
  </si>
  <si>
    <t>New York : Columbia University Press, c1999.</t>
  </si>
  <si>
    <t>Empowering the powerless</t>
  </si>
  <si>
    <t>2006-11-09</t>
  </si>
  <si>
    <t>2000-12-12</t>
  </si>
  <si>
    <t>1062491:eng</t>
  </si>
  <si>
    <t>40354840</t>
  </si>
  <si>
    <t>991003313769702656</t>
  </si>
  <si>
    <t>2267179190002656</t>
  </si>
  <si>
    <t>9780231101165</t>
  </si>
  <si>
    <t>32285004276076</t>
  </si>
  <si>
    <t>893686432</t>
  </si>
  <si>
    <t>HV1445 .M55 1999</t>
  </si>
  <si>
    <t>0                      HV 1445000M  55          1999</t>
  </si>
  <si>
    <t>Whose welfare? / edited by Gwendolyn Mink.</t>
  </si>
  <si>
    <t>Ithaca, N.Y. : Cornell University Press, 1999.</t>
  </si>
  <si>
    <t>2005-08-29</t>
  </si>
  <si>
    <t>2000-10-04</t>
  </si>
  <si>
    <t>12680490:eng</t>
  </si>
  <si>
    <t>41612512</t>
  </si>
  <si>
    <t>991003307159702656</t>
  </si>
  <si>
    <t>2263792720002656</t>
  </si>
  <si>
    <t>9780801486203</t>
  </si>
  <si>
    <t>32285003766416</t>
  </si>
  <si>
    <t>893868284</t>
  </si>
  <si>
    <t>HV1445 .R64 1990</t>
  </si>
  <si>
    <t>0                      HV 1445000R  64          1990</t>
  </si>
  <si>
    <t>Poor women, poor families : the economic plight of America's female-headed households / Harrell R. Rodgers, Jr.</t>
  </si>
  <si>
    <t>Rodgers, Harrell R.</t>
  </si>
  <si>
    <t>Armonk, N.Y. : M.E. Sharpe, c1990.</t>
  </si>
  <si>
    <t>Rev. ed.</t>
  </si>
  <si>
    <t>1997-03-12</t>
  </si>
  <si>
    <t>1990-09-24</t>
  </si>
  <si>
    <t>6711321:eng</t>
  </si>
  <si>
    <t>20629283</t>
  </si>
  <si>
    <t>991001596769702656</t>
  </si>
  <si>
    <t>2264395140002656</t>
  </si>
  <si>
    <t>9780873325950</t>
  </si>
  <si>
    <t>32285000277961</t>
  </si>
  <si>
    <t>893897893</t>
  </si>
  <si>
    <t>HV1445 .R64 1996</t>
  </si>
  <si>
    <t>0                      HV 1445000R  64          1996</t>
  </si>
  <si>
    <t>Poor women, poor children : American poverty in the 1990s / by Harrell R. Rodgers, Jr.</t>
  </si>
  <si>
    <t>Armonk, N.Y. : M.E. Sharpe, c1996.</t>
  </si>
  <si>
    <t>2010-02-03</t>
  </si>
  <si>
    <t>2001-05-17</t>
  </si>
  <si>
    <t>198524391:eng</t>
  </si>
  <si>
    <t>33162270</t>
  </si>
  <si>
    <t>991003474079702656</t>
  </si>
  <si>
    <t>2262364320002656</t>
  </si>
  <si>
    <t>9781563246074</t>
  </si>
  <si>
    <t>32285004318076</t>
  </si>
  <si>
    <t>893799753</t>
  </si>
  <si>
    <t>HV1445 .R68</t>
  </si>
  <si>
    <t>0                      HV 1445000R  68</t>
  </si>
  <si>
    <t>Shopping bag ladies : homeless women speak about their lives / by Ann Marie Rousseau ; preface by Alix Kates Shulman.</t>
  </si>
  <si>
    <t>Rousseau, Ann Marie, 1946-</t>
  </si>
  <si>
    <t>New York : Pilgrim Press, c1981.</t>
  </si>
  <si>
    <t>1981</t>
  </si>
  <si>
    <t>1995-04-06</t>
  </si>
  <si>
    <t>1990-04-10</t>
  </si>
  <si>
    <t>905640662:eng</t>
  </si>
  <si>
    <t>7197693</t>
  </si>
  <si>
    <t>991005087899702656</t>
  </si>
  <si>
    <t>2256838190002656</t>
  </si>
  <si>
    <t>9780829804133</t>
  </si>
  <si>
    <t>32285000114479</t>
  </si>
  <si>
    <t>893719745</t>
  </si>
  <si>
    <t>HV1445 .W664 2003</t>
  </si>
  <si>
    <t>0                      HV 1445000W  664         2003</t>
  </si>
  <si>
    <t>Women, work, and poverty : women centered research for policy change / Heidi Hartmann, editor.</t>
  </si>
  <si>
    <t>Women's Policy Research Conference (7th : 2003 : Washington, D.C.)</t>
  </si>
  <si>
    <t>New York : Haworth Political Press, c2005.</t>
  </si>
  <si>
    <t>2010-09-28</t>
  </si>
  <si>
    <t>2006-10-16</t>
  </si>
  <si>
    <t>149209744:eng</t>
  </si>
  <si>
    <t>62302205</t>
  </si>
  <si>
    <t>991004902969702656</t>
  </si>
  <si>
    <t>2260117080002656</t>
  </si>
  <si>
    <t>9780789032454</t>
  </si>
  <si>
    <t>32285005230270</t>
  </si>
  <si>
    <t>893344384</t>
  </si>
  <si>
    <t>HV1445 .Z66 1989</t>
  </si>
  <si>
    <t>0                      HV 1445000Z  66          1989</t>
  </si>
  <si>
    <t>American women in poverty / Paul E. Zopf, Jr.</t>
  </si>
  <si>
    <t>Zopf, Paul E.</t>
  </si>
  <si>
    <t>New York : Greenwood Press, 1989.</t>
  </si>
  <si>
    <t>1989</t>
  </si>
  <si>
    <t>Contributions in women's studies, 0147-104X ; no. 100</t>
  </si>
  <si>
    <t>1999-12-02</t>
  </si>
  <si>
    <t>1992-06-24</t>
  </si>
  <si>
    <t>2615286:eng</t>
  </si>
  <si>
    <t>18258283</t>
  </si>
  <si>
    <t>991001324289702656</t>
  </si>
  <si>
    <t>2254842770002656</t>
  </si>
  <si>
    <t>9780313259807</t>
  </si>
  <si>
    <t>32285001180065</t>
  </si>
  <si>
    <t>893778720</t>
  </si>
  <si>
    <t>HV1446.A8 H65 2002</t>
  </si>
  <si>
    <t>0                      HV 1446000A  8                  H  65          2002</t>
  </si>
  <si>
    <t>Moving up and out : poverty, education, and the single parent family / Lori Holyfield ; foreword by Hillary Rodham Clinton.</t>
  </si>
  <si>
    <t>Holyfield, Lori, 1960-</t>
  </si>
  <si>
    <t>Philadelphia : Temple University Press, 2002.</t>
  </si>
  <si>
    <t>2010-04-18</t>
  </si>
  <si>
    <t>2002-04-10</t>
  </si>
  <si>
    <t>797275429:eng</t>
  </si>
  <si>
    <t>47074641</t>
  </si>
  <si>
    <t>991003753979702656</t>
  </si>
  <si>
    <t>2266999500002656</t>
  </si>
  <si>
    <t>9781566399142</t>
  </si>
  <si>
    <t>32285004478607</t>
  </si>
  <si>
    <t>893234532</t>
  </si>
  <si>
    <t>HV1447.P55 M47 2005</t>
  </si>
  <si>
    <t>0                      HV 1447000P  55                 M  47          2005</t>
  </si>
  <si>
    <t>The evolution of feminist organizations : an organizational study / Diane Metzendorf.</t>
  </si>
  <si>
    <t>Metzendorf, Diane.</t>
  </si>
  <si>
    <t>Lanham, Md. : University Press of America, c2005.</t>
  </si>
  <si>
    <t>mdu</t>
  </si>
  <si>
    <t>2007-02-14</t>
  </si>
  <si>
    <t>196093982:eng</t>
  </si>
  <si>
    <t>60503182</t>
  </si>
  <si>
    <t>991005034349702656</t>
  </si>
  <si>
    <t>2268386630002656</t>
  </si>
  <si>
    <t>9780761831037</t>
  </si>
  <si>
    <t>32285005276539</t>
  </si>
  <si>
    <t>893513933</t>
  </si>
  <si>
    <t>HV1448.G72 I734 2004</t>
  </si>
  <si>
    <t>0                      HV 1448000G  72                 I  734         2004</t>
  </si>
  <si>
    <t>Do penance or perish : Magdalen asylums in Ireland / Frances Finnegan.</t>
  </si>
  <si>
    <t>Finnegan, Frances.</t>
  </si>
  <si>
    <t>Oxford ; New York : Oxford University Press, 2004.</t>
  </si>
  <si>
    <t>1st Oxford University Press ed.</t>
  </si>
  <si>
    <t>2005-05-10</t>
  </si>
  <si>
    <t>987435:eng</t>
  </si>
  <si>
    <t>54349668</t>
  </si>
  <si>
    <t>991004519579702656</t>
  </si>
  <si>
    <t>2268767460002656</t>
  </si>
  <si>
    <t>9780195174601</t>
  </si>
  <si>
    <t>32285005036842</t>
  </si>
  <si>
    <t>893901314</t>
  </si>
  <si>
    <t>HV1448.S2 G65 1991</t>
  </si>
  <si>
    <t>0                      HV 1448000S  2                  G  65          1991</t>
  </si>
  <si>
    <t>The hour of the poor, the hour of women : Salvadoran women speak / Renny Golden.</t>
  </si>
  <si>
    <t>Golden, Renny.</t>
  </si>
  <si>
    <t>New York : Crossroad, 1991.</t>
  </si>
  <si>
    <t>1991</t>
  </si>
  <si>
    <t>2008-06-02</t>
  </si>
  <si>
    <t>1999-11-03</t>
  </si>
  <si>
    <t>365499493:eng</t>
  </si>
  <si>
    <t>23462900</t>
  </si>
  <si>
    <t>991001865619702656</t>
  </si>
  <si>
    <t>2255522400002656</t>
  </si>
  <si>
    <t>9780824510886</t>
  </si>
  <si>
    <t>32285003617478</t>
  </si>
  <si>
    <t>893885603</t>
  </si>
  <si>
    <t>HV1449 .A66 1998</t>
  </si>
  <si>
    <t>0                      HV 1449000A  66          1998</t>
  </si>
  <si>
    <t>Not just a passing phase : social work with gay, lesbian, and bisexual people / George Alan Appleby and Jeane W. Anastas.</t>
  </si>
  <si>
    <t>Appleby, George A., 1942-</t>
  </si>
  <si>
    <t>New York : Columbia University Press, 1998.</t>
  </si>
  <si>
    <t>Social work knowledge</t>
  </si>
  <si>
    <t>2005-12-04</t>
  </si>
  <si>
    <t>2001-12-19</t>
  </si>
  <si>
    <t>602227:eng</t>
  </si>
  <si>
    <t>37640490</t>
  </si>
  <si>
    <t>991003662089702656</t>
  </si>
  <si>
    <t>2269091130002656</t>
  </si>
  <si>
    <t>9780231103220</t>
  </si>
  <si>
    <t>32285004429691</t>
  </si>
  <si>
    <t>893228291</t>
  </si>
  <si>
    <t>HV1449 .H45 1994</t>
  </si>
  <si>
    <t>0                      HV 1449000H  45          1994</t>
  </si>
  <si>
    <t>Helping gay and lesbian youth : new policies, new programs, new practice / Teresa DeCrescenzo, editor.</t>
  </si>
  <si>
    <t>2004-06-06</t>
  </si>
  <si>
    <t>1996-11-13</t>
  </si>
  <si>
    <t>324707:eng</t>
  </si>
  <si>
    <t>30974031</t>
  </si>
  <si>
    <t>991002383229702656</t>
  </si>
  <si>
    <t>2260106340002656</t>
  </si>
  <si>
    <t>9781560230571</t>
  </si>
  <si>
    <t>32285002372331</t>
  </si>
  <si>
    <t>893226777</t>
  </si>
  <si>
    <t>HV1449 .H58 1995</t>
  </si>
  <si>
    <t>0                      HV 1449000H  58          1995</t>
  </si>
  <si>
    <t>HIV disease : lesbians, gays, and the social services / Gary A. Lloyd, Mary Ann Kuszelewicz, editors.</t>
  </si>
  <si>
    <t>New York : Haworth Press, c1995.</t>
  </si>
  <si>
    <t>2009-10-05</t>
  </si>
  <si>
    <t>1996-09-25</t>
  </si>
  <si>
    <t>365560751:eng</t>
  </si>
  <si>
    <t>32664869</t>
  </si>
  <si>
    <t>991002510849702656</t>
  </si>
  <si>
    <t>2265565980002656</t>
  </si>
  <si>
    <t>9781560230700</t>
  </si>
  <si>
    <t>32285002319779</t>
  </si>
  <si>
    <t>893498208</t>
  </si>
  <si>
    <t>HV1451 .C65 1986</t>
  </si>
  <si>
    <t>0                      HV 1451000C  65          1986</t>
  </si>
  <si>
    <t>Aging around the world / Donald O. Cowgill.</t>
  </si>
  <si>
    <t>Cowgill, Donald O. (Donald Olen), 1911-</t>
  </si>
  <si>
    <t>Belmont, Calif. : Wadsworth Pub. Co., c1986.</t>
  </si>
  <si>
    <t>2005-03-09</t>
  </si>
  <si>
    <t>4471386:eng</t>
  </si>
  <si>
    <t>11918500</t>
  </si>
  <si>
    <t>991000614179702656</t>
  </si>
  <si>
    <t>2259559080002656</t>
  </si>
  <si>
    <t>9780534051662</t>
  </si>
  <si>
    <t>32285001180099</t>
  </si>
  <si>
    <t>893432121</t>
  </si>
  <si>
    <t>HV1451 .F35 1992</t>
  </si>
  <si>
    <t>0                      HV 1451000F  35          1992</t>
  </si>
  <si>
    <t>Family care of the elderly : social and cultural changes / Jordan I. Kosberg, editor.</t>
  </si>
  <si>
    <t>Newbury Park, Calif. : SAGE Publications, c1992.</t>
  </si>
  <si>
    <t>1992</t>
  </si>
  <si>
    <t>Sage focus editions</t>
  </si>
  <si>
    <t>1993-03-04</t>
  </si>
  <si>
    <t>836923834:eng</t>
  </si>
  <si>
    <t>26218918</t>
  </si>
  <si>
    <t>991002053279702656</t>
  </si>
  <si>
    <t>2265258330002656</t>
  </si>
  <si>
    <t>9780803942790</t>
  </si>
  <si>
    <t>32285001496925</t>
  </si>
  <si>
    <t>893347049</t>
  </si>
  <si>
    <t>HV1451 .G725 1994</t>
  </si>
  <si>
    <t>0                      HV 1451000G  725         1994</t>
  </si>
  <si>
    <t>The graying of the world : who will care for the frail elderly? / Laura Katz Olson, editor.</t>
  </si>
  <si>
    <t>1995-06-29</t>
  </si>
  <si>
    <t>1995-07-28</t>
  </si>
  <si>
    <t>890975809:eng</t>
  </si>
  <si>
    <t>26129782</t>
  </si>
  <si>
    <t>991001798719702656</t>
  </si>
  <si>
    <t>2270945490002656</t>
  </si>
  <si>
    <t>9781560243632</t>
  </si>
  <si>
    <t>32285002053006</t>
  </si>
  <si>
    <t>893340708</t>
  </si>
  <si>
    <t>HV1451 .H63 1990</t>
  </si>
  <si>
    <t>0                      HV 1451000H  63          1990</t>
  </si>
  <si>
    <t>The Home care experience : ethnography and policy / edited by Jaber F. Gubrium, Andrea Sankar.</t>
  </si>
  <si>
    <t>Newbury Park, Calif. : Sage Publications, c1990.</t>
  </si>
  <si>
    <t>Sage focus editions ; 119</t>
  </si>
  <si>
    <t>2001-11-18</t>
  </si>
  <si>
    <t>1991-04-09</t>
  </si>
  <si>
    <t>836869109:eng</t>
  </si>
  <si>
    <t>21229131</t>
  </si>
  <si>
    <t>991001667969702656</t>
  </si>
  <si>
    <t>2270484100002656</t>
  </si>
  <si>
    <t>9780803935280</t>
  </si>
  <si>
    <t>32285000566835</t>
  </si>
  <si>
    <t>893322135</t>
  </si>
  <si>
    <t>HV1451 .K3 1979</t>
  </si>
  <si>
    <t>0                      HV 1451000K  3           1979</t>
  </si>
  <si>
    <t>Growing old : years of fulfillment / Robert Kastenbaum.</t>
  </si>
  <si>
    <t>Kastenbaum, Robert.</t>
  </si>
  <si>
    <t>New York : Harper &amp; Row, c1979.</t>
  </si>
  <si>
    <t>1979</t>
  </si>
  <si>
    <t>The Life cycle series</t>
  </si>
  <si>
    <t>2002-04-15</t>
  </si>
  <si>
    <t>836667464:eng</t>
  </si>
  <si>
    <t>6022438</t>
  </si>
  <si>
    <t>991005264849702656</t>
  </si>
  <si>
    <t>2255503330002656</t>
  </si>
  <si>
    <t>9780063847507</t>
  </si>
  <si>
    <t>32285001180131</t>
  </si>
  <si>
    <t>893501604</t>
  </si>
  <si>
    <t>HV1451 .K59 1982</t>
  </si>
  <si>
    <t>0                      HV 1451000K  59          1982</t>
  </si>
  <si>
    <t>Long-term care, an approach to serving the frail elderly / Theodore H. Koff.</t>
  </si>
  <si>
    <t>Koff, Theodore H.</t>
  </si>
  <si>
    <t>Boston : Little, Brown, c1982.</t>
  </si>
  <si>
    <t>1982</t>
  </si>
  <si>
    <t>Little, Brown series on gerontology</t>
  </si>
  <si>
    <t>1991-12-12</t>
  </si>
  <si>
    <t>32476763:eng</t>
  </si>
  <si>
    <t>8668395</t>
  </si>
  <si>
    <t>991000045369702656</t>
  </si>
  <si>
    <t>2270235370002656</t>
  </si>
  <si>
    <t>9780316500920</t>
  </si>
  <si>
    <t>32285000887322</t>
  </si>
  <si>
    <t>893326956</t>
  </si>
  <si>
    <t>HV1451 .O4</t>
  </si>
  <si>
    <t>0                      HV 1451000O  4</t>
  </si>
  <si>
    <t>Older persons : unused resources for unmet needs / edited by Frank Riessman. --</t>
  </si>
  <si>
    <t>Beverly Hills, Calif. : Sage Publications, 1977, c1976.</t>
  </si>
  <si>
    <t>1977</t>
  </si>
  <si>
    <t>Sage contemporary social science issues ; 40</t>
  </si>
  <si>
    <t>10848751:eng</t>
  </si>
  <si>
    <t>3522494</t>
  </si>
  <si>
    <t>991004455299702656</t>
  </si>
  <si>
    <t>2262376620002656</t>
  </si>
  <si>
    <t>9780803909199</t>
  </si>
  <si>
    <t>32285001180156</t>
  </si>
  <si>
    <t>893904868</t>
  </si>
  <si>
    <t>HV1451 .T67 1995</t>
  </si>
  <si>
    <t>0                      HV 1451000T  67          1995</t>
  </si>
  <si>
    <t>Group work with the elderly and family caregivers / Ronald W. Toseland.</t>
  </si>
  <si>
    <t>Toseland, Ronald W.</t>
  </si>
  <si>
    <t>New York : Springer Pub. Co., c1995.</t>
  </si>
  <si>
    <t>2010-04-20</t>
  </si>
  <si>
    <t>1995-12-11</t>
  </si>
  <si>
    <t>968222:eng</t>
  </si>
  <si>
    <t>31776382</t>
  </si>
  <si>
    <t>991002437649702656</t>
  </si>
  <si>
    <t>2257630910002656</t>
  </si>
  <si>
    <t>9780826189103</t>
  </si>
  <si>
    <t>32285002110541</t>
  </si>
  <si>
    <t>893245175</t>
  </si>
  <si>
    <t>HV1451 .W66 1989</t>
  </si>
  <si>
    <t>0                      HV 1451000W  66          1989</t>
  </si>
  <si>
    <t>Working with the elderly : an introduction / edited by Elizabeth S. Deichman and Regina Kociecki.</t>
  </si>
  <si>
    <t>Buffalo, N.Y. : Prometheus Books, 1989.</t>
  </si>
  <si>
    <t>Golden age books</t>
  </si>
  <si>
    <t>1990-05-24</t>
  </si>
  <si>
    <t>432625398:eng</t>
  </si>
  <si>
    <t>20264690</t>
  </si>
  <si>
    <t>991001556279702656</t>
  </si>
  <si>
    <t>2259922990002656</t>
  </si>
  <si>
    <t>9780879755348</t>
  </si>
  <si>
    <t>32285000139799</t>
  </si>
  <si>
    <t>893709353</t>
  </si>
  <si>
    <t>HV1461 .A545 1989</t>
  </si>
  <si>
    <t>0                      HV 1461000A  545         1989</t>
  </si>
  <si>
    <t>Aging parents and adult children / edited by Jay A. Mancini.</t>
  </si>
  <si>
    <t>Lexington, Mass. : Lexington Books, c1969.</t>
  </si>
  <si>
    <t>1998-11-03</t>
  </si>
  <si>
    <t>1990-01-04</t>
  </si>
  <si>
    <t>18606548:eng</t>
  </si>
  <si>
    <t>19065591</t>
  </si>
  <si>
    <t>991001428589702656</t>
  </si>
  <si>
    <t>2262081320002656</t>
  </si>
  <si>
    <t>9780669180145</t>
  </si>
  <si>
    <t>32285000026285</t>
  </si>
  <si>
    <t>893256241</t>
  </si>
  <si>
    <t>HV1461 .B35 1991</t>
  </si>
  <si>
    <t>0                      HV 1461000B  35          1991</t>
  </si>
  <si>
    <t>Elder care : family training and support / Amanda Smith Barusch.</t>
  </si>
  <si>
    <t>Barusch, Amanda Smith.</t>
  </si>
  <si>
    <t>Newbury Park, Calif. : Sage Publications, c1991.</t>
  </si>
  <si>
    <t>Sage sourcebooks for the human services series ; 18</t>
  </si>
  <si>
    <t>1992-01-22</t>
  </si>
  <si>
    <t>24725448:eng</t>
  </si>
  <si>
    <t>23254106</t>
  </si>
  <si>
    <t>991001853399702656</t>
  </si>
  <si>
    <t>2268793870002656</t>
  </si>
  <si>
    <t>9780803941854</t>
  </si>
  <si>
    <t>32285000865609</t>
  </si>
  <si>
    <t>893779142</t>
  </si>
  <si>
    <t>HV1461 .C37 1989</t>
  </si>
  <si>
    <t>0                      HV 1461000C  37          1989</t>
  </si>
  <si>
    <t>The Care of tomorrow's elderly / Marion Ein Lewin &amp; Sean Sullivan, editors.</t>
  </si>
  <si>
    <t>Washington, D.C. : American Enterprise Institute for Public Policy Research, 1989.</t>
  </si>
  <si>
    <t>AEI studies ; 487</t>
  </si>
  <si>
    <t>1997-12-01</t>
  </si>
  <si>
    <t>1990-06-28</t>
  </si>
  <si>
    <t>432388638:eng</t>
  </si>
  <si>
    <t>19065946</t>
  </si>
  <si>
    <t>991001428729702656</t>
  </si>
  <si>
    <t>2261974850002656</t>
  </si>
  <si>
    <t>9780844736808</t>
  </si>
  <si>
    <t>32285000206242</t>
  </si>
  <si>
    <t>893414235</t>
  </si>
  <si>
    <t>HV1461 .E84 1993</t>
  </si>
  <si>
    <t>0                      HV 1461000E  84          1993</t>
  </si>
  <si>
    <t>Ethnic elderly and long-term care / Charles M. Barresi, Donald E. Stull, editors.</t>
  </si>
  <si>
    <t>New York : Springer Pub. Co., c1993.</t>
  </si>
  <si>
    <t>2000-11-12</t>
  </si>
  <si>
    <t>1993-03-31</t>
  </si>
  <si>
    <t>476274649:eng</t>
  </si>
  <si>
    <t>25372184</t>
  </si>
  <si>
    <t>991001996769702656</t>
  </si>
  <si>
    <t>2269246970002656</t>
  </si>
  <si>
    <t>9780826173706</t>
  </si>
  <si>
    <t>32285001499440</t>
  </si>
  <si>
    <t>893238518</t>
  </si>
  <si>
    <t>HV1461 .F56513 1997</t>
  </si>
  <si>
    <t>0                      HV 1461000F  56513       1997</t>
  </si>
  <si>
    <t>Who will care for us? : aging and long-term care in multicultural America / Ronald J. Angel and Jacqueline L. Angel.</t>
  </si>
  <si>
    <t>Angel, Ronald.</t>
  </si>
  <si>
    <t>New York : New York University Press, c1997.</t>
  </si>
  <si>
    <t>1997</t>
  </si>
  <si>
    <t>1997-04-01</t>
  </si>
  <si>
    <t>799758874:eng</t>
  </si>
  <si>
    <t>35084242</t>
  </si>
  <si>
    <t>991001672499702656</t>
  </si>
  <si>
    <t>2255178500002656</t>
  </si>
  <si>
    <t>9780814706299</t>
  </si>
  <si>
    <t>32285002477361</t>
  </si>
  <si>
    <t>893334477</t>
  </si>
  <si>
    <t>HV1461 .F7</t>
  </si>
  <si>
    <t>0                      HV 1461000F  7</t>
  </si>
  <si>
    <t>Family care of the elderly : public initiatives and private obligations / Dwight L. Frankfather, Michael J. Smith, Francis G. Caro.</t>
  </si>
  <si>
    <t>Frankfather, Dwight, 1946-</t>
  </si>
  <si>
    <t>Lexington, Mass. : Lexington Books, c1981.</t>
  </si>
  <si>
    <t>1992-05-06</t>
  </si>
  <si>
    <t>375294601:eng</t>
  </si>
  <si>
    <t>7460180</t>
  </si>
  <si>
    <t>991005113589702656</t>
  </si>
  <si>
    <t>2264336970002656</t>
  </si>
  <si>
    <t>9780669037593</t>
  </si>
  <si>
    <t>32285001120566</t>
  </si>
  <si>
    <t>893600637</t>
  </si>
  <si>
    <t>HV1461 .H57 1988</t>
  </si>
  <si>
    <t>0                      HV 1461000H  57          1988</t>
  </si>
  <si>
    <t>Hispanic elderly in transition : theory, research, policy, and practice / edited by Steven R. Applewhite.</t>
  </si>
  <si>
    <t>New York : Greenwood Press, 1988.</t>
  </si>
  <si>
    <t>1988</t>
  </si>
  <si>
    <t>Contributions to the study of aging, 0732-085X ; no. 9</t>
  </si>
  <si>
    <t>1996-09-03</t>
  </si>
  <si>
    <t>1990-04-03</t>
  </si>
  <si>
    <t>836755183:eng</t>
  </si>
  <si>
    <t>17383669</t>
  </si>
  <si>
    <t>991001209259702656</t>
  </si>
  <si>
    <t>2271125820002656</t>
  </si>
  <si>
    <t>9780313244780</t>
  </si>
  <si>
    <t>32285000093053</t>
  </si>
  <si>
    <t>893225690</t>
  </si>
  <si>
    <t>HV1461 .I57 1980</t>
  </si>
  <si>
    <t>0                      HV 1461000I  57          1980</t>
  </si>
  <si>
    <t>Institutionalization and alternative futures / editor, Jon Hendricks.</t>
  </si>
  <si>
    <t>Farmingdale, N.Y. : Baywood Pub. Co., c1980.</t>
  </si>
  <si>
    <t>Perspectives on aging and human development series ; 3</t>
  </si>
  <si>
    <t>1993-04-26</t>
  </si>
  <si>
    <t>1994-11-16</t>
  </si>
  <si>
    <t>17992673:eng</t>
  </si>
  <si>
    <t>5491627</t>
  </si>
  <si>
    <t>991001782279702656</t>
  </si>
  <si>
    <t>2268542160002656</t>
  </si>
  <si>
    <t>9780895030160</t>
  </si>
  <si>
    <t>32285000114487</t>
  </si>
  <si>
    <t>893803893</t>
  </si>
  <si>
    <t>HV1461 .L69 1985</t>
  </si>
  <si>
    <t>0                      HV 1461000L  69          1985</t>
  </si>
  <si>
    <t>Social work with the aging : the challenge and promise of the later years / Louis Lowy.</t>
  </si>
  <si>
    <t>Lowy, Louis.</t>
  </si>
  <si>
    <t>New York : Longman, c1985.</t>
  </si>
  <si>
    <t>1985</t>
  </si>
  <si>
    <t>1991-12-17</t>
  </si>
  <si>
    <t>3901050115:eng</t>
  </si>
  <si>
    <t>10998517</t>
  </si>
  <si>
    <t>991000472359702656</t>
  </si>
  <si>
    <t>2261278300002656</t>
  </si>
  <si>
    <t>9780582284616</t>
  </si>
  <si>
    <t>32285000907047</t>
  </si>
  <si>
    <t>893777961</t>
  </si>
  <si>
    <t>HV1461 .S52</t>
  </si>
  <si>
    <t>0                      HV 1461000S  52</t>
  </si>
  <si>
    <t>Counseling the aging : an integrative approach / Edmund Sherman.</t>
  </si>
  <si>
    <t>Sherman, Edmund A.</t>
  </si>
  <si>
    <t>New York : Free Press, c1981.</t>
  </si>
  <si>
    <t>1997-06-28</t>
  </si>
  <si>
    <t>1992-03-24</t>
  </si>
  <si>
    <t>235246049:eng</t>
  </si>
  <si>
    <t>7572361</t>
  </si>
  <si>
    <t>991005130879702656</t>
  </si>
  <si>
    <t>2269922240002656</t>
  </si>
  <si>
    <t>9780029288108</t>
  </si>
  <si>
    <t>32285001004034</t>
  </si>
  <si>
    <t>893870567</t>
  </si>
  <si>
    <t>HV1461 .S56 1985</t>
  </si>
  <si>
    <t>0                      HV 1461000S  56          1985</t>
  </si>
  <si>
    <t>Social support networks and the care of the elderly : theory, research, and practice / William J. Sauer, Raymond T. Coward, editors.</t>
  </si>
  <si>
    <t>New York : Springer Pub. Co., c1985.</t>
  </si>
  <si>
    <t>Springer series on adulthood and aging ; v. 14</t>
  </si>
  <si>
    <t>1998-07-10</t>
  </si>
  <si>
    <t>429835038:eng</t>
  </si>
  <si>
    <t>12080452</t>
  </si>
  <si>
    <t>991001782639702656</t>
  </si>
  <si>
    <t>2267867330002656</t>
  </si>
  <si>
    <t>9780826142702</t>
  </si>
  <si>
    <t>32285001120574</t>
  </si>
  <si>
    <t>893433139</t>
  </si>
  <si>
    <t>HV1461 .T66 1992</t>
  </si>
  <si>
    <t>0                      HV 1461000T  66          1992</t>
  </si>
  <si>
    <t>The new aging : politics and change in America / Fernando M. Torres-Gil ; foreword by Arthur S. Flemming.</t>
  </si>
  <si>
    <t>Torres-Gil, Fernando M.</t>
  </si>
  <si>
    <t>New York : Auburn House, 1992.</t>
  </si>
  <si>
    <t>1994-03-31</t>
  </si>
  <si>
    <t>1992-04-08</t>
  </si>
  <si>
    <t>2846438:eng</t>
  </si>
  <si>
    <t>23769237</t>
  </si>
  <si>
    <t>991001887929702656</t>
  </si>
  <si>
    <t>2271869970002656</t>
  </si>
  <si>
    <t>9780865690363</t>
  </si>
  <si>
    <t>32285001008985</t>
  </si>
  <si>
    <t>893684725</t>
  </si>
  <si>
    <t>HV1461 .W495 1993</t>
  </si>
  <si>
    <t>0                      HV 1461000W  495         1993</t>
  </si>
  <si>
    <t>Who is responsible for my old age? / Robert N. Butler, Kenzo Kiikuni, editors.</t>
  </si>
  <si>
    <t>2006-11-28</t>
  </si>
  <si>
    <t>476344800:eng</t>
  </si>
  <si>
    <t>26161681</t>
  </si>
  <si>
    <t>991002050679702656</t>
  </si>
  <si>
    <t>2269892340002656</t>
  </si>
  <si>
    <t>9780826181404</t>
  </si>
  <si>
    <t>32285001499408</t>
  </si>
  <si>
    <t>893334879</t>
  </si>
  <si>
    <t>HV1465 .O25 1982</t>
  </si>
  <si>
    <t>0                      HV 1465000O  25          1982</t>
  </si>
  <si>
    <t>Adult day care : a practical guide / Carole Lium O'Brien.</t>
  </si>
  <si>
    <t>O'Brien, Carole Lium.</t>
  </si>
  <si>
    <t>Monterey, CA : Wadsworth Health Sciences Division, c1982.</t>
  </si>
  <si>
    <t>1996-02-13</t>
  </si>
  <si>
    <t>1992-06-29</t>
  </si>
  <si>
    <t>427714912:eng</t>
  </si>
  <si>
    <t>7946732</t>
  </si>
  <si>
    <t>991005181839702656</t>
  </si>
  <si>
    <t>2272434390002656</t>
  </si>
  <si>
    <t>9780818505065</t>
  </si>
  <si>
    <t>32285001180529</t>
  </si>
  <si>
    <t>893248501</t>
  </si>
  <si>
    <t>HV1465 .Ơ87 1977</t>
  </si>
  <si>
    <t>0                      HV 1465000                                                           .Ơ87 1977</t>
  </si>
  <si>
    <t>When your parents grow old : information and resources to help the adult son or daughter cope with the problems of aging parents / Jane Otten and Florence D. Shelley.</t>
  </si>
  <si>
    <t>Otten, Jane.</t>
  </si>
  <si>
    <t>New York : New American Library, c1977.</t>
  </si>
  <si>
    <t>Rev. and updated.</t>
  </si>
  <si>
    <t>4218501:eng</t>
  </si>
  <si>
    <t>3779245</t>
  </si>
  <si>
    <t>991004514419702656</t>
  </si>
  <si>
    <t>2258619940002656</t>
  </si>
  <si>
    <t>9780451078827</t>
  </si>
  <si>
    <t>32285000907070</t>
  </si>
  <si>
    <t>893446259</t>
  </si>
  <si>
    <t>HV1475 .A24 1985</t>
  </si>
  <si>
    <t>0                      HV 1475000A  24          1985</t>
  </si>
  <si>
    <t>A will and a way : what the United States can learn from Canada about caring for the elderly / Robert L. Kane and Rosalie A. Kane.</t>
  </si>
  <si>
    <t>Kane, Robert L., 1940-2017.</t>
  </si>
  <si>
    <t>New York : Columbia University Press, 1985.</t>
  </si>
  <si>
    <t>Columbia studies of social gerontology and aging</t>
  </si>
  <si>
    <t>2000-02-19</t>
  </si>
  <si>
    <t>1992-02-20</t>
  </si>
  <si>
    <t>836721362:eng</t>
  </si>
  <si>
    <t>12262178</t>
  </si>
  <si>
    <t>991000662829702656</t>
  </si>
  <si>
    <t>2270633040002656</t>
  </si>
  <si>
    <t>9780231061360</t>
  </si>
  <si>
    <t>32285000948231</t>
  </si>
  <si>
    <t>893620680</t>
  </si>
  <si>
    <t>HV1553 .A595 1993</t>
  </si>
  <si>
    <t>0                      HV 1553000A  595         1993</t>
  </si>
  <si>
    <t>The ADA mandate for social change / edited by Paul Wehman.</t>
  </si>
  <si>
    <t>Baltimore : P.H. Brookes Pub. Co., c1993.</t>
  </si>
  <si>
    <t>1997-11-12</t>
  </si>
  <si>
    <t>1993-09-24</t>
  </si>
  <si>
    <t>55626658:eng</t>
  </si>
  <si>
    <t>26591251</t>
  </si>
  <si>
    <t>991002075369702656</t>
  </si>
  <si>
    <t>2272297690002656</t>
  </si>
  <si>
    <t>9781557661173</t>
  </si>
  <si>
    <t>32285001767531</t>
  </si>
  <si>
    <t>893523161</t>
  </si>
  <si>
    <t>HV1553 .B47 1987</t>
  </si>
  <si>
    <t>0                      HV 1553000B  47          1987</t>
  </si>
  <si>
    <t>Disabled policy : America's programs for the handicapped / Edward D. Berkowitz.</t>
  </si>
  <si>
    <t>Berkowitz, Edward D.</t>
  </si>
  <si>
    <t>Cambridge [Cambridgeshire] ; New York : Cambridge University Press, 1987.</t>
  </si>
  <si>
    <t>1987</t>
  </si>
  <si>
    <t>2002-11-01</t>
  </si>
  <si>
    <t>1992-05-04</t>
  </si>
  <si>
    <t>8730260:eng</t>
  </si>
  <si>
    <t>14376753</t>
  </si>
  <si>
    <t>991000937579702656</t>
  </si>
  <si>
    <t>2264019040002656</t>
  </si>
  <si>
    <t>9780521340144</t>
  </si>
  <si>
    <t>32285001092922</t>
  </si>
  <si>
    <t>893803204</t>
  </si>
  <si>
    <t>HV1553 .O74</t>
  </si>
  <si>
    <t>0                      HV 1553000O  74</t>
  </si>
  <si>
    <t>Voices, interviews with handicapped people / Michael D. Orlansky, William L. Heward.</t>
  </si>
  <si>
    <t>Orlansky, Michael D.</t>
  </si>
  <si>
    <t>Columbus : C.E. Merrill Pub. Co., c1981.</t>
  </si>
  <si>
    <t>ohu</t>
  </si>
  <si>
    <t>2000-02-20</t>
  </si>
  <si>
    <t>29786578:eng</t>
  </si>
  <si>
    <t>7740147</t>
  </si>
  <si>
    <t>991005156269702656</t>
  </si>
  <si>
    <t>2264200110002656</t>
  </si>
  <si>
    <t>9780675080248</t>
  </si>
  <si>
    <t>32285001180370</t>
  </si>
  <si>
    <t>893713541</t>
  </si>
  <si>
    <t>HV1553 .S64 1987</t>
  </si>
  <si>
    <t>0                      HV 1553000S  64          1987</t>
  </si>
  <si>
    <t>Women take care : the consequences of caregiving in today's society / Tish Sommers, Laurie Shields ; with the Older Women's League, Task Force on Caregivers, and Judy MacLean, consulting writer.</t>
  </si>
  <si>
    <t>Sommers, Tish.</t>
  </si>
  <si>
    <t>Gainesville, Fla. : Triad Pub. Co., 1987.</t>
  </si>
  <si>
    <t>flu</t>
  </si>
  <si>
    <t>2008-04-07</t>
  </si>
  <si>
    <t>1990-04-30</t>
  </si>
  <si>
    <t>1992-09-25</t>
  </si>
  <si>
    <t>431183152:eng</t>
  </si>
  <si>
    <t>16684349</t>
  </si>
  <si>
    <t>991001796639702656</t>
  </si>
  <si>
    <t>2272544600002656</t>
  </si>
  <si>
    <t>9780937404270</t>
  </si>
  <si>
    <t>32285000134881</t>
  </si>
  <si>
    <t>893903580</t>
  </si>
  <si>
    <t>HV1568 .H37 1984</t>
  </si>
  <si>
    <t>0                      HV 1568000H  37          1984</t>
  </si>
  <si>
    <t>Human exceptionality : society, school, and family / Michael L. Hardman, Clifford J. Drew, M. Winston Egan.</t>
  </si>
  <si>
    <t>Hardman, Michael L.</t>
  </si>
  <si>
    <t>Boston : Allyn and Bacon, c1984.</t>
  </si>
  <si>
    <t>1984</t>
  </si>
  <si>
    <t>2009-11-09</t>
  </si>
  <si>
    <t>3654107:eng</t>
  </si>
  <si>
    <t>10146873</t>
  </si>
  <si>
    <t>991000320739702656</t>
  </si>
  <si>
    <t>2255668040002656</t>
  </si>
  <si>
    <t>9780205081004</t>
  </si>
  <si>
    <t>32285001180404</t>
  </si>
  <si>
    <t>893589345</t>
  </si>
  <si>
    <t>HV1568 .H55 2004</t>
  </si>
  <si>
    <t>0                      HV 1568000H  55          2004</t>
  </si>
  <si>
    <t>One person at a time : citizen advocacy for people with disabilities / by Adam (A.J.) Hildebrand.</t>
  </si>
  <si>
    <t>Hildebrand, Adam.</t>
  </si>
  <si>
    <t>Newton, MA : Brookline Books, c2004.</t>
  </si>
  <si>
    <t>2009-05-22</t>
  </si>
  <si>
    <t>2004-04-20</t>
  </si>
  <si>
    <t>1217557829:eng</t>
  </si>
  <si>
    <t>54006628</t>
  </si>
  <si>
    <t>991004245809702656</t>
  </si>
  <si>
    <t>2271515950002656</t>
  </si>
  <si>
    <t>9781571290939</t>
  </si>
  <si>
    <t>32285004900063</t>
  </si>
  <si>
    <t>893593454</t>
  </si>
  <si>
    <t>HV1568 .S38 1997</t>
  </si>
  <si>
    <t>0                      HV 1568000S  38          1997</t>
  </si>
  <si>
    <t>Who cares? : rediscovering community / David B. Schwartz.</t>
  </si>
  <si>
    <t>Schwartz, David B., 1948-</t>
  </si>
  <si>
    <t>Boulder : WestviewPress, 1997.</t>
  </si>
  <si>
    <t>cou</t>
  </si>
  <si>
    <t>2006-12-18</t>
  </si>
  <si>
    <t>1998-08-31</t>
  </si>
  <si>
    <t>801240706:eng</t>
  </si>
  <si>
    <t>35198743</t>
  </si>
  <si>
    <t>991005424529702656</t>
  </si>
  <si>
    <t>2260428640002656</t>
  </si>
  <si>
    <t>9780813332079</t>
  </si>
  <si>
    <t>32285003463592</t>
  </si>
  <si>
    <t>893502014</t>
  </si>
  <si>
    <t>HV1568.5 .T7 1989</t>
  </si>
  <si>
    <t>0                      HV 1568500T  7           1989</t>
  </si>
  <si>
    <t>Transition from school to work for persons with disabilities / [edited by] Dianne E. Berkell, James M. Brown.</t>
  </si>
  <si>
    <t>White Plains, N.Y. : Longman, 1989.</t>
  </si>
  <si>
    <t>2001-04-16</t>
  </si>
  <si>
    <t>452355954:eng</t>
  </si>
  <si>
    <t>17982770</t>
  </si>
  <si>
    <t>991001289719702656</t>
  </si>
  <si>
    <t>2259198760002656</t>
  </si>
  <si>
    <t>9780801302282</t>
  </si>
  <si>
    <t>32285001180438</t>
  </si>
  <si>
    <t>893522469</t>
  </si>
  <si>
    <t>HV1569.3.W65 H55 1993</t>
  </si>
  <si>
    <t>0                      HV 1569300W  65                 H  55          1993</t>
  </si>
  <si>
    <t>Feminism and disability / by Barbara Hillyer.</t>
  </si>
  <si>
    <t>Hillyer, Barbara, 1934-</t>
  </si>
  <si>
    <t>Norman, Okla. : University of Oklahoma Press, c1993.</t>
  </si>
  <si>
    <t>oku</t>
  </si>
  <si>
    <t>1993-12-10</t>
  </si>
  <si>
    <t>352623:eng</t>
  </si>
  <si>
    <t>27143769</t>
  </si>
  <si>
    <t>991002116859702656</t>
  </si>
  <si>
    <t>2271793620002656</t>
  </si>
  <si>
    <t>9780806125008</t>
  </si>
  <si>
    <t>32285001814721</t>
  </si>
  <si>
    <t>893328709</t>
  </si>
  <si>
    <t>HV1569.5 .P253 2000</t>
  </si>
  <si>
    <t>0                      HV 1569500P  253         2000</t>
  </si>
  <si>
    <t>Web accessibility for people with disabilities / Michael G. Paciello.</t>
  </si>
  <si>
    <t>Paciello, Michael G., 1959-</t>
  </si>
  <si>
    <t>Lawrence, Kan. : CMP Books ; Berkeley, CA : Distributed in the U.S. and Canada by Publishers Group West, c2000.</t>
  </si>
  <si>
    <t>ksu</t>
  </si>
  <si>
    <t>2003-04-08</t>
  </si>
  <si>
    <t>2001-11-26</t>
  </si>
  <si>
    <t>59080:eng</t>
  </si>
  <si>
    <t>45281213</t>
  </si>
  <si>
    <t>991003663439702656</t>
  </si>
  <si>
    <t>2269101770002656</t>
  </si>
  <si>
    <t>9781929629084</t>
  </si>
  <si>
    <t>32285004413356</t>
  </si>
  <si>
    <t>893531447</t>
  </si>
  <si>
    <t>HV1577 .Z3 1963</t>
  </si>
  <si>
    <t>0                      HV 1577000Z  3           1963</t>
  </si>
  <si>
    <t>Blindness : modern approaches to the unseen environment.</t>
  </si>
  <si>
    <t>Zahl, Paul A. (Paul Arthur), 1910-1985.</t>
  </si>
  <si>
    <t>New York : Hafner Pub. Co., 1962 [i.e. 1963, c1950]</t>
  </si>
  <si>
    <t>1963</t>
  </si>
  <si>
    <t>[Reprint ed. / with new bibliography]</t>
  </si>
  <si>
    <t xml:space="preserve">xx </t>
  </si>
  <si>
    <t>2000-03-20</t>
  </si>
  <si>
    <t>1993-12-14</t>
  </si>
  <si>
    <t>5728963:eng</t>
  </si>
  <si>
    <t>492190</t>
  </si>
  <si>
    <t>991002859769702656</t>
  </si>
  <si>
    <t>2255202650002656</t>
  </si>
  <si>
    <t>32285001808590</t>
  </si>
  <si>
    <t>893257809</t>
  </si>
  <si>
    <t>HV1597.2 .U53</t>
  </si>
  <si>
    <t>0                      HV 1597200U  53</t>
  </si>
  <si>
    <t>Understanding and educating the deaf-blind, severely and profoundly handicapped : an international perspective / edited by Sara R. Walsh and Robert Holzberg.</t>
  </si>
  <si>
    <t>Springfield, Ill. : Thomas, c1981.</t>
  </si>
  <si>
    <t>1997-05-30</t>
  </si>
  <si>
    <t>1992-02-27</t>
  </si>
  <si>
    <t>815074438:eng</t>
  </si>
  <si>
    <t>7462187</t>
  </si>
  <si>
    <t>991005115769702656</t>
  </si>
  <si>
    <t>2262644830002656</t>
  </si>
  <si>
    <t>9780398045142</t>
  </si>
  <si>
    <t>32285000978899</t>
  </si>
  <si>
    <t>893895908</t>
  </si>
  <si>
    <t>HV1598 .B37</t>
  </si>
  <si>
    <t>0                      HV 1598000B  37</t>
  </si>
  <si>
    <t>Adjustment to blindness--re-viewed / by Mary K. Bauman and Norman M. Yoder. With a foreword by Berthold Lowenfeld.</t>
  </si>
  <si>
    <t>Bauman, Mary K. (Mary Kinsey), 1910-</t>
  </si>
  <si>
    <t>Springfield, Ill., Thomas [1966]</t>
  </si>
  <si>
    <t>1966</t>
  </si>
  <si>
    <t>2000-03-11</t>
  </si>
  <si>
    <t>1993-04-23</t>
  </si>
  <si>
    <t>3769358880:eng</t>
  </si>
  <si>
    <t>263627</t>
  </si>
  <si>
    <t>991002072539702656</t>
  </si>
  <si>
    <t>2268704790002656</t>
  </si>
  <si>
    <t>32285001624039</t>
  </si>
  <si>
    <t>893684922</t>
  </si>
  <si>
    <t>HV16 .W58 1998</t>
  </si>
  <si>
    <t>0                      HV 0016000W  58          1998</t>
  </si>
  <si>
    <t>With us always : a history of private charity and public welfare / edited by Donald T. Critchlow and Charles H. Parker.</t>
  </si>
  <si>
    <t>Lanham, MD : Rowman &amp; Littlefield, c1998.</t>
  </si>
  <si>
    <t>2006-12-08</t>
  </si>
  <si>
    <t>1999-12-07</t>
  </si>
  <si>
    <t>837006906:eng</t>
  </si>
  <si>
    <t>37695146</t>
  </si>
  <si>
    <t>991002860109702656</t>
  </si>
  <si>
    <t>2269087720002656</t>
  </si>
  <si>
    <t>9780847689699</t>
  </si>
  <si>
    <t>32285003628855</t>
  </si>
  <si>
    <t>893780328</t>
  </si>
  <si>
    <t>HV1631 .S38</t>
  </si>
  <si>
    <t>0                      HV 1631000S  38</t>
  </si>
  <si>
    <t>Your visually impaired student : a guide for teachers / Eileen P. Scott.</t>
  </si>
  <si>
    <t>Scott, Eileen P.</t>
  </si>
  <si>
    <t>Baltimore : University Park Press, c1982.</t>
  </si>
  <si>
    <t>2000-03-29</t>
  </si>
  <si>
    <t>504242:eng</t>
  </si>
  <si>
    <t>7813054</t>
  </si>
  <si>
    <t>991005164119702656</t>
  </si>
  <si>
    <t>2255694540002656</t>
  </si>
  <si>
    <t>9780839117032</t>
  </si>
  <si>
    <t>32285001056422</t>
  </si>
  <si>
    <t>893437275</t>
  </si>
  <si>
    <t>HV1632 .M3</t>
  </si>
  <si>
    <t>0                      HV 1632000M  3</t>
  </si>
  <si>
    <t>Supporting visually impaired students in the mainstream / Glenda J. Martin, Mollie Hoben.</t>
  </si>
  <si>
    <t>Martin, Glenda J.</t>
  </si>
  <si>
    <t>Reston, Virginia : The Council for Exceptional Children, 1977.</t>
  </si>
  <si>
    <t>1993-11-11</t>
  </si>
  <si>
    <t>582050:eng</t>
  </si>
  <si>
    <t>3582292</t>
  </si>
  <si>
    <t>991004468179702656</t>
  </si>
  <si>
    <t>2263449140002656</t>
  </si>
  <si>
    <t>32285001798197</t>
  </si>
  <si>
    <t>893247611</t>
  </si>
  <si>
    <t>HV1664.S4 H33</t>
  </si>
  <si>
    <t>0                      HV 1664000S  4                  H  33</t>
  </si>
  <si>
    <t>Laboratory science and art for blind, deaf, and emotionally disturbed children : a mainstreaming approach / Doris E. Hadary and Susan Hadary Cohen. --</t>
  </si>
  <si>
    <t>Hadary, Doris E.</t>
  </si>
  <si>
    <t>Baltimore : University Park Press, [1978]</t>
  </si>
  <si>
    <t>1978</t>
  </si>
  <si>
    <t>292649370:eng</t>
  </si>
  <si>
    <t>3669339</t>
  </si>
  <si>
    <t>991004492059702656</t>
  </si>
  <si>
    <t>2262103920002656</t>
  </si>
  <si>
    <t>9780839112303</t>
  </si>
  <si>
    <t>32285001180479</t>
  </si>
  <si>
    <t>893235565</t>
  </si>
  <si>
    <t>HV1792.K88 A3 1998</t>
  </si>
  <si>
    <t>0                      HV 1792000K  88                 A  3           1998</t>
  </si>
  <si>
    <t>Planet of the blind / Stephen Kuusisto.</t>
  </si>
  <si>
    <t>Kuusisto, Stephen.</t>
  </si>
  <si>
    <t>New York : Dial Press, 1998.</t>
  </si>
  <si>
    <t>2008-02-29</t>
  </si>
  <si>
    <t>1998-01-21</t>
  </si>
  <si>
    <t>535262:eng</t>
  </si>
  <si>
    <t>37567302</t>
  </si>
  <si>
    <t>991002851079702656</t>
  </si>
  <si>
    <t>2267543210002656</t>
  </si>
  <si>
    <t>9780385316156</t>
  </si>
  <si>
    <t>32285003304283</t>
  </si>
  <si>
    <t>893341940</t>
  </si>
  <si>
    <t>HV2353 .L4 no.4</t>
  </si>
  <si>
    <t>0                      HV 2353000L  4                                                       no.4</t>
  </si>
  <si>
    <t>Teaching reading to deaf children / with a foreword by Clarence D. O'Connor.</t>
  </si>
  <si>
    <t>no.4*</t>
  </si>
  <si>
    <t>Hart, Beatrice Ostern.</t>
  </si>
  <si>
    <t>Washington : Alexander Graham Bell Association for the Deaf, [1963]</t>
  </si>
  <si>
    <t>The Lexington School for the Deaf education series, book 4</t>
  </si>
  <si>
    <t>2007-03-14</t>
  </si>
  <si>
    <t>1993-05-05</t>
  </si>
  <si>
    <t>540882:eng</t>
  </si>
  <si>
    <t>513664</t>
  </si>
  <si>
    <t>991002894849702656</t>
  </si>
  <si>
    <t>2262479100002656</t>
  </si>
  <si>
    <t>32285001633923</t>
  </si>
  <si>
    <t>893893138</t>
  </si>
  <si>
    <t>HV238 .G56 2001</t>
  </si>
  <si>
    <t>0                      HV 0238000G  56          2001</t>
  </si>
  <si>
    <t>Globalization and European welfare states : challenges and change / edited by Robert Sykes, Bruno Palier, and Pauline M. Prior ; consultant editor, Jo Campling.</t>
  </si>
  <si>
    <t>New York : Palgrave, 2001.</t>
  </si>
  <si>
    <t>2006-11-16</t>
  </si>
  <si>
    <t>837072524:eng</t>
  </si>
  <si>
    <t>45087426</t>
  </si>
  <si>
    <t>991003760489702656</t>
  </si>
  <si>
    <t>2266569940002656</t>
  </si>
  <si>
    <t>9780333790182</t>
  </si>
  <si>
    <t>32285004479589</t>
  </si>
  <si>
    <t>893711751</t>
  </si>
  <si>
    <t>HV2380 .D428 2009</t>
  </si>
  <si>
    <t>0                      HV 2380000D  428         2009</t>
  </si>
  <si>
    <t>Deaf people around the world : educational and social perspectives / Donald F. Moores and Margery S. Miller, editors.</t>
  </si>
  <si>
    <t>Washington, D.C. : Gallaudet University Press, 2009.</t>
  </si>
  <si>
    <t>2010-04-26</t>
  </si>
  <si>
    <t>478712516:eng</t>
  </si>
  <si>
    <t>262892122</t>
  </si>
  <si>
    <t>991005388509702656</t>
  </si>
  <si>
    <t>2269471570002656</t>
  </si>
  <si>
    <t>9781563684104</t>
  </si>
  <si>
    <t>32285005567564</t>
  </si>
  <si>
    <t>893695258</t>
  </si>
  <si>
    <t>HV2380 .G73 1976</t>
  </si>
  <si>
    <t>0                      HV 2380000G  73          1976</t>
  </si>
  <si>
    <t>The deaf child and his family / by Susan Gregory.</t>
  </si>
  <si>
    <t>Gregory, Susan, 1945-</t>
  </si>
  <si>
    <t>New York : Wiley, 1976.</t>
  </si>
  <si>
    <t>1976</t>
  </si>
  <si>
    <t>2002-04-07</t>
  </si>
  <si>
    <t>1997-08-22</t>
  </si>
  <si>
    <t>2487676770:eng</t>
  </si>
  <si>
    <t>2401404</t>
  </si>
  <si>
    <t>991004112219702656</t>
  </si>
  <si>
    <t>2266404890002656</t>
  </si>
  <si>
    <t>9780470326626</t>
  </si>
  <si>
    <t>32285003156980</t>
  </si>
  <si>
    <t>893423397</t>
  </si>
  <si>
    <t>HV2380 .M4</t>
  </si>
  <si>
    <t>0                      HV 2380000M  4</t>
  </si>
  <si>
    <t>Deafness and child development / Kathryn P. Meadow.</t>
  </si>
  <si>
    <t>Meadow-Orlans, Kathryn P.</t>
  </si>
  <si>
    <t>Berkeley : University of California Press, c1980.</t>
  </si>
  <si>
    <t>1980</t>
  </si>
  <si>
    <t>2001-04-10</t>
  </si>
  <si>
    <t>501046:eng</t>
  </si>
  <si>
    <t>5989450</t>
  </si>
  <si>
    <t>991004909929702656</t>
  </si>
  <si>
    <t>2268371110002656</t>
  </si>
  <si>
    <t>9780520028197</t>
  </si>
  <si>
    <t>32285001120624</t>
  </si>
  <si>
    <t>893722658</t>
  </si>
  <si>
    <t>HV2380 .P77 1993</t>
  </si>
  <si>
    <t>0                      HV 2380000P  77          1993</t>
  </si>
  <si>
    <t>Psychological perspectives on deafness / edited by Marc Marschark, M. Diane Clark.</t>
  </si>
  <si>
    <t>V.2</t>
  </si>
  <si>
    <t>Hillsdale, N.J. : L. Erlbaum, 1993-1998.</t>
  </si>
  <si>
    <t>2006-06-28</t>
  </si>
  <si>
    <t>4924614264:eng</t>
  </si>
  <si>
    <t>25315969</t>
  </si>
  <si>
    <t>991001992199702656</t>
  </si>
  <si>
    <t>2268989140002656</t>
  </si>
  <si>
    <t>9780805810547</t>
  </si>
  <si>
    <t>32285003628814</t>
  </si>
  <si>
    <t>893439651</t>
  </si>
  <si>
    <t>HV2380 .R36 1982</t>
  </si>
  <si>
    <t>0                      HV 2380000R  36          1982</t>
  </si>
  <si>
    <t>Conocer al niño sordo / Rafael A. Ramírez Camacho.</t>
  </si>
  <si>
    <t>Ramírez Camacho, Rafael A.</t>
  </si>
  <si>
    <t>Madrid : Ciencias de la educación preescolar y especial, [1982?]</t>
  </si>
  <si>
    <t>spa</t>
  </si>
  <si>
    <t xml:space="preserve">sp </t>
  </si>
  <si>
    <t>Colección Educación especial ; 9</t>
  </si>
  <si>
    <t>2002-08-07</t>
  </si>
  <si>
    <t>2002-07-29</t>
  </si>
  <si>
    <t>5090736906:spa</t>
  </si>
  <si>
    <t>24338291</t>
  </si>
  <si>
    <t>991003848759702656</t>
  </si>
  <si>
    <t>2269194150002656</t>
  </si>
  <si>
    <t>9788485252855</t>
  </si>
  <si>
    <t>32285004640578</t>
  </si>
  <si>
    <t>893794136</t>
  </si>
  <si>
    <t>HV2380 .W54 1971</t>
  </si>
  <si>
    <t>0                      HV 2380000W  54          1971</t>
  </si>
  <si>
    <t>The deaf child [by] Edith Whetnall and D. B. Fry.</t>
  </si>
  <si>
    <t>Whetnall, Edith.</t>
  </si>
  <si>
    <t>London, Heinemann Medical, 1971.</t>
  </si>
  <si>
    <t>1971</t>
  </si>
  <si>
    <t>[1st ed.] Reprinted with revisions.</t>
  </si>
  <si>
    <t>2008-03-17</t>
  </si>
  <si>
    <t>1379183:eng</t>
  </si>
  <si>
    <t>2656552</t>
  </si>
  <si>
    <t>991004203059702656</t>
  </si>
  <si>
    <t>2255713660002656</t>
  </si>
  <si>
    <t>9780433357018</t>
  </si>
  <si>
    <t>32285003156998</t>
  </si>
  <si>
    <t>893500262</t>
  </si>
  <si>
    <t>HV2390 .C65</t>
  </si>
  <si>
    <t>0                      HV 2390000C  65</t>
  </si>
  <si>
    <t>Communication for the hearing handicapped : an international perspective / edited by Herbert J. Oyer.</t>
  </si>
  <si>
    <t>Baltimore : University Park Press, c1976.</t>
  </si>
  <si>
    <t>1994-01-14</t>
  </si>
  <si>
    <t>3934519:eng</t>
  </si>
  <si>
    <t>2119595</t>
  </si>
  <si>
    <t>991004019669702656</t>
  </si>
  <si>
    <t>2268010460002656</t>
  </si>
  <si>
    <t>9780839108269</t>
  </si>
  <si>
    <t>32285001829711</t>
  </si>
  <si>
    <t>893247063</t>
  </si>
  <si>
    <t>HV2390 .D42</t>
  </si>
  <si>
    <t>0                      HV 2390000D  42</t>
  </si>
  <si>
    <t>Deaf children : developmental perspectives / edited by Lynn S. Liben.</t>
  </si>
  <si>
    <t>New York : Academic Press, 1978.</t>
  </si>
  <si>
    <t>Developmental psychology series</t>
  </si>
  <si>
    <t>1991-10-28</t>
  </si>
  <si>
    <t>865293157:eng</t>
  </si>
  <si>
    <t>4499810</t>
  </si>
  <si>
    <t>991004664179702656</t>
  </si>
  <si>
    <t>2265911390002656</t>
  </si>
  <si>
    <t>9780124479500</t>
  </si>
  <si>
    <t>32285000802354</t>
  </si>
  <si>
    <t>893442918</t>
  </si>
  <si>
    <t>HV2391 .E273 1984</t>
  </si>
  <si>
    <t>0                      HV 2391000E  273         1984</t>
  </si>
  <si>
    <t>Early intervention for hearing-impaired children : total communication options / edited by Daniel Ling.</t>
  </si>
  <si>
    <t>San Diego, Calif. : College-Hill Press, c1984.</t>
  </si>
  <si>
    <t>2001-02-20</t>
  </si>
  <si>
    <t>4162182080:eng</t>
  </si>
  <si>
    <t>10778300</t>
  </si>
  <si>
    <t>991000430109702656</t>
  </si>
  <si>
    <t>2267993620002656</t>
  </si>
  <si>
    <t>9780933014329</t>
  </si>
  <si>
    <t>32285000802347</t>
  </si>
  <si>
    <t>893249340</t>
  </si>
  <si>
    <t>HV2391 .H44 1982</t>
  </si>
  <si>
    <t>0                      HV 2391000H  44          1982</t>
  </si>
  <si>
    <t>Behavioral traits of deaf children / by Norman L. Heimgartner.</t>
  </si>
  <si>
    <t>Heimgartner, Norman L.</t>
  </si>
  <si>
    <t>Springfield, Ill. : Thomas, c1982.</t>
  </si>
  <si>
    <t>2000-10-25</t>
  </si>
  <si>
    <t>472445:eng</t>
  </si>
  <si>
    <t>7574673</t>
  </si>
  <si>
    <t>991005133629702656</t>
  </si>
  <si>
    <t>2272696840002656</t>
  </si>
  <si>
    <t>9780398045715</t>
  </si>
  <si>
    <t>32285000802339</t>
  </si>
  <si>
    <t>893719831</t>
  </si>
  <si>
    <t>HV2395 .L35 2009</t>
  </si>
  <si>
    <t>0                      HV 2395000L  35          2009</t>
  </si>
  <si>
    <t>A lens on deaf identities / Irene W. Leigh.</t>
  </si>
  <si>
    <t>Leigh, Irene.</t>
  </si>
  <si>
    <t>Oxford ; New York : Oxford University Press, 2009.</t>
  </si>
  <si>
    <t>Perspectives on deafness</t>
  </si>
  <si>
    <t>2009-09-24</t>
  </si>
  <si>
    <t>348714231:eng</t>
  </si>
  <si>
    <t>243777623</t>
  </si>
  <si>
    <t>991005334619702656</t>
  </si>
  <si>
    <t>2260807990002656</t>
  </si>
  <si>
    <t>9780195320664</t>
  </si>
  <si>
    <t>32285005545065</t>
  </si>
  <si>
    <t>893501711</t>
  </si>
  <si>
    <t>HV2395 .M897 1964</t>
  </si>
  <si>
    <t>0                      HV 2395000M  897         1964</t>
  </si>
  <si>
    <t>The psychology of deafness : sensory deprivation, learning, and adjustment / [by] Helmer R. Myklebust.</t>
  </si>
  <si>
    <t>Myklebust, Helmer R.</t>
  </si>
  <si>
    <t>New York : Grune &amp; Stratton, [c1964]</t>
  </si>
  <si>
    <t>1964</t>
  </si>
  <si>
    <t>2d ed.</t>
  </si>
  <si>
    <t>1996-11-15</t>
  </si>
  <si>
    <t>1990-02-27</t>
  </si>
  <si>
    <t>213330:eng</t>
  </si>
  <si>
    <t>711238</t>
  </si>
  <si>
    <t>991001781299702656</t>
  </si>
  <si>
    <t>2263986710002656</t>
  </si>
  <si>
    <t>9780808903390</t>
  </si>
  <si>
    <t>32285000061910</t>
  </si>
  <si>
    <t>893328373</t>
  </si>
  <si>
    <t>HV2395 .M9 1950</t>
  </si>
  <si>
    <t>0                      HV 2395000M  9           1950</t>
  </si>
  <si>
    <t>Your deaf child : a guide for parents / with a foreword by Hallowell Davis.</t>
  </si>
  <si>
    <t>Springfield, Ill. : Thomas, [1950]</t>
  </si>
  <si>
    <t>1950</t>
  </si>
  <si>
    <t>American lecture series ; no. 94</t>
  </si>
  <si>
    <t>1990-12-13</t>
  </si>
  <si>
    <t>573814:eng</t>
  </si>
  <si>
    <t>188763</t>
  </si>
  <si>
    <t>991001174799702656</t>
  </si>
  <si>
    <t>2267964010002656</t>
  </si>
  <si>
    <t>32285000425388</t>
  </si>
  <si>
    <t>893720945</t>
  </si>
  <si>
    <t>HV2395 .P75</t>
  </si>
  <si>
    <t>0                      HV 2395000P  75</t>
  </si>
  <si>
    <t>Psychology of deafness for rehabilitation counselors / edited by Brian Bolton.</t>
  </si>
  <si>
    <t>504074:eng</t>
  </si>
  <si>
    <t>2072851</t>
  </si>
  <si>
    <t>991004000519702656</t>
  </si>
  <si>
    <t>2254749990002656</t>
  </si>
  <si>
    <t>9780839109266</t>
  </si>
  <si>
    <t>32285003157004</t>
  </si>
  <si>
    <t>893349495</t>
  </si>
  <si>
    <t>HV2430 .F8</t>
  </si>
  <si>
    <t>0                      HV 2430000F  8</t>
  </si>
  <si>
    <t>A handbook of readings in education of the deaf and postschool implications. Edited by Irving S. Fusfeld.</t>
  </si>
  <si>
    <t>Fusfeld, Irving S. (Irving Sidney), 1893-1977.</t>
  </si>
  <si>
    <t>Springfield, Ill., Thomas [1967]</t>
  </si>
  <si>
    <t>1967</t>
  </si>
  <si>
    <t>2000-11-15</t>
  </si>
  <si>
    <t>1379053:eng</t>
  </si>
  <si>
    <t>264132</t>
  </si>
  <si>
    <t>991002078589702656</t>
  </si>
  <si>
    <t>2268196640002656</t>
  </si>
  <si>
    <t>32285003157020</t>
  </si>
  <si>
    <t>893347082</t>
  </si>
  <si>
    <t>HV2437 .P4</t>
  </si>
  <si>
    <t>0                      HV 2437000P  4</t>
  </si>
  <si>
    <t>Persons with hearing loss / edited by Jerry Griffith.</t>
  </si>
  <si>
    <t>Springfield, Ill. : C. C. Thomas, [c1969]</t>
  </si>
  <si>
    <t>1969</t>
  </si>
  <si>
    <t>1999-04-25</t>
  </si>
  <si>
    <t>1990-10-02</t>
  </si>
  <si>
    <t>1225137:eng</t>
  </si>
  <si>
    <t>62574</t>
  </si>
  <si>
    <t>991000184309702656</t>
  </si>
  <si>
    <t>2254861530002656</t>
  </si>
  <si>
    <t>32285000324938</t>
  </si>
  <si>
    <t>893595379</t>
  </si>
  <si>
    <t>HV2440 .B86 1987</t>
  </si>
  <si>
    <t>0                      HV 2440000B  86          1987</t>
  </si>
  <si>
    <t>The curriculum and the hearing-impaired student : theoretical and practical considerations / Gary Owen Bunch.</t>
  </si>
  <si>
    <t>Bunch, Gary Owen, 1938-</t>
  </si>
  <si>
    <t>Boston : Little, Brown, c1987.</t>
  </si>
  <si>
    <t>2006-05-30</t>
  </si>
  <si>
    <t>11577067:eng</t>
  </si>
  <si>
    <t>15791967</t>
  </si>
  <si>
    <t>991001063679702656</t>
  </si>
  <si>
    <t>2259840890002656</t>
  </si>
  <si>
    <t>9780316114820</t>
  </si>
  <si>
    <t>32285000120369</t>
  </si>
  <si>
    <t>893803304</t>
  </si>
  <si>
    <t>HV245 .A66 2003</t>
  </si>
  <si>
    <t>0                      HV 0245000A  66          2003</t>
  </si>
  <si>
    <t>Social work and empowerment / Robert Adams.</t>
  </si>
  <si>
    <t>Adams, Robert, 1944-</t>
  </si>
  <si>
    <t>Houndmills, Basingstoke, Hampshire ; New York : Palgrave Macmillan, c2003.</t>
  </si>
  <si>
    <t>Practical social work</t>
  </si>
  <si>
    <t>2005-09-20</t>
  </si>
  <si>
    <t>2004-01-07</t>
  </si>
  <si>
    <t>45983872:eng</t>
  </si>
  <si>
    <t>50725169</t>
  </si>
  <si>
    <t>991004190409702656</t>
  </si>
  <si>
    <t>2261667040002656</t>
  </si>
  <si>
    <t>9780333693476</t>
  </si>
  <si>
    <t>32285004849849</t>
  </si>
  <si>
    <t>893343565</t>
  </si>
  <si>
    <t>HV245 .C27 1988</t>
  </si>
  <si>
    <t>0                      HV 0245000C  27          1988</t>
  </si>
  <si>
    <t>Care in the community : the first steps / Judy Renshaw ... [et al.]</t>
  </si>
  <si>
    <t>Aldershot, Hants, England : Brookfield, Vt., USA : Gower, c1988.</t>
  </si>
  <si>
    <t>1994-11-05</t>
  </si>
  <si>
    <t>1990-01-09</t>
  </si>
  <si>
    <t>836725023:eng</t>
  </si>
  <si>
    <t>18441452</t>
  </si>
  <si>
    <t>991001350229702656</t>
  </si>
  <si>
    <t>2269197270002656</t>
  </si>
  <si>
    <t>9780566057373</t>
  </si>
  <si>
    <t>32285000026954</t>
  </si>
  <si>
    <t>893516137</t>
  </si>
  <si>
    <t>HV245 .E475 1987</t>
  </si>
  <si>
    <t>0                      HV 0245000E  475         1987</t>
  </si>
  <si>
    <t>Social work in a multi-racial society / Peter Ely and David Denney.</t>
  </si>
  <si>
    <t>Ely, Peter.</t>
  </si>
  <si>
    <t>Aldershot, Hants, England ; Brookfield, Vt., USA : Gower, c1987.</t>
  </si>
  <si>
    <t>2001-02-01</t>
  </si>
  <si>
    <t>1991-08-09</t>
  </si>
  <si>
    <t>7357497:eng</t>
  </si>
  <si>
    <t>13823575</t>
  </si>
  <si>
    <t>991000880579702656</t>
  </si>
  <si>
    <t>2265512500002656</t>
  </si>
  <si>
    <t>9780566009396</t>
  </si>
  <si>
    <t>32285000681196</t>
  </si>
  <si>
    <t>893243684</t>
  </si>
  <si>
    <t>HV245 .G54 1985</t>
  </si>
  <si>
    <t>0                      HV 0245000G  54          1985</t>
  </si>
  <si>
    <t>Paying for welfare / Howard Glennerster.</t>
  </si>
  <si>
    <t>Glennerster, Howard.</t>
  </si>
  <si>
    <t>Oxford : Blackwell, 1985.</t>
  </si>
  <si>
    <t>2005-04-12</t>
  </si>
  <si>
    <t>961896817:eng</t>
  </si>
  <si>
    <t>13269242</t>
  </si>
  <si>
    <t>991000617009702656</t>
  </si>
  <si>
    <t>2260054150002656</t>
  </si>
  <si>
    <t>9780631139720</t>
  </si>
  <si>
    <t>32285001681088</t>
  </si>
  <si>
    <t>893255572</t>
  </si>
  <si>
    <t>HV2471 .D47</t>
  </si>
  <si>
    <t>0                      HV 2471000D  47</t>
  </si>
  <si>
    <t>The deaf / [by] Louis M. Di Carlo.</t>
  </si>
  <si>
    <t>Di Carlo, Louis Michael, 1903-</t>
  </si>
  <si>
    <t>Englewood Cliffs, N.J. : Prentice-Hall, [1964]</t>
  </si>
  <si>
    <t>Foundations of speech pathology series</t>
  </si>
  <si>
    <t>2000-09-19</t>
  </si>
  <si>
    <t>1991-12-09</t>
  </si>
  <si>
    <t>309125410:eng</t>
  </si>
  <si>
    <t>174158</t>
  </si>
  <si>
    <t>991005253269702656</t>
  </si>
  <si>
    <t>2266516220002656</t>
  </si>
  <si>
    <t>32285000848332</t>
  </si>
  <si>
    <t>893789684</t>
  </si>
  <si>
    <t>HV2471 .L68</t>
  </si>
  <si>
    <t>0                      HV 2471000L  68</t>
  </si>
  <si>
    <t>Teaching the hearing impaired through total communication / Sheila Lowenbraun, Karen I. Appelman, Judy Lee Callahan.</t>
  </si>
  <si>
    <t>Lowenbraun, Sheila.</t>
  </si>
  <si>
    <t>Columbus : Merrill, c1980.</t>
  </si>
  <si>
    <t>2533312485:eng</t>
  </si>
  <si>
    <t>6372605</t>
  </si>
  <si>
    <t>991004972619702656</t>
  </si>
  <si>
    <t>2267756030002656</t>
  </si>
  <si>
    <t>9780675081993</t>
  </si>
  <si>
    <t>32285000887330</t>
  </si>
  <si>
    <t>893344467</t>
  </si>
  <si>
    <t>HV2471 .P38 2000</t>
  </si>
  <si>
    <t>0                      HV 2471000P  38          2000</t>
  </si>
  <si>
    <t>Deaf American literature : from carnival to the canon / Cynthia Peters.</t>
  </si>
  <si>
    <t>Peters, Cynthia.</t>
  </si>
  <si>
    <t>Washington, D.C. : Gallaudet University Press, 2000.</t>
  </si>
  <si>
    <t>2009-12-04</t>
  </si>
  <si>
    <t>2002-05-01</t>
  </si>
  <si>
    <t>801288331:eng</t>
  </si>
  <si>
    <t>44046710</t>
  </si>
  <si>
    <t>991003784749702656</t>
  </si>
  <si>
    <t>2260514460002656</t>
  </si>
  <si>
    <t>9781563680946</t>
  </si>
  <si>
    <t>32285004484977</t>
  </si>
  <si>
    <t>893711800</t>
  </si>
  <si>
    <t>HV2471 .W56 1987</t>
  </si>
  <si>
    <t>0                      HV 2471000W  56          1987</t>
  </si>
  <si>
    <t>Never the twain shall meet : Bell, Gallaudet, and the communications debate / Richard Winefield.</t>
  </si>
  <si>
    <t>Winefield, Richard, 1949-</t>
  </si>
  <si>
    <t>Washington, D.C. : Gallaudet University Press, 1987.</t>
  </si>
  <si>
    <t>2002-11-25</t>
  </si>
  <si>
    <t>1990-02-20</t>
  </si>
  <si>
    <t>1049800:eng</t>
  </si>
  <si>
    <t>15695894</t>
  </si>
  <si>
    <t>991001055589702656</t>
  </si>
  <si>
    <t>2263873900002656</t>
  </si>
  <si>
    <t>9780913580998</t>
  </si>
  <si>
    <t>32285000056423</t>
  </si>
  <si>
    <t>893696425</t>
  </si>
  <si>
    <t>HV2474 .H47 1923</t>
  </si>
  <si>
    <t>0                      HV 2474000H  47          1923</t>
  </si>
  <si>
    <t>How to talk to the deaf.</t>
  </si>
  <si>
    <t>Higgins, D. D. (Daniel D.), 1876-</t>
  </si>
  <si>
    <t>St. Louis : D. D. Higgins, 1923.</t>
  </si>
  <si>
    <t>1923</t>
  </si>
  <si>
    <t>mou</t>
  </si>
  <si>
    <t>1999-06-07</t>
  </si>
  <si>
    <t>1990-09-06</t>
  </si>
  <si>
    <t>3855766105:eng</t>
  </si>
  <si>
    <t>4048304</t>
  </si>
  <si>
    <t>991004577309702656</t>
  </si>
  <si>
    <t>2256382550002656</t>
  </si>
  <si>
    <t>32285000300805</t>
  </si>
  <si>
    <t>893706581</t>
  </si>
  <si>
    <t>HV2474 .H64</t>
  </si>
  <si>
    <t>0                      HV 2474000H  64</t>
  </si>
  <si>
    <t>Communicating with deaf people : a resource manual for teachers and students of American sign language / by Harry W. Hoemann ; with ill. by Shirley A. Hoemann.</t>
  </si>
  <si>
    <t>Hoemann, Harry W.</t>
  </si>
  <si>
    <t>Baltimore : University Park Press, c1978.</t>
  </si>
  <si>
    <t>Perspectives in audiology series</t>
  </si>
  <si>
    <t>2004-09-23</t>
  </si>
  <si>
    <t>1992-12-01</t>
  </si>
  <si>
    <t>364895305:eng</t>
  </si>
  <si>
    <t>4003991</t>
  </si>
  <si>
    <t>991004563669702656</t>
  </si>
  <si>
    <t>2267731950002656</t>
  </si>
  <si>
    <t>9780839112594</t>
  </si>
  <si>
    <t>32285001410637</t>
  </si>
  <si>
    <t>893513398</t>
  </si>
  <si>
    <t>HV2474 .K53</t>
  </si>
  <si>
    <t>0                      HV 2474000K  53</t>
  </si>
  <si>
    <t>The signs of language / Edward S. Klima, Ursula Bellugi, with Robbin Battison .. [et al.].</t>
  </si>
  <si>
    <t>Klima, Edward S., 1931-2008.</t>
  </si>
  <si>
    <t>Cambridge, Mass. : Harvard University Press, 1979.</t>
  </si>
  <si>
    <t>2005-04-10</t>
  </si>
  <si>
    <t>14844058:eng</t>
  </si>
  <si>
    <t>4569939</t>
  </si>
  <si>
    <t>991004681319702656</t>
  </si>
  <si>
    <t>2256890070002656</t>
  </si>
  <si>
    <t>9780674807952</t>
  </si>
  <si>
    <t>32285001180636</t>
  </si>
  <si>
    <t>893235811</t>
  </si>
  <si>
    <t>HV2474 .S35</t>
  </si>
  <si>
    <t>0                      HV 2474000S  35</t>
  </si>
  <si>
    <t>Total communication : a signed speech program for nonverbal children / Benson Schaeffer, Arlene Musil, George Kollinzas.</t>
  </si>
  <si>
    <t>Schaeffer, Benson.</t>
  </si>
  <si>
    <t>Champaign, Ill. : Research Press, c1980.</t>
  </si>
  <si>
    <t>1992-01-23</t>
  </si>
  <si>
    <t>292459916:eng</t>
  </si>
  <si>
    <t>7251604</t>
  </si>
  <si>
    <t>991001772629702656</t>
  </si>
  <si>
    <t>2255775500002656</t>
  </si>
  <si>
    <t>9780878222186</t>
  </si>
  <si>
    <t>32285000917541</t>
  </si>
  <si>
    <t>893621602</t>
  </si>
  <si>
    <t>HV2474 .S54</t>
  </si>
  <si>
    <t>0                      HV 2474000S  54</t>
  </si>
  <si>
    <t>Sign language and language acquisition in man and ape : new dimensions in comparative pedolinguistics / edited by Fred C. C. Peng, editor.</t>
  </si>
  <si>
    <t>Boulder Colo. : Published by Westview Press for the American Association for the Advancement of Science, [1978]</t>
  </si>
  <si>
    <t>AAAS selected symposium ; 16</t>
  </si>
  <si>
    <t>2007-02-23</t>
  </si>
  <si>
    <t>909683144:eng</t>
  </si>
  <si>
    <t>4135117</t>
  </si>
  <si>
    <t>991004592239702656</t>
  </si>
  <si>
    <t>2254993510002656</t>
  </si>
  <si>
    <t>9780891584452</t>
  </si>
  <si>
    <t>32285001092914</t>
  </si>
  <si>
    <t>893612533</t>
  </si>
  <si>
    <t>HV2475 .L7 1918</t>
  </si>
  <si>
    <t>0                      HV 2475000L  7           1918</t>
  </si>
  <si>
    <t>The sign language : a manual of signs, being a descriptive vocabulary of signs used by the deaf of the United States and Canada / by J. Schuyler Long.</t>
  </si>
  <si>
    <t>Long, J. Schuyler (Joseph Schuyler), 1869-</t>
  </si>
  <si>
    <t>Des Moines, Ia. : R. Henderson, 1918.</t>
  </si>
  <si>
    <t>1918</t>
  </si>
  <si>
    <t>2d ed., rev. and enl.</t>
  </si>
  <si>
    <t>1998-10-26</t>
  </si>
  <si>
    <t>1992-11-04</t>
  </si>
  <si>
    <t>2287341040:eng</t>
  </si>
  <si>
    <t>765347</t>
  </si>
  <si>
    <t>991003242359702656</t>
  </si>
  <si>
    <t>2270349770002656</t>
  </si>
  <si>
    <t>32285001381416</t>
  </si>
  <si>
    <t>893805553</t>
  </si>
  <si>
    <t>HV248 .H28 1987</t>
  </si>
  <si>
    <t>0                      HV 0248000H  28          1987</t>
  </si>
  <si>
    <t>Justifying state welfare : the New Right versus the Old Left / David Harris ; with a foreword by David Miller.</t>
  </si>
  <si>
    <t>Harris, David (David C.)</t>
  </si>
  <si>
    <t>Oxford, UK ; New York, NY, USA : B. Blackwell, 1987.</t>
  </si>
  <si>
    <t>1995-11-08</t>
  </si>
  <si>
    <t>327141484:eng</t>
  </si>
  <si>
    <t>15018952</t>
  </si>
  <si>
    <t>991000980439702656</t>
  </si>
  <si>
    <t>2262890910002656</t>
  </si>
  <si>
    <t>9780631148586</t>
  </si>
  <si>
    <t>32285001681120</t>
  </si>
  <si>
    <t>893784701</t>
  </si>
  <si>
    <t>HV248 .N49 1989</t>
  </si>
  <si>
    <t>0                      HV 0248000N  49          1989</t>
  </si>
  <si>
    <t>The New politics of welfare : an agenda for the 1990s? / edited by Michael McCarthy ; [preface by Thomas Meenaghan].</t>
  </si>
  <si>
    <t>Chicago, IL : Lyceum Books, 1989.</t>
  </si>
  <si>
    <t>1995-07-05</t>
  </si>
  <si>
    <t>836859412:eng</t>
  </si>
  <si>
    <t>20131201</t>
  </si>
  <si>
    <t>991001541639702656</t>
  </si>
  <si>
    <t>2264085410002656</t>
  </si>
  <si>
    <t>9780925065230</t>
  </si>
  <si>
    <t>32285002053824</t>
  </si>
  <si>
    <t>893772654</t>
  </si>
  <si>
    <t>HV248 .P26 1987</t>
  </si>
  <si>
    <t>0                      HV 0248000P  26          1987</t>
  </si>
  <si>
    <t>The private provision of public welfare : state, market, and community / Elim Papadakis, Peter Taylor-Gooby.</t>
  </si>
  <si>
    <t>Papadakis, Elim.</t>
  </si>
  <si>
    <t>Sussex : Wheatsheaf Books ; New York : St. Martin's Press, 1987.</t>
  </si>
  <si>
    <t>1995-10-20</t>
  </si>
  <si>
    <t>10672792:eng</t>
  </si>
  <si>
    <t>15593971</t>
  </si>
  <si>
    <t>991001043909702656</t>
  </si>
  <si>
    <t>2255013370002656</t>
  </si>
  <si>
    <t>9780312009502</t>
  </si>
  <si>
    <t>32285000134949</t>
  </si>
  <si>
    <t>893696413</t>
  </si>
  <si>
    <t>HV2483 .B48 1987</t>
  </si>
  <si>
    <t>0                      HV 2483000B  48          1987</t>
  </si>
  <si>
    <t>Facilitating classroom listening : a handbook for teachers of normal and hard of hearing students / Frederick S. Berg.</t>
  </si>
  <si>
    <t>Berg, Frederick S.</t>
  </si>
  <si>
    <t>Boston : College-Hill Press, c1987.</t>
  </si>
  <si>
    <t>2007-08-30</t>
  </si>
  <si>
    <t>1991-12-05</t>
  </si>
  <si>
    <t>7195984:eng</t>
  </si>
  <si>
    <t>13795456</t>
  </si>
  <si>
    <t>991000874289702656</t>
  </si>
  <si>
    <t>2269054320002656</t>
  </si>
  <si>
    <t>9780316091442</t>
  </si>
  <si>
    <t>32285000848340</t>
  </si>
  <si>
    <t>893803138</t>
  </si>
  <si>
    <t>HV2487 .K5</t>
  </si>
  <si>
    <t>0                      HV 2487000K  5</t>
  </si>
  <si>
    <t>Lip-reading for the deafened adult, with a foreword by His Grace the Duke of Montrose, by Cora Elsie Kinzie and Rose Kinzie.</t>
  </si>
  <si>
    <t>Kinzie, Cora Elsie.</t>
  </si>
  <si>
    <t>Philadelphia, Chicago [etc.] The John C. Winston company [c1931]</t>
  </si>
  <si>
    <t>1931</t>
  </si>
  <si>
    <t>1998-03-15</t>
  </si>
  <si>
    <t>39204563:eng</t>
  </si>
  <si>
    <t>1801687</t>
  </si>
  <si>
    <t>991003893109702656</t>
  </si>
  <si>
    <t>2267536070002656</t>
  </si>
  <si>
    <t>32285003157061</t>
  </si>
  <si>
    <t>893330957</t>
  </si>
  <si>
    <t>HV250.L8 A65 1989</t>
  </si>
  <si>
    <t>0                      HV 0250000L  8                  A  65          1989</t>
  </si>
  <si>
    <t>Philanthropy and police : London charity in the eighteenth century / Donna T. Andrew.</t>
  </si>
  <si>
    <t>Andrew, Donna T., 1945-</t>
  </si>
  <si>
    <t>Princeton, N.J. : Princeton University Press, c1989.</t>
  </si>
  <si>
    <t>2004-10-07</t>
  </si>
  <si>
    <t>199153460:eng</t>
  </si>
  <si>
    <t>18413246</t>
  </si>
  <si>
    <t>991004395019702656</t>
  </si>
  <si>
    <t>2257204660002656</t>
  </si>
  <si>
    <t>9780691055572</t>
  </si>
  <si>
    <t>32285005002489</t>
  </si>
  <si>
    <t>893436241</t>
  </si>
  <si>
    <t>HV2504 .F67 1992</t>
  </si>
  <si>
    <t>0                      HV 2504000F  67          1992</t>
  </si>
  <si>
    <t>Working with deaf people : accessibility and accommodation in the workplace / by Susan B. Foster.</t>
  </si>
  <si>
    <t>Foster, Susan Bannerman.</t>
  </si>
  <si>
    <t>Springfield, Ill. : C.C. Thomas, c1992.</t>
  </si>
  <si>
    <t>2000-02-01</t>
  </si>
  <si>
    <t>1993-05-06</t>
  </si>
  <si>
    <t>28287999:eng</t>
  </si>
  <si>
    <t>25629863</t>
  </si>
  <si>
    <t>991002013939702656</t>
  </si>
  <si>
    <t>2259826150002656</t>
  </si>
  <si>
    <t>9780398058081</t>
  </si>
  <si>
    <t>32285001580751</t>
  </si>
  <si>
    <t>893596932</t>
  </si>
  <si>
    <t>HV2545 .B42 1943</t>
  </si>
  <si>
    <t>0                      HV 2545000B  42          1943</t>
  </si>
  <si>
    <t>Deafness and the deaf in the United States; considered primarily in relation to those sometimes more or less erroneously known as "deaf-mutes," by Harry Best.</t>
  </si>
  <si>
    <t>Best, Harry, 1880-1971.</t>
  </si>
  <si>
    <t>New York, The Macmillan Company, 1943.</t>
  </si>
  <si>
    <t>1943</t>
  </si>
  <si>
    <t>2033585:eng</t>
  </si>
  <si>
    <t>1124183</t>
  </si>
  <si>
    <t>991003555789702656</t>
  </si>
  <si>
    <t>2269488370002656</t>
  </si>
  <si>
    <t>32285003157087</t>
  </si>
  <si>
    <t>893336620</t>
  </si>
  <si>
    <t>HV2545 .H37</t>
  </si>
  <si>
    <t>0                      HV 2545000H  37</t>
  </si>
  <si>
    <t>Educational and psychosocial aspects of deafness / [edited by] Richard E. Hardy [and] John G. Cull.</t>
  </si>
  <si>
    <t>Hardy, Richard E.</t>
  </si>
  <si>
    <t>Springfield, Ill. : Thomas, [1974]</t>
  </si>
  <si>
    <t>1974</t>
  </si>
  <si>
    <t>American lecture series, no. 931. A publication in the Bannerstone Division of American lectures in social and rehabilitation psychology</t>
  </si>
  <si>
    <t>2005-04-17</t>
  </si>
  <si>
    <t>1990-02-22</t>
  </si>
  <si>
    <t>219320:eng</t>
  </si>
  <si>
    <t>700713</t>
  </si>
  <si>
    <t>991003161839702656</t>
  </si>
  <si>
    <t>2255455290002656</t>
  </si>
  <si>
    <t>9780398030025</t>
  </si>
  <si>
    <t>32285000060193</t>
  </si>
  <si>
    <t>893524477</t>
  </si>
  <si>
    <t>HV2545 .P33 1988</t>
  </si>
  <si>
    <t>0                      HV 2545000P  33          1988</t>
  </si>
  <si>
    <t>Deaf in America : voices from a culture / Carol Padden, Tom Humphries.</t>
  </si>
  <si>
    <t>Padden, Carol.</t>
  </si>
  <si>
    <t>Cambridge, Mass. : Harvard University Press, 1988.</t>
  </si>
  <si>
    <t>796410436:eng</t>
  </si>
  <si>
    <t>17875818</t>
  </si>
  <si>
    <t>991001276699702656</t>
  </si>
  <si>
    <t>2270490430002656</t>
  </si>
  <si>
    <t>9780674194236</t>
  </si>
  <si>
    <t>32285000057272</t>
  </si>
  <si>
    <t>893690497</t>
  </si>
  <si>
    <t>HV2545 .P38 1990</t>
  </si>
  <si>
    <t>0                      HV 2545000P  38          1990</t>
  </si>
  <si>
    <t>Education and deafness / Peter V. Paul, Stephen P. Quigley.</t>
  </si>
  <si>
    <t>Paul, Peter V.</t>
  </si>
  <si>
    <t>New York : Longman, 1990.</t>
  </si>
  <si>
    <t>1989-10-24</t>
  </si>
  <si>
    <t>21779095:eng</t>
  </si>
  <si>
    <t>19739353</t>
  </si>
  <si>
    <t>991001492499702656</t>
  </si>
  <si>
    <t>2259310150002656</t>
  </si>
  <si>
    <t>9780801300264</t>
  </si>
  <si>
    <t>32285000004704</t>
  </si>
  <si>
    <t>893534567</t>
  </si>
  <si>
    <t>HV268 .B47 1996</t>
  </si>
  <si>
    <t>0                      HV 0268000B  47          1996</t>
  </si>
  <si>
    <t>Saving our children from poverty : what the United States can learn from France / Barbara R. Bergmann.</t>
  </si>
  <si>
    <t>Bergmann, Barbara R.</t>
  </si>
  <si>
    <t>New York : Russell Sage Foundation, c1996.</t>
  </si>
  <si>
    <t>2000-01-26</t>
  </si>
  <si>
    <t>1997-03-19</t>
  </si>
  <si>
    <t>1028120450:eng</t>
  </si>
  <si>
    <t>35018120</t>
  </si>
  <si>
    <t>991005424279702656</t>
  </si>
  <si>
    <t>2267576330002656</t>
  </si>
  <si>
    <t>9780871541147</t>
  </si>
  <si>
    <t>32285002444486</t>
  </si>
  <si>
    <t>893607375</t>
  </si>
  <si>
    <t>HV27 .C45 2003</t>
  </si>
  <si>
    <t>0                      HV 0027000C  45          2003</t>
  </si>
  <si>
    <t>Celebrating social work : faces and voices of the formative years / edited by Elizabeth Wichers Dumez ; photographs by Donato Sardella.</t>
  </si>
  <si>
    <t>Alexandria, Va. : Council on Social Work Education, c2003.</t>
  </si>
  <si>
    <t>2007-04-12</t>
  </si>
  <si>
    <t>2004-09-14</t>
  </si>
  <si>
    <t>730220:eng</t>
  </si>
  <si>
    <t>52814287</t>
  </si>
  <si>
    <t>991004370419702656</t>
  </si>
  <si>
    <t>2262575300002656</t>
  </si>
  <si>
    <t>9780872931046</t>
  </si>
  <si>
    <t>32285004986906</t>
  </si>
  <si>
    <t>893253609</t>
  </si>
  <si>
    <t>HV27 .F35 2002</t>
  </si>
  <si>
    <t>0                      HV 0027000F  35          2002</t>
  </si>
  <si>
    <t>Faithful angels : portraits of international social work notables / James O. Billups, editor.</t>
  </si>
  <si>
    <t>Washington, D.C. : National Association of Social Workers, c2002.</t>
  </si>
  <si>
    <t>2009-02-04</t>
  </si>
  <si>
    <t>2003-11-12</t>
  </si>
  <si>
    <t>37972784:eng</t>
  </si>
  <si>
    <t>48588556</t>
  </si>
  <si>
    <t>991004162819702656</t>
  </si>
  <si>
    <t>2257856410002656</t>
  </si>
  <si>
    <t>9780871013149</t>
  </si>
  <si>
    <t>32285004797204</t>
  </si>
  <si>
    <t>893599503</t>
  </si>
  <si>
    <t>HV2716 .L96 1986</t>
  </si>
  <si>
    <t>0                      HV 2716000L  96          1986</t>
  </si>
  <si>
    <t>Integrating the handicapped into ordinary schools : a study of hearing-impaired pupils / Wendy Lynas.</t>
  </si>
  <si>
    <t>Lynas, Wendy.</t>
  </si>
  <si>
    <t>London ; Dover, N.H. : Croom Helm, c1986.</t>
  </si>
  <si>
    <t>1997-10-18</t>
  </si>
  <si>
    <t>1992-04-16</t>
  </si>
  <si>
    <t>836719073:eng</t>
  </si>
  <si>
    <t>12214985</t>
  </si>
  <si>
    <t>991000655609702656</t>
  </si>
  <si>
    <t>2266753280002656</t>
  </si>
  <si>
    <t>9780709916871</t>
  </si>
  <si>
    <t>32285001044733</t>
  </si>
  <si>
    <t>893333657</t>
  </si>
  <si>
    <t>HV2736 .L36 1984</t>
  </si>
  <si>
    <t>0                      HV 2736000L  36          1984</t>
  </si>
  <si>
    <t>The Deaf experience : classics in language and education / edited by Harlan Lane ; translated by Franklin Philip.</t>
  </si>
  <si>
    <t>Cambride, Mass. : Harvard University Press, 1984.</t>
  </si>
  <si>
    <t>800546415:eng</t>
  </si>
  <si>
    <t>10277665</t>
  </si>
  <si>
    <t>991000345509702656</t>
  </si>
  <si>
    <t>2265301420002656</t>
  </si>
  <si>
    <t>9780674194601</t>
  </si>
  <si>
    <t>32285000057280</t>
  </si>
  <si>
    <t>893890587</t>
  </si>
  <si>
    <t>HV28.A35 A25</t>
  </si>
  <si>
    <t>0                      HV 0028000A  35                 A  25</t>
  </si>
  <si>
    <t>The social thought of Jane Addams / edited by Christopher Lasch.</t>
  </si>
  <si>
    <t>Addams, Jane, 1860-1935.</t>
  </si>
  <si>
    <t>Indianapolis : Bobbs-Merrill, [1965]</t>
  </si>
  <si>
    <t>1965</t>
  </si>
  <si>
    <t>The American heritage series, AHS69</t>
  </si>
  <si>
    <t>2004-05-01</t>
  </si>
  <si>
    <t>1991-09-16</t>
  </si>
  <si>
    <t>494636:eng</t>
  </si>
  <si>
    <t>263809</t>
  </si>
  <si>
    <t>991002073909702656</t>
  </si>
  <si>
    <t>2268589430002656</t>
  </si>
  <si>
    <t>32285000737725</t>
  </si>
  <si>
    <t>893798142</t>
  </si>
  <si>
    <t>HV28.A35 B76 2004</t>
  </si>
  <si>
    <t>0                      HV 0028000A  35                 B  76          2004</t>
  </si>
  <si>
    <t>The education of Jane Addams / Victoria Bissell Brown.</t>
  </si>
  <si>
    <t>Brown, Victoria (Victoria Bissell)</t>
  </si>
  <si>
    <t>Philadelphia : University of Pennsylvania Press, c2004.</t>
  </si>
  <si>
    <t>Politics and culture in modern America</t>
  </si>
  <si>
    <t>2005-03-01</t>
  </si>
  <si>
    <t>706154:eng</t>
  </si>
  <si>
    <t>52341443</t>
  </si>
  <si>
    <t>991004456679702656</t>
  </si>
  <si>
    <t>2270198150002656</t>
  </si>
  <si>
    <t>9780812237474</t>
  </si>
  <si>
    <t>32285005028104</t>
  </si>
  <si>
    <t>893606049</t>
  </si>
  <si>
    <t>HV28.A35 E57 2002</t>
  </si>
  <si>
    <t>0                      HV 0028000A  35                 E  57          2002</t>
  </si>
  <si>
    <t>Jane Addams and the dream of American democracy : a life / Jean Bethke Elshtain.</t>
  </si>
  <si>
    <t>Elshtain, Jean Bethke, 1941-2013.</t>
  </si>
  <si>
    <t>New York : Basic Books, c2002.</t>
  </si>
  <si>
    <t>2002-03-04</t>
  </si>
  <si>
    <t>796381513:eng</t>
  </si>
  <si>
    <t>47849464</t>
  </si>
  <si>
    <t>991003731359702656</t>
  </si>
  <si>
    <t>2261182890002656</t>
  </si>
  <si>
    <t>9780465019120</t>
  </si>
  <si>
    <t>32285004459086</t>
  </si>
  <si>
    <t>893904488</t>
  </si>
  <si>
    <t>HV28.A35 L5 1968</t>
  </si>
  <si>
    <t>0                      HV 0028000A  35                 L  5           1968</t>
  </si>
  <si>
    <t>Jane Addams : a biography.</t>
  </si>
  <si>
    <t>Linn, James Weber, 1876-1939.</t>
  </si>
  <si>
    <t>New York : Greenwood Press, 1968 [c1935]</t>
  </si>
  <si>
    <t>1968</t>
  </si>
  <si>
    <t>1995-02-15</t>
  </si>
  <si>
    <t>1991-09-06</t>
  </si>
  <si>
    <t>1592930:eng</t>
  </si>
  <si>
    <t>3730</t>
  </si>
  <si>
    <t>991005435559702656</t>
  </si>
  <si>
    <t>2265796740002656</t>
  </si>
  <si>
    <t>32285000733914</t>
  </si>
  <si>
    <t>893811109</t>
  </si>
  <si>
    <t>HV28.B7 H4</t>
  </si>
  <si>
    <t>0                      HV 0028000B  7                  H  4</t>
  </si>
  <si>
    <t>Lady unknown : the life of Angela Burdett-Coutts / Edna Healey.</t>
  </si>
  <si>
    <t>Healey, Edna.</t>
  </si>
  <si>
    <t>London : Sidgwick &amp; Jackson, 1978.</t>
  </si>
  <si>
    <t xml:space="preserve">en </t>
  </si>
  <si>
    <t>2009-04-18</t>
  </si>
  <si>
    <t>1993-05-11</t>
  </si>
  <si>
    <t>836657470:eng</t>
  </si>
  <si>
    <t>4134413</t>
  </si>
  <si>
    <t>991004532419702656</t>
  </si>
  <si>
    <t>2268612890002656</t>
  </si>
  <si>
    <t>9780283983399</t>
  </si>
  <si>
    <t>32285001680304</t>
  </si>
  <si>
    <t>893353443</t>
  </si>
  <si>
    <t>HV28.D6 B75 1998</t>
  </si>
  <si>
    <t>0                      HV 0028000D  6                  B  75          1998</t>
  </si>
  <si>
    <t>Dorothea Dix : New England reformer / Thomas J. Brown.</t>
  </si>
  <si>
    <t>Brown, Thomas J., 1960-</t>
  </si>
  <si>
    <t>Cambridge, Mass. : Harvard University Press, 1998.</t>
  </si>
  <si>
    <t>Harvard historical studies ; 127</t>
  </si>
  <si>
    <t>2008-10-13</t>
  </si>
  <si>
    <t>1998-10-05</t>
  </si>
  <si>
    <t>309525682:eng</t>
  </si>
  <si>
    <t>38042883</t>
  </si>
  <si>
    <t>991002886819702656</t>
  </si>
  <si>
    <t>2263619340002656</t>
  </si>
  <si>
    <t>9780674214880</t>
  </si>
  <si>
    <t>32285003471447</t>
  </si>
  <si>
    <t>893227401</t>
  </si>
  <si>
    <t>HV28.D6 G65 1995</t>
  </si>
  <si>
    <t>0                      HV 0028000D  6                  G  65          1995</t>
  </si>
  <si>
    <t>Voice for the mad : the life of Dorothea Dix / David Gollaher.</t>
  </si>
  <si>
    <t>Gollaher, David, 1949-</t>
  </si>
  <si>
    <t>New York : Free Press, c1995.</t>
  </si>
  <si>
    <t>2006-11-21</t>
  </si>
  <si>
    <t>1995-10-23</t>
  </si>
  <si>
    <t>289851030:eng</t>
  </si>
  <si>
    <t>32085754</t>
  </si>
  <si>
    <t>991002461749702656</t>
  </si>
  <si>
    <t>2272326380002656</t>
  </si>
  <si>
    <t>9780029123997</t>
  </si>
  <si>
    <t>32285002097250</t>
  </si>
  <si>
    <t>893433918</t>
  </si>
  <si>
    <t>HV28.D6 M3 1967</t>
  </si>
  <si>
    <t>0                      HV 0028000D  6                  M  3           1967</t>
  </si>
  <si>
    <t>Dorothea Dix, forgotten Samaritan, by Helen E. Marshall.</t>
  </si>
  <si>
    <t>Marshall, Hélène.</t>
  </si>
  <si>
    <t>New York, Russell &amp; Russell [1967, c1937]</t>
  </si>
  <si>
    <t>2007-10-24</t>
  </si>
  <si>
    <t>1997-08-19</t>
  </si>
  <si>
    <t>236295714:eng</t>
  </si>
  <si>
    <t>262052</t>
  </si>
  <si>
    <t>991002052759702656</t>
  </si>
  <si>
    <t>2266760420002656</t>
  </si>
  <si>
    <t>32285003149563</t>
  </si>
  <si>
    <t>893340974</t>
  </si>
  <si>
    <t>HV28.D6 S35 1991</t>
  </si>
  <si>
    <t>0                      HV 0028000D  6                  S  35          1991</t>
  </si>
  <si>
    <t>Heart's work : Civil War heroine and champion of the mentally ill, Dorothea Lynde Dix / Charles Schlaifer and Lucy Freeman.</t>
  </si>
  <si>
    <t>Schlaifer, Charles.</t>
  </si>
  <si>
    <t>New York : Paragon House, 1991.</t>
  </si>
  <si>
    <t>1992-05-08</t>
  </si>
  <si>
    <t>196071915:eng</t>
  </si>
  <si>
    <t>23287000</t>
  </si>
  <si>
    <t>991001855839702656</t>
  </si>
  <si>
    <t>2272036430002656</t>
  </si>
  <si>
    <t>9781557784193</t>
  </si>
  <si>
    <t>32285001038958</t>
  </si>
  <si>
    <t>893797875</t>
  </si>
  <si>
    <t>HV29 .A28 2006</t>
  </si>
  <si>
    <t>0                      HV 0029000A  28          2006</t>
  </si>
  <si>
    <t>Using statistical methods in social work practice : a complete SPSS guide / Soleman H. Abu-Bader.</t>
  </si>
  <si>
    <t>Abu-Bader, Soleman H., 1965-</t>
  </si>
  <si>
    <t>2006-10-26</t>
  </si>
  <si>
    <t>479095300:eng</t>
  </si>
  <si>
    <t>58789099</t>
  </si>
  <si>
    <t>991004926389702656</t>
  </si>
  <si>
    <t>2267642070002656</t>
  </si>
  <si>
    <t>9780925065902</t>
  </si>
  <si>
    <t>32285005233472</t>
  </si>
  <si>
    <t>893901906</t>
  </si>
  <si>
    <t>HV29.2 .S36 1999</t>
  </si>
  <si>
    <t>0                      HV 0029200S  36          1999</t>
  </si>
  <si>
    <t>Human services technology : understanding, designing, and implementing computer and Internet applications in the social services / Dick Schoech.</t>
  </si>
  <si>
    <t>Schoech, Dick.</t>
  </si>
  <si>
    <t>New York : Haworth Press, c1999.</t>
  </si>
  <si>
    <t>2nd ed. of Human services computing : concepts and applications.</t>
  </si>
  <si>
    <t>Haworth social administration</t>
  </si>
  <si>
    <t>2008-06-09</t>
  </si>
  <si>
    <t>2000-01-25</t>
  </si>
  <si>
    <t>476305292:eng</t>
  </si>
  <si>
    <t>40200524</t>
  </si>
  <si>
    <t>991002985329702656</t>
  </si>
  <si>
    <t>2267366410002656</t>
  </si>
  <si>
    <t>9780789001085</t>
  </si>
  <si>
    <t>32285003644050</t>
  </si>
  <si>
    <t>893592046</t>
  </si>
  <si>
    <t>HV3000 .C63</t>
  </si>
  <si>
    <t>0                      HV 3000000C  63</t>
  </si>
  <si>
    <t>Special people : a brighter future for everyone with physical, mental, and emotional disabilities / Shirley Cohen.</t>
  </si>
  <si>
    <t>Cohen, Shirley.</t>
  </si>
  <si>
    <t>Englewood Cliffs, N.J. : Prentice-Hall, c1977.</t>
  </si>
  <si>
    <t>A Spectrum book</t>
  </si>
  <si>
    <t>1998-12-18</t>
  </si>
  <si>
    <t>1990-02-19</t>
  </si>
  <si>
    <t>864103625:eng</t>
  </si>
  <si>
    <t>2818293</t>
  </si>
  <si>
    <t>991004253249702656</t>
  </si>
  <si>
    <t>2265195840002656</t>
  </si>
  <si>
    <t>9780138265113</t>
  </si>
  <si>
    <t>32285000048354</t>
  </si>
  <si>
    <t>893687531</t>
  </si>
  <si>
    <t>HV3000 .M35</t>
  </si>
  <si>
    <t>0                      HV 3000000M  35</t>
  </si>
  <si>
    <t>Mental retardation in school and society / Donald L. MacMillan.</t>
  </si>
  <si>
    <t>MacMillan, Donald L.</t>
  </si>
  <si>
    <t>Boston : Little, Brown, c1977.</t>
  </si>
  <si>
    <t>2004-04-21</t>
  </si>
  <si>
    <t>1991-12-16</t>
  </si>
  <si>
    <t>9330137:eng</t>
  </si>
  <si>
    <t>3276152</t>
  </si>
  <si>
    <t>991004395499702656</t>
  </si>
  <si>
    <t>2256744850002656</t>
  </si>
  <si>
    <t>32285000879667</t>
  </si>
  <si>
    <t>893882426</t>
  </si>
  <si>
    <t>HV3004 .B43</t>
  </si>
  <si>
    <t>0                      HV 3004000B  43</t>
  </si>
  <si>
    <t>Social services to the mentally retarded / by Helen L. Beck.</t>
  </si>
  <si>
    <t>Beck, Helen L. (Helen Louise)</t>
  </si>
  <si>
    <t>Springfield, Ill. : Thomas, [1969]</t>
  </si>
  <si>
    <t>1993-10-07</t>
  </si>
  <si>
    <t>1378786:eng</t>
  </si>
  <si>
    <t>264033</t>
  </si>
  <si>
    <t>991002078369702656</t>
  </si>
  <si>
    <t>2268240520002656</t>
  </si>
  <si>
    <t>32285000879659</t>
  </si>
  <si>
    <t>893684925</t>
  </si>
  <si>
    <t>HV3004 .C44</t>
  </si>
  <si>
    <t>0                      HV 3004000C  44</t>
  </si>
  <si>
    <t>Mental retardation : from catagories to people / Patricia T. Cegelka, Herbert Prehm.</t>
  </si>
  <si>
    <t>Cegelka, Patricia Thomas.</t>
  </si>
  <si>
    <t>Columbus : C.E. Merrill, c1982.</t>
  </si>
  <si>
    <t>2003-02-06</t>
  </si>
  <si>
    <t>355891693:eng</t>
  </si>
  <si>
    <t>9110151</t>
  </si>
  <si>
    <t>991005234829702656</t>
  </si>
  <si>
    <t>2262007280002656</t>
  </si>
  <si>
    <t>9780675098311</t>
  </si>
  <si>
    <t>32285001180727</t>
  </si>
  <si>
    <t>893896116</t>
  </si>
  <si>
    <t>HV3004 .C47</t>
  </si>
  <si>
    <t>0                      HV 3004000C  47</t>
  </si>
  <si>
    <t>Mental retardation : a life cycle approach / Philip C. Chinn, Clifford J. Drew, Don R. Logan.</t>
  </si>
  <si>
    <t>Chinn, Philip C., 1937-</t>
  </si>
  <si>
    <t>Saint Louis : Mosby, 1975.</t>
  </si>
  <si>
    <t>1997-03-13</t>
  </si>
  <si>
    <t>2564837970:eng</t>
  </si>
  <si>
    <t>1056826</t>
  </si>
  <si>
    <t>991003505289702656</t>
  </si>
  <si>
    <t>2271997790002656</t>
  </si>
  <si>
    <t>9780801609602</t>
  </si>
  <si>
    <t>32285000972322</t>
  </si>
  <si>
    <t>893234234</t>
  </si>
  <si>
    <t>HV3004 .E89 1983</t>
  </si>
  <si>
    <t>0                      HV 3004000E  89          1983</t>
  </si>
  <si>
    <t>The lives of mentally retarded people / Daryl Paul Evans.</t>
  </si>
  <si>
    <t>Evans, Daryl.</t>
  </si>
  <si>
    <t>Boulder, Colo. : Westview Press, 1983.</t>
  </si>
  <si>
    <t>1983</t>
  </si>
  <si>
    <t>1992-04-15</t>
  </si>
  <si>
    <t>20962283:eng</t>
  </si>
  <si>
    <t>8627502</t>
  </si>
  <si>
    <t>991000035559702656</t>
  </si>
  <si>
    <t>2261705670002656</t>
  </si>
  <si>
    <t>9780865312715</t>
  </si>
  <si>
    <t>32285001061034</t>
  </si>
  <si>
    <t>893877736</t>
  </si>
  <si>
    <t>HV3004 .K2</t>
  </si>
  <si>
    <t>0                      HV 3004000K  2</t>
  </si>
  <si>
    <t>A history of the care and study of the mentally retarded.</t>
  </si>
  <si>
    <t>Kanner, Leo, 1894-1981.</t>
  </si>
  <si>
    <t>Springfield, Ill., C. C. Thomas [1964]</t>
  </si>
  <si>
    <t>2004-11-06</t>
  </si>
  <si>
    <t>9415019284:eng</t>
  </si>
  <si>
    <t>264196</t>
  </si>
  <si>
    <t>991002078709702656</t>
  </si>
  <si>
    <t>2268286910002656</t>
  </si>
  <si>
    <t>32285003157145</t>
  </si>
  <si>
    <t>893773185</t>
  </si>
  <si>
    <t>HV3004 .M34 2000</t>
  </si>
  <si>
    <t>0                      HV 3004000M  34          2000</t>
  </si>
  <si>
    <t>Meaningful care : a multidisciplinary approach to the meaning of care for people with mental retardation / edited by Joop Stolk, Theo A. Boer and Ruth Seldenrijk.</t>
  </si>
  <si>
    <t>Dordrecht ; Boston : Kluwer Academic Publishers, c2000.</t>
  </si>
  <si>
    <t xml:space="preserve">ne </t>
  </si>
  <si>
    <t>2001-02-26</t>
  </si>
  <si>
    <t>351453797:eng</t>
  </si>
  <si>
    <t>43894425</t>
  </si>
  <si>
    <t>991003495389702656</t>
  </si>
  <si>
    <t>2263092350002656</t>
  </si>
  <si>
    <t>9780792362913</t>
  </si>
  <si>
    <t>32285004297502</t>
  </si>
  <si>
    <t>893499352</t>
  </si>
  <si>
    <t>HV3004 .M4</t>
  </si>
  <si>
    <t>0                      HV 3004000M  4</t>
  </si>
  <si>
    <t>Planning community services for the mentally retarded, edited by Edward L. Meyen.</t>
  </si>
  <si>
    <t>Meyen, Edward L., compiler.</t>
  </si>
  <si>
    <t>Scranton, International Textbook Co. [1967]</t>
  </si>
  <si>
    <t>1994-04-14</t>
  </si>
  <si>
    <t>1385595:eng</t>
  </si>
  <si>
    <t>315719</t>
  </si>
  <si>
    <t>991002296309702656</t>
  </si>
  <si>
    <t>2268905680002656</t>
  </si>
  <si>
    <t>32285000878370</t>
  </si>
  <si>
    <t>893328901</t>
  </si>
  <si>
    <t>HV3004 .V43 1986</t>
  </si>
  <si>
    <t>0                      HV 3004000V  43          1986</t>
  </si>
  <si>
    <t>The foundations of justice : why the retarded and the rest of us have claims to equality / Robert M. Veatch.</t>
  </si>
  <si>
    <t>Veatch, Robert M.</t>
  </si>
  <si>
    <t>New York : Oxford University Press, 1986.</t>
  </si>
  <si>
    <t>1993-09-28</t>
  </si>
  <si>
    <t>1999-05-04</t>
  </si>
  <si>
    <t>836651943:eng</t>
  </si>
  <si>
    <t>13699552</t>
  </si>
  <si>
    <t>991001785519702656</t>
  </si>
  <si>
    <t>2267095090002656</t>
  </si>
  <si>
    <t>9780195040760</t>
  </si>
  <si>
    <t>32285001066157</t>
  </si>
  <si>
    <t>893621622</t>
  </si>
  <si>
    <t>HV3006.A4 F33</t>
  </si>
  <si>
    <t>0                      HV 3006000A  4                  F  33</t>
  </si>
  <si>
    <t>Mental retardation : its social context and social consequences.</t>
  </si>
  <si>
    <t>Farber, Bernard.</t>
  </si>
  <si>
    <t>Boston : Houghton Mifflin, [1968]</t>
  </si>
  <si>
    <t>1995-02-20</t>
  </si>
  <si>
    <t>1993-11-30</t>
  </si>
  <si>
    <t>196106943:eng</t>
  </si>
  <si>
    <t>264192</t>
  </si>
  <si>
    <t>991002078669702656</t>
  </si>
  <si>
    <t>2268287060002656</t>
  </si>
  <si>
    <t>32285001689792</t>
  </si>
  <si>
    <t>893804197</t>
  </si>
  <si>
    <t>HV3006.A4 G46 1987</t>
  </si>
  <si>
    <t>0                      HV 3006000A  4                  G  46          1987</t>
  </si>
  <si>
    <t>Gentle teaching : a nonaversive approach for helping persons with mental retardation / John J. McGee ... [et al.].</t>
  </si>
  <si>
    <t>New York, N.Y. : Human Sciences Press, c1987.</t>
  </si>
  <si>
    <t>1991-10-31</t>
  </si>
  <si>
    <t>894396238:eng</t>
  </si>
  <si>
    <t>14932036</t>
  </si>
  <si>
    <t>991000968259702656</t>
  </si>
  <si>
    <t>2263541970002656</t>
  </si>
  <si>
    <t>9780898853575</t>
  </si>
  <si>
    <t>32285000804012</t>
  </si>
  <si>
    <t>893608424</t>
  </si>
  <si>
    <t>HV3006.A4 M43</t>
  </si>
  <si>
    <t>0                      HV 3006000A  4                  M  43</t>
  </si>
  <si>
    <t>Mental retardation and sterilization : a problem of competency and paternalism / edited by Ruth Macklin and Willard Gaylin.</t>
  </si>
  <si>
    <t>New York : Plenum Press, c1981.</t>
  </si>
  <si>
    <t>Hastings Center series in ethics</t>
  </si>
  <si>
    <t>1999-02-21</t>
  </si>
  <si>
    <t>1992-07-01</t>
  </si>
  <si>
    <t>836673743:eng</t>
  </si>
  <si>
    <t>7554294</t>
  </si>
  <si>
    <t>991005127039702656</t>
  </si>
  <si>
    <t>2264697950002656</t>
  </si>
  <si>
    <t>9780306406898</t>
  </si>
  <si>
    <t>32285001180842</t>
  </si>
  <si>
    <t>893236324</t>
  </si>
  <si>
    <t>HV3006.A4 M6</t>
  </si>
  <si>
    <t>0                      HV 3006000A  4                  M  6</t>
  </si>
  <si>
    <t>Mental retardation : causes and prevention / Byron C. Moore, Susan M. Moore.</t>
  </si>
  <si>
    <t>Moore, Byron C.</t>
  </si>
  <si>
    <t>Columbus : Charles E. Merrill Pub. Co., 1977.</t>
  </si>
  <si>
    <t>198056948:eng</t>
  </si>
  <si>
    <t>3286174</t>
  </si>
  <si>
    <t>991004397509702656</t>
  </si>
  <si>
    <t>2255579270002656</t>
  </si>
  <si>
    <t>9780067585351</t>
  </si>
  <si>
    <t>32285001180859</t>
  </si>
  <si>
    <t>893436244</t>
  </si>
  <si>
    <t>HV3006.A4 S32</t>
  </si>
  <si>
    <t>0                      HV 3006000A  4                  S  32</t>
  </si>
  <si>
    <t>Educational handicap, public policy, and social history : a broadened perspective on mental retardation / Seymour B. Sarason and John Doris.</t>
  </si>
  <si>
    <t>Sarason, Seymour Bernard, 1919-2010.</t>
  </si>
  <si>
    <t>New York : Free Press, c1979.</t>
  </si>
  <si>
    <t>2009-04-06</t>
  </si>
  <si>
    <t>1990-04-17</t>
  </si>
  <si>
    <t>889378283:eng</t>
  </si>
  <si>
    <t>4192127</t>
  </si>
  <si>
    <t>991004603889702656</t>
  </si>
  <si>
    <t>2263807630002656</t>
  </si>
  <si>
    <t>9780029279205</t>
  </si>
  <si>
    <t>32285000121185</t>
  </si>
  <si>
    <t>893687906</t>
  </si>
  <si>
    <t>HV3006.A4 S45 1987</t>
  </si>
  <si>
    <t>0                      HV 3006000A  4                  S  45          1987</t>
  </si>
  <si>
    <t>Aging and mental retardation : extending the continuum / Marsha Mailick Seltzer and Marty Wyngaarden Krauss.</t>
  </si>
  <si>
    <t>Seltzer, Marsha Mailick.</t>
  </si>
  <si>
    <t>Washington, DC : American Association on Mental Retardation, 1987.</t>
  </si>
  <si>
    <t>Monographs of the American Association on Mental Retardation, 0895-8009 ; 9</t>
  </si>
  <si>
    <t>288949764:eng</t>
  </si>
  <si>
    <t>16831091</t>
  </si>
  <si>
    <t>991001152939702656</t>
  </si>
  <si>
    <t>2255909130002656</t>
  </si>
  <si>
    <t>9780940898189</t>
  </si>
  <si>
    <t>32285001180867</t>
  </si>
  <si>
    <t>893237909</t>
  </si>
  <si>
    <t>HV3006.A4 T96 1984</t>
  </si>
  <si>
    <t>0                      HV 3006000A  4                  T  96          1984</t>
  </si>
  <si>
    <t>Caring for the retarded in America : a history / Peter L. Tyor and Leland V. Bell.</t>
  </si>
  <si>
    <t>Tyor, Peter L.</t>
  </si>
  <si>
    <t>Westport, Conn. : Greenwood Press, 1984.</t>
  </si>
  <si>
    <t>Contributions in medical history, 0147-1058 ; no. 15</t>
  </si>
  <si>
    <t>2006-05-18</t>
  </si>
  <si>
    <t>365425137:eng</t>
  </si>
  <si>
    <t>10711522</t>
  </si>
  <si>
    <t>991000411979702656</t>
  </si>
  <si>
    <t>2260234760002656</t>
  </si>
  <si>
    <t>9780313209772</t>
  </si>
  <si>
    <t>32285001180875</t>
  </si>
  <si>
    <t>893515256</t>
  </si>
  <si>
    <t>HV3006.A4 V57 1985</t>
  </si>
  <si>
    <t>0                      HV 3006000A  4                  V  57          1985</t>
  </si>
  <si>
    <t>Mental retardation : its social and legal context / Stanley J. Vitello, Ronald M. Soskin.</t>
  </si>
  <si>
    <t>Vitello, Stanley J.</t>
  </si>
  <si>
    <t>Englewood Cliffs, N.J. : Prentice-Hall, c1985.</t>
  </si>
  <si>
    <t>2010-02-04</t>
  </si>
  <si>
    <t>373660716:eng</t>
  </si>
  <si>
    <t>10777387</t>
  </si>
  <si>
    <t>991000429189702656</t>
  </si>
  <si>
    <t>2265295060002656</t>
  </si>
  <si>
    <t>9780135765210</t>
  </si>
  <si>
    <t>32285001061026</t>
  </si>
  <si>
    <t>893884372</t>
  </si>
  <si>
    <t>HV3009.5.A35 A35 1985</t>
  </si>
  <si>
    <t>0                      HV 3009500A  35                 A  35          1985</t>
  </si>
  <si>
    <t>Aging and developmental disabilities : issues and approaches / edited by Matthew P. Janicki, Henryk M. Wisniewski.</t>
  </si>
  <si>
    <t>Baltimore : Brookes, c1985.</t>
  </si>
  <si>
    <t>2003-03-30</t>
  </si>
  <si>
    <t>836698761:eng</t>
  </si>
  <si>
    <t>11621428</t>
  </si>
  <si>
    <t>991000564699702656</t>
  </si>
  <si>
    <t>2263445190002656</t>
  </si>
  <si>
    <t>9780933716469</t>
  </si>
  <si>
    <t>32285001180909</t>
  </si>
  <si>
    <t>893321157</t>
  </si>
  <si>
    <t>HV3011 .M5</t>
  </si>
  <si>
    <t>0                      HV 3011000M  5</t>
  </si>
  <si>
    <t>The physically handicapped and the community: some challenging breakthroughs.</t>
  </si>
  <si>
    <t>Michaux, Louis Arthur.</t>
  </si>
  <si>
    <t>Springfield, Ill., C. Thomas [c1970]</t>
  </si>
  <si>
    <t>1970</t>
  </si>
  <si>
    <t>197848786:eng</t>
  </si>
  <si>
    <t>134054</t>
  </si>
  <si>
    <t>991000778289702656</t>
  </si>
  <si>
    <t>2260877650002656</t>
  </si>
  <si>
    <t>32285003157269</t>
  </si>
  <si>
    <t>893339882</t>
  </si>
  <si>
    <t>HV3021.W66 M37 2004</t>
  </si>
  <si>
    <t>0                      HV 3021000W  66                 M  37          2004</t>
  </si>
  <si>
    <t>Working against odds : stories of disabled women's work lives / Mary Grimley Mason ; with a foreword by Rosemarie Garland-Thomson.</t>
  </si>
  <si>
    <t>Mason, Mary Grimley.</t>
  </si>
  <si>
    <t>Boston : Northeastern University Press, c2004.</t>
  </si>
  <si>
    <t>2006-12-13</t>
  </si>
  <si>
    <t>996830:eng</t>
  </si>
  <si>
    <t>55595641</t>
  </si>
  <si>
    <t>991004994579702656</t>
  </si>
  <si>
    <t>2259543320002656</t>
  </si>
  <si>
    <t>9781555536305</t>
  </si>
  <si>
    <t>32285005266167</t>
  </si>
  <si>
    <t>893254301</t>
  </si>
  <si>
    <t>HV3024.N67 M45 1995</t>
  </si>
  <si>
    <t>0                      HV 3024000N  67                 M  45          1995</t>
  </si>
  <si>
    <t>Disability and religion in Northern Ireland / by Martin Melaugh.</t>
  </si>
  <si>
    <t>Melaugh, M. (Martin)</t>
  </si>
  <si>
    <t>Coleraine : Centre for the Study of Conflict, University of Ulster, 1995.</t>
  </si>
  <si>
    <t>nik</t>
  </si>
  <si>
    <t>2008-03-19</t>
  </si>
  <si>
    <t>1997-02-05</t>
  </si>
  <si>
    <t>36294292:eng</t>
  </si>
  <si>
    <t>32702578</t>
  </si>
  <si>
    <t>991002515189702656</t>
  </si>
  <si>
    <t>2272279740002656</t>
  </si>
  <si>
    <t>9781859230466</t>
  </si>
  <si>
    <t>32285002414323</t>
  </si>
  <si>
    <t>893440234</t>
  </si>
  <si>
    <t>HV31 .C383 1996</t>
  </si>
  <si>
    <t>0                      HV 0031000C  383         1996</t>
  </si>
  <si>
    <t>Approaches to the welfare state / Pranab Chatterjee.</t>
  </si>
  <si>
    <t>Chatterjee, Pranab, 1936-</t>
  </si>
  <si>
    <t>Washington, DC : NASW Press, c1996.</t>
  </si>
  <si>
    <t>2006-12-09</t>
  </si>
  <si>
    <t>39476071:eng</t>
  </si>
  <si>
    <t>33948190</t>
  </si>
  <si>
    <t>991002590879702656</t>
  </si>
  <si>
    <t>2260887620002656</t>
  </si>
  <si>
    <t>9780871012623</t>
  </si>
  <si>
    <t>32285003644266</t>
  </si>
  <si>
    <t>893523811</t>
  </si>
  <si>
    <t>HV31 .M24</t>
  </si>
  <si>
    <t>0                      HV 0031000M  24</t>
  </si>
  <si>
    <t>Work and welfare : the unholy alliance / David Macarov.</t>
  </si>
  <si>
    <t>Macarov, David.</t>
  </si>
  <si>
    <t>Beverly Hills, Calif. : Sage Publications, c1980.</t>
  </si>
  <si>
    <t>Sage library of social research ; v. 99</t>
  </si>
  <si>
    <t>20379600:eng</t>
  </si>
  <si>
    <t>5799931</t>
  </si>
  <si>
    <t>991004878139702656</t>
  </si>
  <si>
    <t>2269417710002656</t>
  </si>
  <si>
    <t>9780803914087</t>
  </si>
  <si>
    <t>32285000120302</t>
  </si>
  <si>
    <t>893889395</t>
  </si>
  <si>
    <t>HV31 .N67</t>
  </si>
  <si>
    <t>0                      HV 0031000N  67</t>
  </si>
  <si>
    <t>Clinical social work / by Helen Northen.</t>
  </si>
  <si>
    <t>Northen, Helen.</t>
  </si>
  <si>
    <t>New York : Columbia University Press, 1982.</t>
  </si>
  <si>
    <t>2010-04-22</t>
  </si>
  <si>
    <t>1990-07-20</t>
  </si>
  <si>
    <t>419856:eng</t>
  </si>
  <si>
    <t>7615033</t>
  </si>
  <si>
    <t>991005141649702656</t>
  </si>
  <si>
    <t>2255311730002656</t>
  </si>
  <si>
    <t>9780231038003</t>
  </si>
  <si>
    <t>32285000246255</t>
  </si>
  <si>
    <t>893520499</t>
  </si>
  <si>
    <t>HV3176 .D59 2001</t>
  </si>
  <si>
    <t>0                      HV 3176000D  59          2001</t>
  </si>
  <si>
    <t>Diversity, oppression, and social functioning : person-in-environment assessment and intervention / George A. Appleby, Edgar Colon, Julia Hamilton, co-editors.</t>
  </si>
  <si>
    <t>Boston : Allyn and Bacon, 2001.</t>
  </si>
  <si>
    <t>2009-10-29</t>
  </si>
  <si>
    <t>2004-11-29</t>
  </si>
  <si>
    <t>47024790:eng</t>
  </si>
  <si>
    <t>44634344</t>
  </si>
  <si>
    <t>991004424229702656</t>
  </si>
  <si>
    <t>2257302860002656</t>
  </si>
  <si>
    <t>9780205298891</t>
  </si>
  <si>
    <t>32285005013106</t>
  </si>
  <si>
    <t>893430046</t>
  </si>
  <si>
    <t>HV3176 .E83 1988</t>
  </si>
  <si>
    <t>0                      HV 3176000E  83          1988</t>
  </si>
  <si>
    <t>Ethnicity &amp; race : critical concepts in social work / Carolyn Jacobs and Dorcas D. Bowles, editors.</t>
  </si>
  <si>
    <t>Silver Spring, MD : National Association of Social Workers, c1988.</t>
  </si>
  <si>
    <t>2005-03-15</t>
  </si>
  <si>
    <t>1990-05-02</t>
  </si>
  <si>
    <t>375203040:eng</t>
  </si>
  <si>
    <t>16901344</t>
  </si>
  <si>
    <t>991001162939702656</t>
  </si>
  <si>
    <t>2268453830002656</t>
  </si>
  <si>
    <t>9780871011558</t>
  </si>
  <si>
    <t>32285005079735</t>
  </si>
  <si>
    <t>893321687</t>
  </si>
  <si>
    <t>HV3176 .H37 2007</t>
  </si>
  <si>
    <t>0                      HV 3176000H  37          2007</t>
  </si>
  <si>
    <t>Cross-cultural social work practice : purpose and meaning / Karen V. Harper-Dorton, Jim Lantz.</t>
  </si>
  <si>
    <t>Harper-Dorton, Karen V., 1942-</t>
  </si>
  <si>
    <t>Chicago, IL : Lyceum Books, 2007.</t>
  </si>
  <si>
    <t>2008-01-21</t>
  </si>
  <si>
    <t>2866151420:eng</t>
  </si>
  <si>
    <t>70175006</t>
  </si>
  <si>
    <t>991005167299702656</t>
  </si>
  <si>
    <t>2271851480002656</t>
  </si>
  <si>
    <t>9780925065766</t>
  </si>
  <si>
    <t>32285005379192</t>
  </si>
  <si>
    <t>893412430</t>
  </si>
  <si>
    <t>HV3176 .H85</t>
  </si>
  <si>
    <t>0                      HV 3176000H  85</t>
  </si>
  <si>
    <t>Human services for cultural minorities / edited by Richard H. Dana.</t>
  </si>
  <si>
    <t>Baltimore : University Park Press, c1981.</t>
  </si>
  <si>
    <t>1995-03-03</t>
  </si>
  <si>
    <t>29772992:eng</t>
  </si>
  <si>
    <t>7837313</t>
  </si>
  <si>
    <t>991005168199702656</t>
  </si>
  <si>
    <t>2256984900002656</t>
  </si>
  <si>
    <t>9780839116875</t>
  </si>
  <si>
    <t>32285001092898</t>
  </si>
  <si>
    <t>893507718</t>
  </si>
  <si>
    <t>HV3176 .S35</t>
  </si>
  <si>
    <t>0                      HV 3176000S  35</t>
  </si>
  <si>
    <t>Social work practice with minorities / [edited by] David R. Burgest.</t>
  </si>
  <si>
    <t>Metuchen, N.J. : Scarecrow Press, 1982.</t>
  </si>
  <si>
    <t>1994-11-30</t>
  </si>
  <si>
    <t>54458363:eng</t>
  </si>
  <si>
    <t>7796016</t>
  </si>
  <si>
    <t>991005162219702656</t>
  </si>
  <si>
    <t>2266356680002656</t>
  </si>
  <si>
    <t>9780810814769</t>
  </si>
  <si>
    <t>32285001092872</t>
  </si>
  <si>
    <t>893443509</t>
  </si>
  <si>
    <t>HV3177.G7 C73 2008</t>
  </si>
  <si>
    <t>0                      HV 3177000G  7                  C  73          2008</t>
  </si>
  <si>
    <t>Islam and social work : debating values, transforming practice / Sara Ashencaen Crabtree, Fatima Husain and Basia Spalek.</t>
  </si>
  <si>
    <t>Ashencaen Crabtree, Sara.</t>
  </si>
  <si>
    <t>Bristol : Policy, c2008.</t>
  </si>
  <si>
    <t>896777069:eng</t>
  </si>
  <si>
    <t>176925626</t>
  </si>
  <si>
    <t>991005293559702656</t>
  </si>
  <si>
    <t>2261525640002656</t>
  </si>
  <si>
    <t>9781861349477</t>
  </si>
  <si>
    <t>32285005505556</t>
  </si>
  <si>
    <t>893507924</t>
  </si>
  <si>
    <t>HV3181 .B54 1996</t>
  </si>
  <si>
    <t>0                      HV 3181000B  54          1996</t>
  </si>
  <si>
    <t>The Black family : strengths, self-help, and positive change / edited by Sadye L. Logan.</t>
  </si>
  <si>
    <t>Boulder, Colo. : Westview Press, 1996.</t>
  </si>
  <si>
    <t>2002-09-05</t>
  </si>
  <si>
    <t>1996-10-28</t>
  </si>
  <si>
    <t>802793234:eng</t>
  </si>
  <si>
    <t>34283280</t>
  </si>
  <si>
    <t>991002615349702656</t>
  </si>
  <si>
    <t>2257485620002656</t>
  </si>
  <si>
    <t>9780813325767</t>
  </si>
  <si>
    <t>32285002369758</t>
  </si>
  <si>
    <t>893685557</t>
  </si>
  <si>
    <t>HV3181 .M372 2002</t>
  </si>
  <si>
    <t>0                      HV 3181000M  372         2002</t>
  </si>
  <si>
    <t>Spirituality and the Black helping tradition in social work / Elmer P. Martin and Joanne M. Martin.</t>
  </si>
  <si>
    <t>Martin, Elmer P.</t>
  </si>
  <si>
    <t>Washington, DC : National Association of Social Workers, c2002.</t>
  </si>
  <si>
    <t>2003-04-14</t>
  </si>
  <si>
    <t>969552:eng</t>
  </si>
  <si>
    <t>49525783</t>
  </si>
  <si>
    <t>991004008379702656</t>
  </si>
  <si>
    <t>2272052500002656</t>
  </si>
  <si>
    <t>9780871013224</t>
  </si>
  <si>
    <t>32285004742374</t>
  </si>
  <si>
    <t>893423265</t>
  </si>
  <si>
    <t>HV3181 .S613 2008</t>
  </si>
  <si>
    <t>0                      HV 3181000S  613         2008</t>
  </si>
  <si>
    <t>Social work practice with African-American families : an intergenerational perspective / Cheryl Waites, editor.</t>
  </si>
  <si>
    <t>New York : Routledge, 2008.</t>
  </si>
  <si>
    <t>Social work practice in action</t>
  </si>
  <si>
    <t>2008-08-27</t>
  </si>
  <si>
    <t>888666357:eng</t>
  </si>
  <si>
    <t>173659548</t>
  </si>
  <si>
    <t>991005255699702656</t>
  </si>
  <si>
    <t>2266089440002656</t>
  </si>
  <si>
    <t>9780789033918</t>
  </si>
  <si>
    <t>32285005456180</t>
  </si>
  <si>
    <t>893877210</t>
  </si>
  <si>
    <t>HV3181 .S62 1990</t>
  </si>
  <si>
    <t>0                      HV 3181000S  62          1990</t>
  </si>
  <si>
    <t>Social work practice with Black families : a culturally specific perspective / [edited by] Sadye M.L. Logan, Edith M. Freeman, Ruth G. McRoy.</t>
  </si>
  <si>
    <t>New York : Longman, c1990.</t>
  </si>
  <si>
    <t>2001-10-18</t>
  </si>
  <si>
    <t>1990-04-12</t>
  </si>
  <si>
    <t>468188206:eng</t>
  </si>
  <si>
    <t>18909442</t>
  </si>
  <si>
    <t>991001412849702656</t>
  </si>
  <si>
    <t>2256425060002656</t>
  </si>
  <si>
    <t>9780801300127</t>
  </si>
  <si>
    <t>32285000100742</t>
  </si>
  <si>
    <t>893885290</t>
  </si>
  <si>
    <t>HV3199.B52 G72 2007</t>
  </si>
  <si>
    <t>0                      HV 3199000B  52                 G  72          2007</t>
  </si>
  <si>
    <t>Black issues in social work and social care / Mekada Graham.</t>
  </si>
  <si>
    <t>Graham, Mekada.</t>
  </si>
  <si>
    <t>Bristol : Policy, 2007.</t>
  </si>
  <si>
    <t>2010-02-16</t>
  </si>
  <si>
    <t>69732895:eng</t>
  </si>
  <si>
    <t>85830177</t>
  </si>
  <si>
    <t>991005361639702656</t>
  </si>
  <si>
    <t>2266768040002656</t>
  </si>
  <si>
    <t>9781861348456</t>
  </si>
  <si>
    <t>32285005574172</t>
  </si>
  <si>
    <t>893601057</t>
  </si>
  <si>
    <t>HV3199.B52 G79 2007</t>
  </si>
  <si>
    <t>0                      HV 3199000B  52                 G  79          2007</t>
  </si>
  <si>
    <t>Working with Black young people / edited by Momodou Sallah and Carlton Howson.</t>
  </si>
  <si>
    <t>Lyme Regis : Russell House Pub., 2007.</t>
  </si>
  <si>
    <t>375589541:eng</t>
  </si>
  <si>
    <t>84999464</t>
  </si>
  <si>
    <t>991005293549702656</t>
  </si>
  <si>
    <t>2264344030002656</t>
  </si>
  <si>
    <t>9781905541140</t>
  </si>
  <si>
    <t>32285005505523</t>
  </si>
  <si>
    <t>893533508</t>
  </si>
  <si>
    <t>HV3199.U62 N37 1982</t>
  </si>
  <si>
    <t>0                      HV 3199000U  62                 N  37          1982</t>
  </si>
  <si>
    <t>Color in a white society : selected papers from the NASW Conference--Color in a White Society, Los Angeles, California, June 1982 / Barbara W. White, editor.</t>
  </si>
  <si>
    <t>NASW Conference: Color in a White Society (1982 : Los Angeles, Calif.)</t>
  </si>
  <si>
    <t>Silver Spring, Md. : National Association of Social Workers, c1984.</t>
  </si>
  <si>
    <t>1996-10-30</t>
  </si>
  <si>
    <t>4019144:eng</t>
  </si>
  <si>
    <t>11089064</t>
  </si>
  <si>
    <t>991000486839702656</t>
  </si>
  <si>
    <t>2268287640002656</t>
  </si>
  <si>
    <t>9780871011282</t>
  </si>
  <si>
    <t>32285002379328</t>
  </si>
  <si>
    <t>893345699</t>
  </si>
  <si>
    <t>HV37 .C636 1978</t>
  </si>
  <si>
    <t>0                      HV 0037000C  636         1978</t>
  </si>
  <si>
    <t>Doing good : the limits of benevolence / Willard Gaylin, Ira Glasser, Steven Marcus, David J. Rothman.</t>
  </si>
  <si>
    <t>New York : Pantheon Books, c1978.</t>
  </si>
  <si>
    <t>1994-03-22</t>
  </si>
  <si>
    <t>902267387:eng</t>
  </si>
  <si>
    <t>3413766</t>
  </si>
  <si>
    <t>991004515299702656</t>
  </si>
  <si>
    <t>2255675840002656</t>
  </si>
  <si>
    <t>9780394411330</t>
  </si>
  <si>
    <t>32285000246271</t>
  </si>
  <si>
    <t>893235596</t>
  </si>
  <si>
    <t>HV37 .P28 1989</t>
  </si>
  <si>
    <t>0                      HV 0037000P  28          1989</t>
  </si>
  <si>
    <t>Age, class, politics, and the welfare state / Fred C. Pampel, John B. Williamson.</t>
  </si>
  <si>
    <t>Pampel, Fred C.</t>
  </si>
  <si>
    <t>Cambridge [England] ; New York : Cambridge University Press, 1989.</t>
  </si>
  <si>
    <t>Arnold and Caroline Rose monograph series in sociology</t>
  </si>
  <si>
    <t>1998-03-26</t>
  </si>
  <si>
    <t>21467114:eng</t>
  </si>
  <si>
    <t>19271566</t>
  </si>
  <si>
    <t>991001446099702656</t>
  </si>
  <si>
    <t>2270232770002656</t>
  </si>
  <si>
    <t>32285000093038</t>
  </si>
  <si>
    <t>893903424</t>
  </si>
  <si>
    <t>HV40 .B873 1992</t>
  </si>
  <si>
    <t>0                      HV 0040000B  873         1992</t>
  </si>
  <si>
    <t>Handbook of social work practice / by John A. Brown.</t>
  </si>
  <si>
    <t>Brown, John A., 1931-</t>
  </si>
  <si>
    <t>2004-02-25</t>
  </si>
  <si>
    <t>1993-01-04</t>
  </si>
  <si>
    <t>360810841:eng</t>
  </si>
  <si>
    <t>25410589</t>
  </si>
  <si>
    <t>991001999849702656</t>
  </si>
  <si>
    <t>2255165810002656</t>
  </si>
  <si>
    <t>9780398057992</t>
  </si>
  <si>
    <t>32285001403889</t>
  </si>
  <si>
    <t>893898268</t>
  </si>
  <si>
    <t>HV40 .B874 2005</t>
  </si>
  <si>
    <t>0                      HV 0040000B  874         2005</t>
  </si>
  <si>
    <t>A practical guide to social service evaluation / Carl F. Brun.</t>
  </si>
  <si>
    <t>Brun, Carl F.</t>
  </si>
  <si>
    <t>Chicago, Ill. : Lyceum Books, 2005.</t>
  </si>
  <si>
    <t>987255:eng</t>
  </si>
  <si>
    <t>58919771</t>
  </si>
  <si>
    <t>991004926369702656</t>
  </si>
  <si>
    <t>2270495990002656</t>
  </si>
  <si>
    <t>9780925065827</t>
  </si>
  <si>
    <t>32285005233464</t>
  </si>
  <si>
    <t>893230006</t>
  </si>
  <si>
    <t>HV40 .C64 2005</t>
  </si>
  <si>
    <t>0                      HV 0040000C  64          2005</t>
  </si>
  <si>
    <t>Family practice : a problem-based learning approach / by Heather Coleman, Don Collins, Tara Collins.</t>
  </si>
  <si>
    <t>Coleman, Heather.</t>
  </si>
  <si>
    <t>Peosta, IA : Eddie Bowers, 2005.</t>
  </si>
  <si>
    <t>iau</t>
  </si>
  <si>
    <t>2006-03-14</t>
  </si>
  <si>
    <t>48369284:eng</t>
  </si>
  <si>
    <t>64403845</t>
  </si>
  <si>
    <t>991004475509702656</t>
  </si>
  <si>
    <t>2256581660002656</t>
  </si>
  <si>
    <t>9781578790623</t>
  </si>
  <si>
    <t>32285005027924</t>
  </si>
  <si>
    <t>893241481</t>
  </si>
  <si>
    <t>HV40 .C67 2005</t>
  </si>
  <si>
    <t>0                      HV 0040000C  67          2005</t>
  </si>
  <si>
    <t>Building strengths and skills : a collaborative approach to working with clients / Jacqueline Corcoran.</t>
  </si>
  <si>
    <t>Corcoran, Jacqueline.</t>
  </si>
  <si>
    <t>Oxford ; New York : Oxford University Press, 2005.</t>
  </si>
  <si>
    <t>2007-04-11</t>
  </si>
  <si>
    <t>793991158:eng</t>
  </si>
  <si>
    <t>55511458</t>
  </si>
  <si>
    <t>991005061499702656</t>
  </si>
  <si>
    <t>2261124400002656</t>
  </si>
  <si>
    <t>9780195154306</t>
  </si>
  <si>
    <t>32285005286280</t>
  </si>
  <si>
    <t>893430775</t>
  </si>
  <si>
    <t>HV40 .D4394 2000</t>
  </si>
  <si>
    <t>0                      HV 0040000D  4394        2000</t>
  </si>
  <si>
    <t>Community social work practice in an urban context : the potential of a capacity-enhancement perspective / Melvin Delgado.</t>
  </si>
  <si>
    <t>Delgado, Melvin.</t>
  </si>
  <si>
    <t>New York : Oxford University Press, 2000.</t>
  </si>
  <si>
    <t>2009-06-01</t>
  </si>
  <si>
    <t>803321408:eng</t>
  </si>
  <si>
    <t>40298462</t>
  </si>
  <si>
    <t>991002988249702656</t>
  </si>
  <si>
    <t>2259328850002656</t>
  </si>
  <si>
    <t>9780195125467</t>
  </si>
  <si>
    <t>32285003629267</t>
  </si>
  <si>
    <t>893805300</t>
  </si>
  <si>
    <t>HV40 .D68 1983</t>
  </si>
  <si>
    <t>0                      HV 0040000D  68          1983</t>
  </si>
  <si>
    <t>Why charity? : the case for a third sector / James Douglas.</t>
  </si>
  <si>
    <t>Douglas, James (James A. T.)</t>
  </si>
  <si>
    <t>Beverly Hills : Sage Publications, c1983.</t>
  </si>
  <si>
    <t>2009-09-02</t>
  </si>
  <si>
    <t>1993-05-14</t>
  </si>
  <si>
    <t>375856136:eng</t>
  </si>
  <si>
    <t>9370885</t>
  </si>
  <si>
    <t>991000178769702656</t>
  </si>
  <si>
    <t>2267525970002656</t>
  </si>
  <si>
    <t>9780803920033</t>
  </si>
  <si>
    <t>32285001680395</t>
  </si>
  <si>
    <t>893607726</t>
  </si>
  <si>
    <t>HV40 .F683 2007</t>
  </si>
  <si>
    <t>0                      HV 0040000F  683         2007</t>
  </si>
  <si>
    <t>Foundations of social work practice : a graduate text / [edited by Mark A. Mattaini and Christine T. Lowery].</t>
  </si>
  <si>
    <t>Washington, DC : NASW Press, c2007.</t>
  </si>
  <si>
    <t>2008-10-28</t>
  </si>
  <si>
    <t>501572945:eng</t>
  </si>
  <si>
    <t>71329904</t>
  </si>
  <si>
    <t>991005264039702656</t>
  </si>
  <si>
    <t>2266827190002656</t>
  </si>
  <si>
    <t>9780871013743</t>
  </si>
  <si>
    <t>32285005464853</t>
  </si>
  <si>
    <t>893520737</t>
  </si>
  <si>
    <t>HV40 .G98 2006</t>
  </si>
  <si>
    <t>0                      HV 0040000G  98          2006</t>
  </si>
  <si>
    <t>Ethics in social work : a context of caring / David Guttmann.</t>
  </si>
  <si>
    <t>Guttmann, David.</t>
  </si>
  <si>
    <t>New York : Haworth Press, c2006.</t>
  </si>
  <si>
    <t>2006-10-10</t>
  </si>
  <si>
    <t>357864514:eng</t>
  </si>
  <si>
    <t>61879719</t>
  </si>
  <si>
    <t>991004924239702656</t>
  </si>
  <si>
    <t>2256595340002656</t>
  </si>
  <si>
    <t>9780789028525</t>
  </si>
  <si>
    <t>32285005228233</t>
  </si>
  <si>
    <t>893789240</t>
  </si>
  <si>
    <t>HV40 .R68 1967</t>
  </si>
  <si>
    <t>0                      HV 0040000R  68          1967</t>
  </si>
  <si>
    <t>Community organization; theory, principles, and practice [by] Murray G. Ross with B. W. Lappin.</t>
  </si>
  <si>
    <t>Ross, Murray G.</t>
  </si>
  <si>
    <t>New York, Harper &amp; Row [1967]</t>
  </si>
  <si>
    <t>2007-04-25</t>
  </si>
  <si>
    <t>1997-08-20</t>
  </si>
  <si>
    <t>4536124698:eng</t>
  </si>
  <si>
    <t>262029</t>
  </si>
  <si>
    <t>991002052659702656</t>
  </si>
  <si>
    <t>2266765630002656</t>
  </si>
  <si>
    <t>32285003149829</t>
  </si>
  <si>
    <t>893684899</t>
  </si>
  <si>
    <t>HV40 .S5157 2004</t>
  </si>
  <si>
    <t>0                      HV 0040000S  5157        2004</t>
  </si>
  <si>
    <t>Respect in a world of inequality / Richard Sennett.</t>
  </si>
  <si>
    <t>Sennett, Richard, 1943-</t>
  </si>
  <si>
    <t>New York : W.W. Norton, c2003, 2004.</t>
  </si>
  <si>
    <t>1st pbk. ed.</t>
  </si>
  <si>
    <t>2008-07-23</t>
  </si>
  <si>
    <t>2004-09-29</t>
  </si>
  <si>
    <t>3002986590:eng</t>
  </si>
  <si>
    <t>50447793</t>
  </si>
  <si>
    <t>991004364199702656</t>
  </si>
  <si>
    <t>2256577130002656</t>
  </si>
  <si>
    <t>9780393325379</t>
  </si>
  <si>
    <t>32285004989652</t>
  </si>
  <si>
    <t>893718816</t>
  </si>
  <si>
    <t>HV40.32.A33 D56 1999</t>
  </si>
  <si>
    <t>0                      HV 0040320A  33                 D  56          1999</t>
  </si>
  <si>
    <t>A useful woman : the early life of Jane Addams / Gioia Diliberto.</t>
  </si>
  <si>
    <t>Diliberto, Gioia, 1950-</t>
  </si>
  <si>
    <t>New York : Scribner, c1999.</t>
  </si>
  <si>
    <t>1999-10-13</t>
  </si>
  <si>
    <t>367752549:eng</t>
  </si>
  <si>
    <t>40150519</t>
  </si>
  <si>
    <t>991002982539702656</t>
  </si>
  <si>
    <t>2256761410002656</t>
  </si>
  <si>
    <t>9780684853659</t>
  </si>
  <si>
    <t>32285003610390</t>
  </si>
  <si>
    <t>893893242</t>
  </si>
  <si>
    <t>HV40.32.R55 A36 2004</t>
  </si>
  <si>
    <t>0                      HV 0040320R  55                 A  36          2004</t>
  </si>
  <si>
    <t>From charity to social work : Mary E. Richmond and the creation of an American profession / Elizabeth N. Agnew.</t>
  </si>
  <si>
    <t>Agnew, Elizabeth N.</t>
  </si>
  <si>
    <t>Urbana, [Ill.] : University of Illinois Press, c2004.</t>
  </si>
  <si>
    <t>2004-03-29</t>
  </si>
  <si>
    <t>837877453:eng</t>
  </si>
  <si>
    <t>51848398</t>
  </si>
  <si>
    <t>991004250879702656</t>
  </si>
  <si>
    <t>2257464460002656</t>
  </si>
  <si>
    <t>9780252028755</t>
  </si>
  <si>
    <t>32285004897889</t>
  </si>
  <si>
    <t>893442391</t>
  </si>
  <si>
    <t>HV40.8.U6 G529 1997</t>
  </si>
  <si>
    <t>0                      HV 0040800U  6                  G  529         1997</t>
  </si>
  <si>
    <t>Who we are : a second look / Margaret Gibelman, Philip H. Schervish.</t>
  </si>
  <si>
    <t>Gibelman, Margaret.</t>
  </si>
  <si>
    <t>Washington, DC : NASW Press, c1997.</t>
  </si>
  <si>
    <t>2000-03-28</t>
  </si>
  <si>
    <t>1997-03-05</t>
  </si>
  <si>
    <t>40432768:eng</t>
  </si>
  <si>
    <t>35762621</t>
  </si>
  <si>
    <t>991002726409702656</t>
  </si>
  <si>
    <t>2264985150002656</t>
  </si>
  <si>
    <t>9780871012616</t>
  </si>
  <si>
    <t>32285002433521</t>
  </si>
  <si>
    <t>893239418</t>
  </si>
  <si>
    <t>HV4010 .D45 2005</t>
  </si>
  <si>
    <t>0                      HV 4010000D  45          2005</t>
  </si>
  <si>
    <t>Social work practice with refugee and immigrant youth in the United States / Melvin Delgado, Kay Jones, Mojdeh Rohani.</t>
  </si>
  <si>
    <t>Boston : Pearson/Allyn and Bacon, c2005.</t>
  </si>
  <si>
    <t>2007-02-12</t>
  </si>
  <si>
    <t>2533363781:eng</t>
  </si>
  <si>
    <t>55228903</t>
  </si>
  <si>
    <t>991005035799702656</t>
  </si>
  <si>
    <t>2270406850002656</t>
  </si>
  <si>
    <t>9780205398836</t>
  </si>
  <si>
    <t>32285005276117</t>
  </si>
  <si>
    <t>893782932</t>
  </si>
  <si>
    <t>HV4010 .P67 2002</t>
  </si>
  <si>
    <t>0                      HV 4010000P  67          2002</t>
  </si>
  <si>
    <t>Best practices for social work with refugees and immigrants / Miriam Potocky-Tripodi.</t>
  </si>
  <si>
    <t>Potocky-Tripodi, Miriam.</t>
  </si>
  <si>
    <t>New York : Columbia University Press, c2002.</t>
  </si>
  <si>
    <t>2006-02-15</t>
  </si>
  <si>
    <t>1063518:eng</t>
  </si>
  <si>
    <t>48493902</t>
  </si>
  <si>
    <t>991004744219702656</t>
  </si>
  <si>
    <t>2255389000002656</t>
  </si>
  <si>
    <t>9780231115827</t>
  </si>
  <si>
    <t>32285005160584</t>
  </si>
  <si>
    <t>893594043</t>
  </si>
  <si>
    <t>HV4010 .S63 1992</t>
  </si>
  <si>
    <t>0                      HV 4010000S  63          1992</t>
  </si>
  <si>
    <t>Social work with immigrants and refugees / Angela Shen Ryan, editor.</t>
  </si>
  <si>
    <t>New York : Haworth Press, c1992.</t>
  </si>
  <si>
    <t>2004-09-21</t>
  </si>
  <si>
    <t>29354977:eng</t>
  </si>
  <si>
    <t>26547714</t>
  </si>
  <si>
    <t>991002072359702656</t>
  </si>
  <si>
    <t>2260284440002656</t>
  </si>
  <si>
    <t>9781560243540</t>
  </si>
  <si>
    <t>32285001768745</t>
  </si>
  <si>
    <t>893414782</t>
  </si>
  <si>
    <t>HV4028 .P88 2003</t>
  </si>
  <si>
    <t>0                      HV 4028000P  88          2003</t>
  </si>
  <si>
    <t>Poverty and democracy : self-help and political participation in Third World cities / edited by Dirk Berg-Schlosser and Norbert Kersting.</t>
  </si>
  <si>
    <t>London ; New York : Zed Books ; New York : Distributed exclusively in the USA by Palgrave, 2003.</t>
  </si>
  <si>
    <t>2004-10-26</t>
  </si>
  <si>
    <t>866309366:eng</t>
  </si>
  <si>
    <t>50164717</t>
  </si>
  <si>
    <t>991004368529702656</t>
  </si>
  <si>
    <t>2270274050002656</t>
  </si>
  <si>
    <t>9781842772041</t>
  </si>
  <si>
    <t>32285005006571</t>
  </si>
  <si>
    <t>893229278</t>
  </si>
  <si>
    <t>HV4044 .W37 1989</t>
  </si>
  <si>
    <t>0                      HV 4044000W  37          1989</t>
  </si>
  <si>
    <t>Poverty, ethnicity, and the American city, 1840-1925 : changing conceptions of the slum and the ghetto / David Ward.</t>
  </si>
  <si>
    <t>Ward, David, 1938-</t>
  </si>
  <si>
    <t>Cambridge : Cambridge University Press, 1989.</t>
  </si>
  <si>
    <t>Cambridge studies in historical geography ; 13</t>
  </si>
  <si>
    <t>2003-04-30</t>
  </si>
  <si>
    <t>807782095:eng</t>
  </si>
  <si>
    <t>19640851</t>
  </si>
  <si>
    <t>991001389119702656</t>
  </si>
  <si>
    <t>2259463920002656</t>
  </si>
  <si>
    <t>9780521277112</t>
  </si>
  <si>
    <t>32285001180990</t>
  </si>
  <si>
    <t>893608824</t>
  </si>
  <si>
    <t>HV4045 .R38 2003</t>
  </si>
  <si>
    <t>0                      HV 4045000R  38          2003</t>
  </si>
  <si>
    <t>Rediscovering the other America : the continuing crisis of poverty and inequality in the United States / Keith M. Kilty, Elizabeth A. Segal, editors.</t>
  </si>
  <si>
    <t>New York : Haworth Press, c2003.</t>
  </si>
  <si>
    <t>2005-05-19</t>
  </si>
  <si>
    <t>837455330:eng</t>
  </si>
  <si>
    <t>51726837</t>
  </si>
  <si>
    <t>991004547909702656</t>
  </si>
  <si>
    <t>2269552120002656</t>
  </si>
  <si>
    <t>9780789020963</t>
  </si>
  <si>
    <t>32285005038855</t>
  </si>
  <si>
    <t>893253815</t>
  </si>
  <si>
    <t>HV4045 .U73 1991</t>
  </si>
  <si>
    <t>0                      HV 4045000U  73          1991</t>
  </si>
  <si>
    <t>The Urban underclass / Christopher Jencks and Paul E. Peterson, editors.</t>
  </si>
  <si>
    <t>Washington, D.C. : Brookings Institution, c1991.</t>
  </si>
  <si>
    <t>2003-06-24</t>
  </si>
  <si>
    <t>1991-05-13</t>
  </si>
  <si>
    <t>349918555:eng</t>
  </si>
  <si>
    <t>22809295</t>
  </si>
  <si>
    <t>991001815019702656</t>
  </si>
  <si>
    <t>2259520840002656</t>
  </si>
  <si>
    <t>9780815746058</t>
  </si>
  <si>
    <t>32285000539097</t>
  </si>
  <si>
    <t>893772926</t>
  </si>
  <si>
    <t>HV4046.N6 H66 2003</t>
  </si>
  <si>
    <t>0                      HV 4046000N  6                  H  66          2003</t>
  </si>
  <si>
    <t>Shutting out the sky : life in the tenements of New York, 1880-1924 / Deborah Hopkinson.</t>
  </si>
  <si>
    <t>Hopkinson, Deborah.</t>
  </si>
  <si>
    <t>New York : Orchard Books, 2003.</t>
  </si>
  <si>
    <t>4066480325:eng</t>
  </si>
  <si>
    <t>51477151</t>
  </si>
  <si>
    <t>991004286289702656</t>
  </si>
  <si>
    <t>2257202000002656</t>
  </si>
  <si>
    <t>9780439375900</t>
  </si>
  <si>
    <t>32285004901699</t>
  </si>
  <si>
    <t>893679396</t>
  </si>
  <si>
    <t>HV4076.S26 S36 1995</t>
  </si>
  <si>
    <t>0                      HV 4076000S  26                 S  36          1995</t>
  </si>
  <si>
    <t>Shantytown protest in Pinochet's Chile / Cathy Lisa Schneider.</t>
  </si>
  <si>
    <t>Schneider, Cathy Lisa, 1955-</t>
  </si>
  <si>
    <t>Philadelphia : Temple University Press, 1995.</t>
  </si>
  <si>
    <t>1999-12-06</t>
  </si>
  <si>
    <t>1996-04-02</t>
  </si>
  <si>
    <t>34432430:eng</t>
  </si>
  <si>
    <t>31937655</t>
  </si>
  <si>
    <t>991002449429702656</t>
  </si>
  <si>
    <t>2258520080002656</t>
  </si>
  <si>
    <t>9781566393058</t>
  </si>
  <si>
    <t>32285002149440</t>
  </si>
  <si>
    <t>893523627</t>
  </si>
  <si>
    <t>HV4085.A3 W45 2006</t>
  </si>
  <si>
    <t>0                      HV 4085000A  3                  W  45          2006</t>
  </si>
  <si>
    <t>Underclass : a history of the excluded, 1880-2000 / John Welshman.</t>
  </si>
  <si>
    <t>Welshman, John.</t>
  </si>
  <si>
    <t>London ; New York : Hambledon Continuum, 2006.</t>
  </si>
  <si>
    <t>2008-09-18</t>
  </si>
  <si>
    <t>793885998:eng</t>
  </si>
  <si>
    <t>57528642</t>
  </si>
  <si>
    <t>991005263229702656</t>
  </si>
  <si>
    <t>2266090310002656</t>
  </si>
  <si>
    <t>9781852853228</t>
  </si>
  <si>
    <t>32285005458871</t>
  </si>
  <si>
    <t>893789702</t>
  </si>
  <si>
    <t>HV4085.L6 K68 2004</t>
  </si>
  <si>
    <t>0                      HV 4085000L  6                  K  68          2004</t>
  </si>
  <si>
    <t>Slumming : sexual and social politics in Victorian London / Seth Koven.</t>
  </si>
  <si>
    <t>Koven, Seth, 1958-</t>
  </si>
  <si>
    <t>Princeton : Princeton University Press, c2004</t>
  </si>
  <si>
    <t>2010-03-04</t>
  </si>
  <si>
    <t>2007-02-08</t>
  </si>
  <si>
    <t>727807:eng</t>
  </si>
  <si>
    <t>53096998</t>
  </si>
  <si>
    <t>991005030649702656</t>
  </si>
  <si>
    <t>2264009050002656</t>
  </si>
  <si>
    <t>9780691115924</t>
  </si>
  <si>
    <t>32285005275713</t>
  </si>
  <si>
    <t>893719673</t>
  </si>
  <si>
    <t>HV41 .B255 1974</t>
  </si>
  <si>
    <t>0                      HV 0041000B  255         1974</t>
  </si>
  <si>
    <t>Community work and social work / Peter Baldock.</t>
  </si>
  <si>
    <t>Baldock, Peter.</t>
  </si>
  <si>
    <t>London ; Boston : Routledge &amp; K. Paul, 1974.</t>
  </si>
  <si>
    <t>Library of social work</t>
  </si>
  <si>
    <t>2191083:eng</t>
  </si>
  <si>
    <t>1265463</t>
  </si>
  <si>
    <t>991003659019702656</t>
  </si>
  <si>
    <t>2261638100002656</t>
  </si>
  <si>
    <t>9780710080264</t>
  </si>
  <si>
    <t>32285003149910</t>
  </si>
  <si>
    <t>893262859</t>
  </si>
  <si>
    <t>HV41 .B45</t>
  </si>
  <si>
    <t>0                      HV 0041000B  45</t>
  </si>
  <si>
    <t>The paradox of helping: introduction to the philosophy of scientific practice.</t>
  </si>
  <si>
    <t>Bloom, Martin, 1934-</t>
  </si>
  <si>
    <t>New York, Wiley [1975]</t>
  </si>
  <si>
    <t>2000-09-11</t>
  </si>
  <si>
    <t>1944757:eng</t>
  </si>
  <si>
    <t>980383</t>
  </si>
  <si>
    <t>991003445239702656</t>
  </si>
  <si>
    <t>2271390780002656</t>
  </si>
  <si>
    <t>9780471082354</t>
  </si>
  <si>
    <t>32285003149936</t>
  </si>
  <si>
    <t>893342553</t>
  </si>
  <si>
    <t>HV41 .B654</t>
  </si>
  <si>
    <t>0                      HV 0041000B  654</t>
  </si>
  <si>
    <t>Tested ways to successful fund raising / George A. Brakeley, Jr.</t>
  </si>
  <si>
    <t>Brakeley, George A.</t>
  </si>
  <si>
    <t>New York : AMACOM, c1980.</t>
  </si>
  <si>
    <t>1992-10-10</t>
  </si>
  <si>
    <t>1990-03-28</t>
  </si>
  <si>
    <t>476389:eng</t>
  </si>
  <si>
    <t>5943157</t>
  </si>
  <si>
    <t>991004904239702656</t>
  </si>
  <si>
    <t>2269383660002656</t>
  </si>
  <si>
    <t>9780814455319</t>
  </si>
  <si>
    <t>32285000105865</t>
  </si>
  <si>
    <t>893263500</t>
  </si>
  <si>
    <t>HV41 .C59 1962c</t>
  </si>
  <si>
    <t>0                      HV 0041000C  59          1962c</t>
  </si>
  <si>
    <t>Building social work knowledge : report of a conference.</t>
  </si>
  <si>
    <t>Conference on Building Social Work Knowledge (1962 : Princeton, N.J.)</t>
  </si>
  <si>
    <t>New York : National Association of Social Workers, [1964]</t>
  </si>
  <si>
    <t>1995-08-09</t>
  </si>
  <si>
    <t>422705830:eng</t>
  </si>
  <si>
    <t>263181</t>
  </si>
  <si>
    <t>991002062669702656</t>
  </si>
  <si>
    <t>2268776040002656</t>
  </si>
  <si>
    <t>32285002063393</t>
  </si>
  <si>
    <t>893334898</t>
  </si>
  <si>
    <t>HV41 .C6445 1997</t>
  </si>
  <si>
    <t>0                      HV 0041000C  6445        1997</t>
  </si>
  <si>
    <t>Controversial issues in multiculturalism / edited by Diane de Anda.</t>
  </si>
  <si>
    <t>Boston : Allyn and Bacon, c1997.</t>
  </si>
  <si>
    <t>2002-04-28</t>
  </si>
  <si>
    <t>1997-02-19</t>
  </si>
  <si>
    <t>40051263:eng</t>
  </si>
  <si>
    <t>34772128</t>
  </si>
  <si>
    <t>991002660129702656</t>
  </si>
  <si>
    <t>2263148180002656</t>
  </si>
  <si>
    <t>9780205188178</t>
  </si>
  <si>
    <t>32285002431798</t>
  </si>
  <si>
    <t>893415485</t>
  </si>
  <si>
    <t>HV41 .E33</t>
  </si>
  <si>
    <t>0                      HV 0041000E  33</t>
  </si>
  <si>
    <t>Burn-out : stages of disillusionment in the helping professions / by Jerry Edelwich, with Archie Brodsky.</t>
  </si>
  <si>
    <t>Edelwich, Jerry.</t>
  </si>
  <si>
    <t>New York, NY : Human Sciences Press, c1980.</t>
  </si>
  <si>
    <t>2000-02-14</t>
  </si>
  <si>
    <t>1990-07-23</t>
  </si>
  <si>
    <t>796296681:eng</t>
  </si>
  <si>
    <t>5893893</t>
  </si>
  <si>
    <t>991004896019702656</t>
  </si>
  <si>
    <t>2265115100002656</t>
  </si>
  <si>
    <t>9780877055075</t>
  </si>
  <si>
    <t>32285000246412</t>
  </si>
  <si>
    <t>893801451</t>
  </si>
  <si>
    <t>HV41 .G95 1999</t>
  </si>
  <si>
    <t>0                      HV 0041000G  95          1999</t>
  </si>
  <si>
    <t>Making TQM work : quality tools for human service organizations / John Gunther, Frank Hawkins.</t>
  </si>
  <si>
    <t>Gunther, John Joseph, 1946-</t>
  </si>
  <si>
    <t>New York : Springer Pub. Co., c1999.</t>
  </si>
  <si>
    <t>Springer series on social work</t>
  </si>
  <si>
    <t>2000-03-09</t>
  </si>
  <si>
    <t>1010406521:eng</t>
  </si>
  <si>
    <t>40595364</t>
  </si>
  <si>
    <t>991002999069702656</t>
  </si>
  <si>
    <t>2262168800002656</t>
  </si>
  <si>
    <t>9780826111876</t>
  </si>
  <si>
    <t>32285003668323</t>
  </si>
  <si>
    <t>893686073</t>
  </si>
  <si>
    <t>HV41 .H325 2000</t>
  </si>
  <si>
    <t>0                      HV 0041000H  325         2000</t>
  </si>
  <si>
    <t>The handbook of social welfare management / edited by Rino J. Patti.</t>
  </si>
  <si>
    <t>Thousand Oaks, Calif. : Sage Publications, Inc., c2000.</t>
  </si>
  <si>
    <t>2003-08-21</t>
  </si>
  <si>
    <t>2001-10-13</t>
  </si>
  <si>
    <t>54900131:eng</t>
  </si>
  <si>
    <t>42863310</t>
  </si>
  <si>
    <t>991003625249702656</t>
  </si>
  <si>
    <t>2263561700002656</t>
  </si>
  <si>
    <t>9780761914709</t>
  </si>
  <si>
    <t>32285004395710</t>
  </si>
  <si>
    <t>893228251</t>
  </si>
  <si>
    <t>HV41 .K47 1985</t>
  </si>
  <si>
    <t>0                      HV 0041000K  47          1985</t>
  </si>
  <si>
    <t>Initiating change in organizations and communities : a macro practice model / Peter M. Kettner, John M. Daley, Ann Weaver Nichols.</t>
  </si>
  <si>
    <t>Kettner, Peter M., 1936-</t>
  </si>
  <si>
    <t>Monterey, Calif. : Brooks/Cole Pub. Co., c1985.</t>
  </si>
  <si>
    <t>1993-10-12</t>
  </si>
  <si>
    <t>3794724:eng</t>
  </si>
  <si>
    <t>10799082</t>
  </si>
  <si>
    <t>991000436379702656</t>
  </si>
  <si>
    <t>2269876930002656</t>
  </si>
  <si>
    <t>9780534037895</t>
  </si>
  <si>
    <t>32285001759967</t>
  </si>
  <si>
    <t>893502478</t>
  </si>
  <si>
    <t>HV41 .K7</t>
  </si>
  <si>
    <t>0                      HV 0041000K  7</t>
  </si>
  <si>
    <t>Readings in community organization practice [by] Ralph M. Kramer [and] Harry Specht.</t>
  </si>
  <si>
    <t>Kramer, Ralph M. compiler.</t>
  </si>
  <si>
    <t>Englewood Cliffs, N.J., Prentice-Hall [1969]</t>
  </si>
  <si>
    <t>1145446:eng</t>
  </si>
  <si>
    <t>23266</t>
  </si>
  <si>
    <t>991000054359702656</t>
  </si>
  <si>
    <t>2267663760002656</t>
  </si>
  <si>
    <t>9780137557776</t>
  </si>
  <si>
    <t>32285003155032</t>
  </si>
  <si>
    <t>893419150</t>
  </si>
  <si>
    <t>HV41 .N345</t>
  </si>
  <si>
    <t>0                      HV 0041000N  345</t>
  </si>
  <si>
    <t>Neighborhood organization for community action. John B. Turner, editor.</t>
  </si>
  <si>
    <t>New York, National Association of Social Workers [1968]</t>
  </si>
  <si>
    <t>422396260:eng</t>
  </si>
  <si>
    <t>180061</t>
  </si>
  <si>
    <t>991001085289702656</t>
  </si>
  <si>
    <t>2272033510002656</t>
  </si>
  <si>
    <t>32285003155065</t>
  </si>
  <si>
    <t>893249954</t>
  </si>
  <si>
    <t>HV41 .S825 1979</t>
  </si>
  <si>
    <t>0                      HV 0041000S  825         1979</t>
  </si>
  <si>
    <t>Psychoanalytic theory and social work practice / Herbert S. Strean.</t>
  </si>
  <si>
    <t>Strean, Herbert S.</t>
  </si>
  <si>
    <t>Treatment approaches in the human services</t>
  </si>
  <si>
    <t>400840:eng</t>
  </si>
  <si>
    <t>4804729</t>
  </si>
  <si>
    <t>991004722229702656</t>
  </si>
  <si>
    <t>2270339900002656</t>
  </si>
  <si>
    <t>9780029322208</t>
  </si>
  <si>
    <t>32285001680569</t>
  </si>
  <si>
    <t>893263398</t>
  </si>
  <si>
    <t>HV41 .S88</t>
  </si>
  <si>
    <t>0                      HV 0041000S  88</t>
  </si>
  <si>
    <t>Managing social service systems / John W. Sutherland.</t>
  </si>
  <si>
    <t>Sutherland, John W.</t>
  </si>
  <si>
    <t>New York : PBI, c1977.</t>
  </si>
  <si>
    <t>2003-09-23</t>
  </si>
  <si>
    <t>8170220:eng</t>
  </si>
  <si>
    <t>3169083</t>
  </si>
  <si>
    <t>991004364879702656</t>
  </si>
  <si>
    <t>2263095090002656</t>
  </si>
  <si>
    <t>9780894330049</t>
  </si>
  <si>
    <t>32285003155149</t>
  </si>
  <si>
    <t>893806984</t>
  </si>
  <si>
    <t>HV413 .A69 1993</t>
  </si>
  <si>
    <t>0                      HV 0413000A  69          1993</t>
  </si>
  <si>
    <t>Welfare policy and politics in Japan : beyond the developmental state / Stephen J. Anderson.</t>
  </si>
  <si>
    <t>Anderson, Stephen J. (Stephen John), 1957-</t>
  </si>
  <si>
    <t>New York, N.Y. : Paragon House, 1993.</t>
  </si>
  <si>
    <t>1998-10-07</t>
  </si>
  <si>
    <t>1995-05-17</t>
  </si>
  <si>
    <t>370842446:eng</t>
  </si>
  <si>
    <t>25832896</t>
  </si>
  <si>
    <t>991002029289702656</t>
  </si>
  <si>
    <t>2264189880002656</t>
  </si>
  <si>
    <t>9781557785718</t>
  </si>
  <si>
    <t>32285002045523</t>
  </si>
  <si>
    <t>893709785</t>
  </si>
  <si>
    <t>HV4132.56.A5 B39 1997</t>
  </si>
  <si>
    <t>0                      HV 4132560A  5                  B  39          1997</t>
  </si>
  <si>
    <t>Street politics : poor people's movements in Iran / Asef Bayat.</t>
  </si>
  <si>
    <t>Bayat, Asef.</t>
  </si>
  <si>
    <t>New York : Columbia University Press, c1997.</t>
  </si>
  <si>
    <t>2004-02-20</t>
  </si>
  <si>
    <t>2002-10-08</t>
  </si>
  <si>
    <t>337278895:eng</t>
  </si>
  <si>
    <t>36876093</t>
  </si>
  <si>
    <t>991003904459702656</t>
  </si>
  <si>
    <t>2255871220002656</t>
  </si>
  <si>
    <t>9780231108584</t>
  </si>
  <si>
    <t>32285004653274</t>
  </si>
  <si>
    <t>893875441</t>
  </si>
  <si>
    <t>HV4156.5.A5 Q3713 1981</t>
  </si>
  <si>
    <t>0                      HV 4156500A  5                  Q  3713        1981</t>
  </si>
  <si>
    <t>Economic security in Islam / by Yūsuf al-Qarḍāwi ; rendered into English by Muḥammad Iqbāl Ṣiddiqi.</t>
  </si>
  <si>
    <t>Qaraḍāwī, Yūsuf.</t>
  </si>
  <si>
    <t>Lahore : Kazi Publications, 1981.</t>
  </si>
  <si>
    <t xml:space="preserve">pk </t>
  </si>
  <si>
    <t>1990-05-03</t>
  </si>
  <si>
    <t>973118602:eng</t>
  </si>
  <si>
    <t>9353011</t>
  </si>
  <si>
    <t>991000176829702656</t>
  </si>
  <si>
    <t>2263324430002656</t>
  </si>
  <si>
    <t>32285000148089</t>
  </si>
  <si>
    <t>893327098</t>
  </si>
  <si>
    <t>HV4196.C4 A4</t>
  </si>
  <si>
    <t>0                      HV 4196000C  4                  A  4</t>
  </si>
  <si>
    <t>Twenty years at Hull-House, with autobiographical notes, by Jane Addams, with illustrations by Norah Hamilton.</t>
  </si>
  <si>
    <t>New York, The Macmillan Co., 1910.</t>
  </si>
  <si>
    <t>1910</t>
  </si>
  <si>
    <t>2005-11-01</t>
  </si>
  <si>
    <t>1088286563:eng</t>
  </si>
  <si>
    <t>4224813</t>
  </si>
  <si>
    <t>991001767069702656</t>
  </si>
  <si>
    <t>2260714530002656</t>
  </si>
  <si>
    <t>32285003157392</t>
  </si>
  <si>
    <t>893772891</t>
  </si>
  <si>
    <t>HV4196.C4 H74</t>
  </si>
  <si>
    <t>0                      HV 4196000C  4                  H  74</t>
  </si>
  <si>
    <t>Eighty years at Hull-House / edited by Allen F. Davis and Mary Lynn McCree.</t>
  </si>
  <si>
    <t>Davis, Allen Freeman, 1931- compiler.</t>
  </si>
  <si>
    <t>Chicago : Quadrangle Books, 1969.</t>
  </si>
  <si>
    <t>1999-10-01</t>
  </si>
  <si>
    <t>1990-12-28</t>
  </si>
  <si>
    <t>1216920:eng</t>
  </si>
  <si>
    <t>47423</t>
  </si>
  <si>
    <t>991000109219702656</t>
  </si>
  <si>
    <t>2262374130002656</t>
  </si>
  <si>
    <t>32285000426196</t>
  </si>
  <si>
    <t>893871406</t>
  </si>
  <si>
    <t>HV43 .A79 1993</t>
  </si>
  <si>
    <t>0                      HV 0043000A  79          1993</t>
  </si>
  <si>
    <t>Assessment : a sourcebook for social work practice / Julia B. Rauch, editor.</t>
  </si>
  <si>
    <t>Milwaukee, Wis. : Families International, c1993.</t>
  </si>
  <si>
    <t>wiu</t>
  </si>
  <si>
    <t>1996-12-05</t>
  </si>
  <si>
    <t>181273108:eng</t>
  </si>
  <si>
    <t>28586654</t>
  </si>
  <si>
    <t>991002219989702656</t>
  </si>
  <si>
    <t>2263793040002656</t>
  </si>
  <si>
    <t>9780873042673</t>
  </si>
  <si>
    <t>32285002388519</t>
  </si>
  <si>
    <t>893697495</t>
  </si>
  <si>
    <t>HV43 .B45 1985</t>
  </si>
  <si>
    <t>0                      HV 0043000B  45          1985</t>
  </si>
  <si>
    <t>Human behavior, a perspective for the helping professions / Robert L. Berger and Ronald C. Federico.</t>
  </si>
  <si>
    <t>Berger, Robert, 1937-</t>
  </si>
  <si>
    <t>2004-11-03</t>
  </si>
  <si>
    <t>3751403:eng</t>
  </si>
  <si>
    <t>10948757</t>
  </si>
  <si>
    <t>991000462899702656</t>
  </si>
  <si>
    <t>2272635580002656</t>
  </si>
  <si>
    <t>9780582285217</t>
  </si>
  <si>
    <t>32285001759942</t>
  </si>
  <si>
    <t>893884402</t>
  </si>
  <si>
    <t>HV43 .C516 1999</t>
  </si>
  <si>
    <t>0                      HV 0043000C  516         1999</t>
  </si>
  <si>
    <t>Solution-based casework : an introduction to clinical and case management skills in casework practice / Dana N. Christensen, Jeffrey Todahl, William C. Barrett.</t>
  </si>
  <si>
    <t>Christensen, Dana N., 1950-</t>
  </si>
  <si>
    <t>New York : Aldine de Gruyter, c1999.</t>
  </si>
  <si>
    <t>Modern applications of social work</t>
  </si>
  <si>
    <t>2005-12-09</t>
  </si>
  <si>
    <t>477675897:eng</t>
  </si>
  <si>
    <t>41035439</t>
  </si>
  <si>
    <t>991003016379702656</t>
  </si>
  <si>
    <t>2257780440002656</t>
  </si>
  <si>
    <t>9780202361178</t>
  </si>
  <si>
    <t>32285003634663</t>
  </si>
  <si>
    <t>893721755</t>
  </si>
  <si>
    <t>HV43 .E2</t>
  </si>
  <si>
    <t>0                      HV 0043000E  2</t>
  </si>
  <si>
    <t>Early supports for family life: a social work experiment, by Ludwig L. Geismar [and others]</t>
  </si>
  <si>
    <t>Metuchen, N.J., Scarecrow Press, 1972.</t>
  </si>
  <si>
    <t>1972</t>
  </si>
  <si>
    <t>894509856:eng</t>
  </si>
  <si>
    <t>266815</t>
  </si>
  <si>
    <t>991002107969702656</t>
  </si>
  <si>
    <t>2269132780002656</t>
  </si>
  <si>
    <t>9780810804760</t>
  </si>
  <si>
    <t>32285003155222</t>
  </si>
  <si>
    <t>893232598</t>
  </si>
  <si>
    <t>HV43 .E67 1992</t>
  </si>
  <si>
    <t>0                      HV 0043000E  67          1992</t>
  </si>
  <si>
    <t>Brief treatment and a new look at the task-centered approach / Laura Epstein.</t>
  </si>
  <si>
    <t>Epstein, Laura.</t>
  </si>
  <si>
    <t>New York : Macmillan ; Toronto : Maxwell Macmillan Canada ; New York : Maxwell Macmillan International, c1992.</t>
  </si>
  <si>
    <t>1992-08-31</t>
  </si>
  <si>
    <t>4160767114:eng</t>
  </si>
  <si>
    <t>24142958</t>
  </si>
  <si>
    <t>991001911669702656</t>
  </si>
  <si>
    <t>2265960940002656</t>
  </si>
  <si>
    <t>9780023339707</t>
  </si>
  <si>
    <t>32285001199818</t>
  </si>
  <si>
    <t>893316153</t>
  </si>
  <si>
    <t>HV43 .G86 2003</t>
  </si>
  <si>
    <t>0                      HV 0043000G  86          2003</t>
  </si>
  <si>
    <t>Case management : policy, practice and professional business / Di Gursansky, Judy Harvey, Rosemary Kennedy.</t>
  </si>
  <si>
    <t>Gursansky, Di.</t>
  </si>
  <si>
    <t>New York : Columbia University Press, 2003.</t>
  </si>
  <si>
    <t>2006-06-20</t>
  </si>
  <si>
    <t>800596666:eng</t>
  </si>
  <si>
    <t>50859149</t>
  </si>
  <si>
    <t>991004744189702656</t>
  </si>
  <si>
    <t>2264368310002656</t>
  </si>
  <si>
    <t>9780231129701</t>
  </si>
  <si>
    <t>32285005191613</t>
  </si>
  <si>
    <t>893612719</t>
  </si>
  <si>
    <t>HV43 .H313 1993</t>
  </si>
  <si>
    <t>0                      HV 0043000H  313         1993</t>
  </si>
  <si>
    <t>Cases for intervention planning : a source book / Molly R. Hancock, Kenneth I. Millar.</t>
  </si>
  <si>
    <t>Hancock, Molly R.</t>
  </si>
  <si>
    <t>Chicago : Nelson-Hall, c1993.</t>
  </si>
  <si>
    <t>1993-07-14</t>
  </si>
  <si>
    <t>476263993:eng</t>
  </si>
  <si>
    <t>25317695</t>
  </si>
  <si>
    <t>991001994129702656</t>
  </si>
  <si>
    <t>2265477810002656</t>
  </si>
  <si>
    <t>9780830413010</t>
  </si>
  <si>
    <t>32285001702744</t>
  </si>
  <si>
    <t>893603079</t>
  </si>
  <si>
    <t>HV43 .H44 1997</t>
  </si>
  <si>
    <t>0                      HV 0043000H  44          1997</t>
  </si>
  <si>
    <t>Social work practice with families : a diversity model / Lonnie R. Helton, Maggie Jackson.</t>
  </si>
  <si>
    <t>Helton, Lonnie R.</t>
  </si>
  <si>
    <t>1997-10-15</t>
  </si>
  <si>
    <t>311904636:eng</t>
  </si>
  <si>
    <t>34411669</t>
  </si>
  <si>
    <t>991002625459702656</t>
  </si>
  <si>
    <t>2263195820002656</t>
  </si>
  <si>
    <t>9780205167043</t>
  </si>
  <si>
    <t>32285003254546</t>
  </si>
  <si>
    <t>893335521</t>
  </si>
  <si>
    <t>HV43 .L53 1999</t>
  </si>
  <si>
    <t>0                      HV 0043000L  53          1999</t>
  </si>
  <si>
    <t>Resolving ethical dilemmas in social work practice / Norman Linzer.</t>
  </si>
  <si>
    <t>Linzer, Norman.</t>
  </si>
  <si>
    <t>Boston : Allyn and Bacon, c1999.</t>
  </si>
  <si>
    <t>2004-06-16</t>
  </si>
  <si>
    <t>1998-11-16</t>
  </si>
  <si>
    <t>873906:eng</t>
  </si>
  <si>
    <t>38862580</t>
  </si>
  <si>
    <t>991002923989702656</t>
  </si>
  <si>
    <t>2258589890002656</t>
  </si>
  <si>
    <t>9780205290413</t>
  </si>
  <si>
    <t>32285003489035</t>
  </si>
  <si>
    <t>893530643</t>
  </si>
  <si>
    <t>HV43 .P457</t>
  </si>
  <si>
    <t>0                      HV 0043000P  457</t>
  </si>
  <si>
    <t>Relationship, the heart of helping people / Helen Harris Perlman.</t>
  </si>
  <si>
    <t>Perlman, Helen Harris.</t>
  </si>
  <si>
    <t>Chicago : University of Chicago Press, 1979.</t>
  </si>
  <si>
    <t>2007-05-25</t>
  </si>
  <si>
    <t>13632331:eng</t>
  </si>
  <si>
    <t>4004569</t>
  </si>
  <si>
    <t>991004566149702656</t>
  </si>
  <si>
    <t>2264908980002656</t>
  </si>
  <si>
    <t>9780226660356</t>
  </si>
  <si>
    <t>32285000246446</t>
  </si>
  <si>
    <t>893344000</t>
  </si>
  <si>
    <t>HV43 .R35 1993</t>
  </si>
  <si>
    <t>0                      HV 0043000R  35          1993</t>
  </si>
  <si>
    <t>Advanced case management : new strategies for the nineties / Norma Radol Raiff with Barbara K. Shore.</t>
  </si>
  <si>
    <t>Raiff, Norma Radol.</t>
  </si>
  <si>
    <t>Newbury Park, Calif. : Sage, c1993.</t>
  </si>
  <si>
    <t>Sage human services guides ; 66</t>
  </si>
  <si>
    <t>2009-10-07</t>
  </si>
  <si>
    <t>1994-01-13</t>
  </si>
  <si>
    <t>836835879:eng</t>
  </si>
  <si>
    <t>28336397</t>
  </si>
  <si>
    <t>991002202569702656</t>
  </si>
  <si>
    <t>2261014120002656</t>
  </si>
  <si>
    <t>9780803938724</t>
  </si>
  <si>
    <t>32285001831436</t>
  </si>
  <si>
    <t>893622017</t>
  </si>
  <si>
    <t>HV43 .R68 1994</t>
  </si>
  <si>
    <t>0                      HV 0043000R  68          1994</t>
  </si>
  <si>
    <t>Practice with highly vulnerable clients : case management and community-based service / Jack Rothman ; with an introductory chapter by Carel B. Germain.</t>
  </si>
  <si>
    <t>Rothman, Jack.</t>
  </si>
  <si>
    <t>Englewood Cliffs, N.J. : Prentice Hall, 1994.</t>
  </si>
  <si>
    <t>375575750:eng</t>
  </si>
  <si>
    <t>28547351</t>
  </si>
  <si>
    <t>991002216239702656</t>
  </si>
  <si>
    <t>2257602270002656</t>
  </si>
  <si>
    <t>9780131190580</t>
  </si>
  <si>
    <t>32285001856722</t>
  </si>
  <si>
    <t>893510452</t>
  </si>
  <si>
    <t>HV43 .T6 2003</t>
  </si>
  <si>
    <t>0                      HV 0043000T  6           2003</t>
  </si>
  <si>
    <t>Generalist practice : a task-centered approach / Eleanor Reardon Tolson, William J. Reid, Charles D. Garvin.</t>
  </si>
  <si>
    <t>Tolson, Eleanor Reardon, 1942-</t>
  </si>
  <si>
    <t>New York : Columbia University Press, c2003.</t>
  </si>
  <si>
    <t>794164947:eng</t>
  </si>
  <si>
    <t>49727812</t>
  </si>
  <si>
    <t>991004190319702656</t>
  </si>
  <si>
    <t>2264648980002656</t>
  </si>
  <si>
    <t>9780231121828</t>
  </si>
  <si>
    <t>32285004849682</t>
  </si>
  <si>
    <t>893259433</t>
  </si>
  <si>
    <t>HV43 .T75 1994</t>
  </si>
  <si>
    <t>0                      HV 0043000T  75          1994</t>
  </si>
  <si>
    <t>A primer on single-subject design for clinical social workers / by Tony Tripodi.</t>
  </si>
  <si>
    <t>Washington, DC : NASW Press, c1994.</t>
  </si>
  <si>
    <t>2007-11-12</t>
  </si>
  <si>
    <t>20487907:eng</t>
  </si>
  <si>
    <t>30736824</t>
  </si>
  <si>
    <t>991002363899702656</t>
  </si>
  <si>
    <t>2262824030002656</t>
  </si>
  <si>
    <t>9780871012388</t>
  </si>
  <si>
    <t>32285002379385</t>
  </si>
  <si>
    <t>893415111</t>
  </si>
  <si>
    <t>HV45 .H28</t>
  </si>
  <si>
    <t>0                      HV 0045000H  28</t>
  </si>
  <si>
    <t>Groups in social work; application of small group theory and research to social work practice / by Margaret E. Hartford.</t>
  </si>
  <si>
    <t>Hartford, Margaret E.</t>
  </si>
  <si>
    <t>New York : Columbia University Press, c1971.</t>
  </si>
  <si>
    <t>2007-11-21</t>
  </si>
  <si>
    <t>419783:eng</t>
  </si>
  <si>
    <t>354131</t>
  </si>
  <si>
    <t>991002455469702656</t>
  </si>
  <si>
    <t>2266209950002656</t>
  </si>
  <si>
    <t>9780231035484</t>
  </si>
  <si>
    <t>32285000246495</t>
  </si>
  <si>
    <t>893517309</t>
  </si>
  <si>
    <t>HV45 .K83 1998</t>
  </si>
  <si>
    <t>0                      HV 0045000K  83          1998</t>
  </si>
  <si>
    <t>Teaching a methods course in social work with groups / Roselle Kurland and Robert Salmon.</t>
  </si>
  <si>
    <t>Kurland, Roselle.</t>
  </si>
  <si>
    <t>Alexandria, VA : Council on Social Work Education, c1998.</t>
  </si>
  <si>
    <t>Strengthening group work education ; v. 1</t>
  </si>
  <si>
    <t>2004-09-07</t>
  </si>
  <si>
    <t>2002-02-20</t>
  </si>
  <si>
    <t>41399458:eng</t>
  </si>
  <si>
    <t>38304553</t>
  </si>
  <si>
    <t>991003638589702656</t>
  </si>
  <si>
    <t>2258561370002656</t>
  </si>
  <si>
    <t>9780872930605</t>
  </si>
  <si>
    <t>32285004455464</t>
  </si>
  <si>
    <t>893627681</t>
  </si>
  <si>
    <t>HV45 .R43 1999</t>
  </si>
  <si>
    <t>0                      HV 0045000R  43          1999</t>
  </si>
  <si>
    <t>Rebuilding communities : challenges for group work / Harvey Bertcher, Linda Farris Kurtz, Alice Lamont, editors.</t>
  </si>
  <si>
    <t>894514737:eng</t>
  </si>
  <si>
    <t>41285070</t>
  </si>
  <si>
    <t>991003024389702656</t>
  </si>
  <si>
    <t>2271543590002656</t>
  </si>
  <si>
    <t>9780789007223</t>
  </si>
  <si>
    <t>32285003629010</t>
  </si>
  <si>
    <t>893610631</t>
  </si>
  <si>
    <t>HV45 .S95 1990</t>
  </si>
  <si>
    <t>0                      HV 0045000S  95          1990</t>
  </si>
  <si>
    <t>Working from strengths : the essence of group work : selected proceedings of the Twelfth Annual Symposium for the Advancement of Social Work with Groups, Miami, Florida, 1990 / edited by David F. Fike and Barbara Rittner.</t>
  </si>
  <si>
    <t>Symposium for the Advancement of Social Work with Groups (12th : 1990 : Miami, Fla.)</t>
  </si>
  <si>
    <t>Miami Shores, FL : Center for Group Work Studies, Barry University, 1992.</t>
  </si>
  <si>
    <t>1996-09-11</t>
  </si>
  <si>
    <t>1807123268:eng</t>
  </si>
  <si>
    <t>28756377</t>
  </si>
  <si>
    <t>991002232299702656</t>
  </si>
  <si>
    <t>2264587750002656</t>
  </si>
  <si>
    <t>32285002317039</t>
  </si>
  <si>
    <t>893615869</t>
  </si>
  <si>
    <t>HV45 .T37 1985</t>
  </si>
  <si>
    <t>0                      HV 0045000T  37          1985</t>
  </si>
  <si>
    <t>Task-centered practice with families and groups / Anne E. Fortune with contributors.</t>
  </si>
  <si>
    <t>Springer series on social work ; v. 6</t>
  </si>
  <si>
    <t>967121:eng</t>
  </si>
  <si>
    <t>11134448</t>
  </si>
  <si>
    <t>991000495869702656</t>
  </si>
  <si>
    <t>2254847430002656</t>
  </si>
  <si>
    <t>9780826144607</t>
  </si>
  <si>
    <t>32285000246511</t>
  </si>
  <si>
    <t>893595595</t>
  </si>
  <si>
    <t>HV45 .T68 1995</t>
  </si>
  <si>
    <t>0                      HV 0045000T  68          1995</t>
  </si>
  <si>
    <t>An introduction to group work practice / Ronald W. Toseland, Robert F. Rivas.</t>
  </si>
  <si>
    <t>Boston : Allyn and Bacon, 1995.</t>
  </si>
  <si>
    <t>2001-10-31</t>
  </si>
  <si>
    <t>2001-10-30</t>
  </si>
  <si>
    <t>8209000:eng</t>
  </si>
  <si>
    <t>29478627</t>
  </si>
  <si>
    <t>991003660269702656</t>
  </si>
  <si>
    <t>2268833390002656</t>
  </si>
  <si>
    <t>9780024211323</t>
  </si>
  <si>
    <t>32285004416706</t>
  </si>
  <si>
    <t>893705476</t>
  </si>
  <si>
    <t>HV45 .Z37 1997</t>
  </si>
  <si>
    <t>0                      HV 0045000Z  37          1997</t>
  </si>
  <si>
    <t>Social work with groups : using the class as a group leadership laboratory / Charles Zastrow.</t>
  </si>
  <si>
    <t>Zastrow, Charles.</t>
  </si>
  <si>
    <t>Chicago : Nelson-Hall Publishers, c1997.</t>
  </si>
  <si>
    <t>The Nelson-Hall series in social work</t>
  </si>
  <si>
    <t>3943481555:eng</t>
  </si>
  <si>
    <t>34244203</t>
  </si>
  <si>
    <t>991003660299702656</t>
  </si>
  <si>
    <t>2271956370002656</t>
  </si>
  <si>
    <t>9780830414437</t>
  </si>
  <si>
    <t>32285004416714</t>
  </si>
  <si>
    <t>893686787</t>
  </si>
  <si>
    <t>HV4504 .R67 1989</t>
  </si>
  <si>
    <t>0                      HV 4504000R  67          1989</t>
  </si>
  <si>
    <t>Down and out in America : the origins of homelessness / Peter H. Rossi.</t>
  </si>
  <si>
    <t>Rossi, Peter H. (Peter Henry), 1921-2006.</t>
  </si>
  <si>
    <t>Chicago : University of Chicago Press, 1989.</t>
  </si>
  <si>
    <t>2003-10-07</t>
  </si>
  <si>
    <t>1990-04-23</t>
  </si>
  <si>
    <t>21297147:eng</t>
  </si>
  <si>
    <t>19512020</t>
  </si>
  <si>
    <t>991001465959702656</t>
  </si>
  <si>
    <t>2258546920002656</t>
  </si>
  <si>
    <t>9780226728285</t>
  </si>
  <si>
    <t>32285000115666</t>
  </si>
  <si>
    <t>893426623</t>
  </si>
  <si>
    <t>HV4505 .B34</t>
  </si>
  <si>
    <t>0                      HV 4505000B  34</t>
  </si>
  <si>
    <t>Skid row; an introduction to disaffiliation [by] Howard M. Bahr.</t>
  </si>
  <si>
    <t>Bahr, Howard M.</t>
  </si>
  <si>
    <t>New York, Oxford University Press, 1973.</t>
  </si>
  <si>
    <t>1973</t>
  </si>
  <si>
    <t>2002-09-03</t>
  </si>
  <si>
    <t>1992-04-01</t>
  </si>
  <si>
    <t>1824569:eng</t>
  </si>
  <si>
    <t>746157</t>
  </si>
  <si>
    <t>991003221329702656</t>
  </si>
  <si>
    <t>2255585950002656</t>
  </si>
  <si>
    <t>9780195017120</t>
  </si>
  <si>
    <t>32285001050680</t>
  </si>
  <si>
    <t>893604555</t>
  </si>
  <si>
    <t>HV4505 .B373 1990</t>
  </si>
  <si>
    <t>0                      HV 4505000B  373         1990</t>
  </si>
  <si>
    <t>Shadow women : homeless women's survival stories / Marjorie Bard.</t>
  </si>
  <si>
    <t>Bard, Marjorie.</t>
  </si>
  <si>
    <t>Kansas City, MO : Sheed &amp; Ward, c1990.</t>
  </si>
  <si>
    <t>24025573:eng</t>
  </si>
  <si>
    <t>22857513</t>
  </si>
  <si>
    <t>991001817189702656</t>
  </si>
  <si>
    <t>2257291790002656</t>
  </si>
  <si>
    <t>9781556123580</t>
  </si>
  <si>
    <t>32285000866359</t>
  </si>
  <si>
    <t>893866513</t>
  </si>
  <si>
    <t>HV4505 .B52 1992</t>
  </si>
  <si>
    <t>0                      HV 4505000B  52          1992</t>
  </si>
  <si>
    <t>The visible poor : homelessness in the United States / Joel Blau.</t>
  </si>
  <si>
    <t>Blau, Joel.</t>
  </si>
  <si>
    <t>New York : Oxford University Press, 1992.</t>
  </si>
  <si>
    <t>1997-11-06</t>
  </si>
  <si>
    <t>1992-08-04</t>
  </si>
  <si>
    <t>328009:eng</t>
  </si>
  <si>
    <t>24215654</t>
  </si>
  <si>
    <t>991001917959702656</t>
  </si>
  <si>
    <t>2272573350002656</t>
  </si>
  <si>
    <t>9780195057430</t>
  </si>
  <si>
    <t>32285001196285</t>
  </si>
  <si>
    <t>893590742</t>
  </si>
  <si>
    <t>HV4505 .B88 1992</t>
  </si>
  <si>
    <t>0                      HV 4505000B  88          1992</t>
  </si>
  <si>
    <t>Over the edge : the growth of homelessness in the 1980s / Martha R. Burt.</t>
  </si>
  <si>
    <t>New York : Russell Sage Foundation ; Washington, D.C. : Urban Institute Press, c1992.</t>
  </si>
  <si>
    <t>2007-03-18</t>
  </si>
  <si>
    <t>25080199:eng</t>
  </si>
  <si>
    <t>23768390</t>
  </si>
  <si>
    <t>991001887209702656</t>
  </si>
  <si>
    <t>2269866910002656</t>
  </si>
  <si>
    <t>9780871541772</t>
  </si>
  <si>
    <t>32285001196319</t>
  </si>
  <si>
    <t>893340784</t>
  </si>
  <si>
    <t>HV4505 .C37 1990</t>
  </si>
  <si>
    <t>0                      HV 4505000C  37          1990</t>
  </si>
  <si>
    <t>Homeless in America / Carol L.M. Caton.</t>
  </si>
  <si>
    <t>Caton, Carol L. M.</t>
  </si>
  <si>
    <t>New York : Oxford University Press, 1990.</t>
  </si>
  <si>
    <t>2009-09-27</t>
  </si>
  <si>
    <t>1991-06-04</t>
  </si>
  <si>
    <t>21985930:eng</t>
  </si>
  <si>
    <t>20098671</t>
  </si>
  <si>
    <t>991001768439702656</t>
  </si>
  <si>
    <t>2269228470002656</t>
  </si>
  <si>
    <t>9780195039184</t>
  </si>
  <si>
    <t>32285000592252</t>
  </si>
  <si>
    <t>893785378</t>
  </si>
  <si>
    <t>HV4505 .H652 1996</t>
  </si>
  <si>
    <t>0                      HV 4505000H  652         1996</t>
  </si>
  <si>
    <t>Homelessness in America / edited by Jim Baumohl for the National Coalition for the Homeless.</t>
  </si>
  <si>
    <t>Phoenix, Ariz. : Oryx Press, 1996.</t>
  </si>
  <si>
    <t>azu</t>
  </si>
  <si>
    <t>1997-02-14</t>
  </si>
  <si>
    <t>354507558:eng</t>
  </si>
  <si>
    <t>35017834</t>
  </si>
  <si>
    <t>991002679129702656</t>
  </si>
  <si>
    <t>2267808660002656</t>
  </si>
  <si>
    <t>9780897748698</t>
  </si>
  <si>
    <t>32285002431632</t>
  </si>
  <si>
    <t>893239359</t>
  </si>
  <si>
    <t>HV4505 .H653 1987</t>
  </si>
  <si>
    <t>0                      HV 4505000H  653         1987</t>
  </si>
  <si>
    <t>The Homeless in contemporary society / edited by Richard D. Bingham, Roy E. Green, Sammis B. White.</t>
  </si>
  <si>
    <t>Newbury Park, Calif. : Sage Publications, c1987.</t>
  </si>
  <si>
    <t>Sage focus editions ; 87</t>
  </si>
  <si>
    <t>2002-07-24</t>
  </si>
  <si>
    <t>1990-02-14</t>
  </si>
  <si>
    <t>365161828:eng</t>
  </si>
  <si>
    <t>14587131</t>
  </si>
  <si>
    <t>991000947139702656</t>
  </si>
  <si>
    <t>2271032780002656</t>
  </si>
  <si>
    <t>9780803928893</t>
  </si>
  <si>
    <t>32285000052547</t>
  </si>
  <si>
    <t>893407677</t>
  </si>
  <si>
    <t>HV4505 .H6552 1992</t>
  </si>
  <si>
    <t>0                      HV 4505000H  6552        1992</t>
  </si>
  <si>
    <t>The Homeless problem / edited by Matthew A. Kraljic.</t>
  </si>
  <si>
    <t>New York : H.W. Wilson, 1992.</t>
  </si>
  <si>
    <t>The Reference shelf ; v. 64, no. 2</t>
  </si>
  <si>
    <t>2004-04-15</t>
  </si>
  <si>
    <t>1993-07-30</t>
  </si>
  <si>
    <t>27894346:eng</t>
  </si>
  <si>
    <t>25411636</t>
  </si>
  <si>
    <t>991002000649702656</t>
  </si>
  <si>
    <t>2256669920002656</t>
  </si>
  <si>
    <t>9780824208264</t>
  </si>
  <si>
    <t>32285001704138</t>
  </si>
  <si>
    <t>893872991</t>
  </si>
  <si>
    <t>HV4505 .H6553 1992</t>
  </si>
  <si>
    <t>0                      HV 4505000H  6553        1992</t>
  </si>
  <si>
    <t>Homelessness : a national perspective / edited by Marjorie J. Robertson and Milton Greenblatt.</t>
  </si>
  <si>
    <t>New York : Plenum Press, c1992.</t>
  </si>
  <si>
    <t>Topics in social psychiatry</t>
  </si>
  <si>
    <t>2006-04-04</t>
  </si>
  <si>
    <t>1994-03-11</t>
  </si>
  <si>
    <t>836838710:eng</t>
  </si>
  <si>
    <t>24850136</t>
  </si>
  <si>
    <t>991001961869702656</t>
  </si>
  <si>
    <t>2260833760002656</t>
  </si>
  <si>
    <t>9780306437892</t>
  </si>
  <si>
    <t>32285001844553</t>
  </si>
  <si>
    <t>893439605</t>
  </si>
  <si>
    <t>HV4505 .H66 1986</t>
  </si>
  <si>
    <t>0                      HV 4505000H  66          1986</t>
  </si>
  <si>
    <t>The faces of homelessness / Marjorie Hope, James Young.</t>
  </si>
  <si>
    <t>Hope, Marjorie.</t>
  </si>
  <si>
    <t>Lexington, Mass. : Lexington Books, c1986.</t>
  </si>
  <si>
    <t>2000-11-28</t>
  </si>
  <si>
    <t>1990-04-20</t>
  </si>
  <si>
    <t>7233207:eng</t>
  </si>
  <si>
    <t>13423175</t>
  </si>
  <si>
    <t>991000825769702656</t>
  </si>
  <si>
    <t>2266143530002656</t>
  </si>
  <si>
    <t>9780669142006</t>
  </si>
  <si>
    <t>32285000123801</t>
  </si>
  <si>
    <t>893407558</t>
  </si>
  <si>
    <t>HV4505 .H68 1986</t>
  </si>
  <si>
    <t>0                      HV 4505000H  68          1986</t>
  </si>
  <si>
    <t>Housing the homeless / edited by Jon Erickson and Charles Wilhelm.</t>
  </si>
  <si>
    <t>New Brunswick, N.J. : Center for Urban Policy Research, c1986.</t>
  </si>
  <si>
    <t>2010-11-16</t>
  </si>
  <si>
    <t>392547828:eng</t>
  </si>
  <si>
    <t>12583592</t>
  </si>
  <si>
    <t>991000711479702656</t>
  </si>
  <si>
    <t>2270967380002656</t>
  </si>
  <si>
    <t>9780882851129</t>
  </si>
  <si>
    <t>32285000052554</t>
  </si>
  <si>
    <t>893237550</t>
  </si>
  <si>
    <t>HV4505 .H854 1998</t>
  </si>
  <si>
    <t>0                      HV 4505000H  854         1998</t>
  </si>
  <si>
    <t>An interdependency model of homelessness : the dynamics of social disintegration / Christopher G. Hudson.</t>
  </si>
  <si>
    <t>Hudson, Christopher G.</t>
  </si>
  <si>
    <t>Lewiston, NY : E. Mellen Press, c1998.</t>
  </si>
  <si>
    <t>Symposium series ; v. 48</t>
  </si>
  <si>
    <t>2008-11-24</t>
  </si>
  <si>
    <t>1999-11-08</t>
  </si>
  <si>
    <t>42603205:eng</t>
  </si>
  <si>
    <t>39195319</t>
  </si>
  <si>
    <t>991002943689702656</t>
  </si>
  <si>
    <t>2267405720002656</t>
  </si>
  <si>
    <t>9780773482883</t>
  </si>
  <si>
    <t>32285003618922</t>
  </si>
  <si>
    <t>893880614</t>
  </si>
  <si>
    <t>HV4505 .P47 1997</t>
  </si>
  <si>
    <t>0                      HV 4505000P  47          1997</t>
  </si>
  <si>
    <t>"Not just a shelter kid" : how homeless children find solace / Melanie Smith Percy.</t>
  </si>
  <si>
    <t>Percy, Melanie Smith, 1955-</t>
  </si>
  <si>
    <t>New York : Garland Pub., 1997.</t>
  </si>
  <si>
    <t>Children of poverty</t>
  </si>
  <si>
    <t>2001-06-11</t>
  </si>
  <si>
    <t>1997-04-23</t>
  </si>
  <si>
    <t>623605:eng</t>
  </si>
  <si>
    <t>36138306</t>
  </si>
  <si>
    <t>991002755359702656</t>
  </si>
  <si>
    <t>2260713390002656</t>
  </si>
  <si>
    <t>9780815326182</t>
  </si>
  <si>
    <t>32285002499951</t>
  </si>
  <si>
    <t>893317220</t>
  </si>
  <si>
    <t>HV4505 .P74 1998</t>
  </si>
  <si>
    <t>0                      HV 4505000P  74          1998</t>
  </si>
  <si>
    <t>Preserving childhood for children in shelters / edited by Thelma Harms, Adele Richardson Ray, and Pam Rolandelli.</t>
  </si>
  <si>
    <t>Washington, DC : CWLA Press, c1998.</t>
  </si>
  <si>
    <t>2010-10-12</t>
  </si>
  <si>
    <t>2001-07-18</t>
  </si>
  <si>
    <t>476334447:eng</t>
  </si>
  <si>
    <t>36806928</t>
  </si>
  <si>
    <t>991003572549702656</t>
  </si>
  <si>
    <t>2262148990002656</t>
  </si>
  <si>
    <t>9780878686124</t>
  </si>
  <si>
    <t>32285004333679</t>
  </si>
  <si>
    <t>893246509</t>
  </si>
  <si>
    <t>HV4505 .R473 1992</t>
  </si>
  <si>
    <t>0                      HV 4505000R  473         1992</t>
  </si>
  <si>
    <t>Kids on the street / Carl R. Resener &amp; Judy Hall.</t>
  </si>
  <si>
    <t>Resener, Carl R., 1929-</t>
  </si>
  <si>
    <t>Nashville, Tenn. : Broadman Press, 1992.</t>
  </si>
  <si>
    <t>tnu</t>
  </si>
  <si>
    <t>1999-04-23</t>
  </si>
  <si>
    <t>1992-04-02</t>
  </si>
  <si>
    <t>25086014:eng</t>
  </si>
  <si>
    <t>24065385</t>
  </si>
  <si>
    <t>991001903709702656</t>
  </si>
  <si>
    <t>2263976780002656</t>
  </si>
  <si>
    <t>9780805450910</t>
  </si>
  <si>
    <t>32285001007839</t>
  </si>
  <si>
    <t>893497520</t>
  </si>
  <si>
    <t>HV4505 .R66 1988</t>
  </si>
  <si>
    <t>0                      HV 4505000R  66          1988</t>
  </si>
  <si>
    <t>The invisible homeless : a new urban ecology / by Richard H. Ropers.</t>
  </si>
  <si>
    <t>Ropers, Richard H.</t>
  </si>
  <si>
    <t>New York, N.Y. : Human Sciences Press, 1988.</t>
  </si>
  <si>
    <t>2002-04-17</t>
  </si>
  <si>
    <t>1990-03-20</t>
  </si>
  <si>
    <t>12457613:eng</t>
  </si>
  <si>
    <t>16580516</t>
  </si>
  <si>
    <t>991001120829702656</t>
  </si>
  <si>
    <t>2260358300002656</t>
  </si>
  <si>
    <t>9780898854060</t>
  </si>
  <si>
    <t>32285000087279</t>
  </si>
  <si>
    <t>893426336</t>
  </si>
  <si>
    <t>HV4505 .R67 1989</t>
  </si>
  <si>
    <t>0                      HV 4505000R  67          1989</t>
  </si>
  <si>
    <t>Without shelter : homelessnes in the 1980s/ by Peter Rossi.</t>
  </si>
  <si>
    <t>New York : Priority Press Publications, 1989.</t>
  </si>
  <si>
    <t>1996-02-09</t>
  </si>
  <si>
    <t>1992-03-18</t>
  </si>
  <si>
    <t>235563982:eng</t>
  </si>
  <si>
    <t>18743243</t>
  </si>
  <si>
    <t>991001389049702656</t>
  </si>
  <si>
    <t>2259248830002656</t>
  </si>
  <si>
    <t>9780870782343</t>
  </si>
  <si>
    <t>32285001013753</t>
  </si>
  <si>
    <t>893522542</t>
  </si>
  <si>
    <t>HV4505 .S38 1992</t>
  </si>
  <si>
    <t>0                      HV 4505000S  38          1992</t>
  </si>
  <si>
    <t>Responding to the homeless : policy and practice / Russell K. Schutt and Gerald R. Garrett with contributions by Barbara A. Blakeney ... [et al.].</t>
  </si>
  <si>
    <t>Schutt, Russell K.</t>
  </si>
  <si>
    <t>The Language of science</t>
  </si>
  <si>
    <t>2007-03-25</t>
  </si>
  <si>
    <t>836867177:eng</t>
  </si>
  <si>
    <t>25246660</t>
  </si>
  <si>
    <t>991001987709702656</t>
  </si>
  <si>
    <t>2256249230002656</t>
  </si>
  <si>
    <t>9780306440762</t>
  </si>
  <si>
    <t>32285001844579</t>
  </si>
  <si>
    <t>893226313</t>
  </si>
  <si>
    <t>HV4505 .S53 1996</t>
  </si>
  <si>
    <t>0                      HV 4505000S  53          1996</t>
  </si>
  <si>
    <t>What about America's homeless children? : hide and seek / Paul G. Shane.</t>
  </si>
  <si>
    <t>Shane, Paul G., 1935-</t>
  </si>
  <si>
    <t>Sage sourcebooks for the human services series ; 32</t>
  </si>
  <si>
    <t>1997-01-14</t>
  </si>
  <si>
    <t>40625191:eng</t>
  </si>
  <si>
    <t>34547555</t>
  </si>
  <si>
    <t>991001671319702656</t>
  </si>
  <si>
    <t>2263601870002656</t>
  </si>
  <si>
    <t>9780803949829</t>
  </si>
  <si>
    <t>32285002407160</t>
  </si>
  <si>
    <t>893684514</t>
  </si>
  <si>
    <t>HV4505 .S78 1989</t>
  </si>
  <si>
    <t>0                      HV 4505000S  78          1989</t>
  </si>
  <si>
    <t>Inventing a non-homeless future : a public policy agenda for preventing homelessness / Madeleine R. Stoner.</t>
  </si>
  <si>
    <t>Stoner, Madeleine R.</t>
  </si>
  <si>
    <t>New York : P. Lang, c1989.</t>
  </si>
  <si>
    <t>American university studies. Series XI, Anthropology/sociology, 0740-0489 ; v. 29</t>
  </si>
  <si>
    <t>1997-07-10</t>
  </si>
  <si>
    <t>1991-02-08</t>
  </si>
  <si>
    <t>296782444:eng</t>
  </si>
  <si>
    <t>18960637</t>
  </si>
  <si>
    <t>991001418659702656</t>
  </si>
  <si>
    <t>2263911890002656</t>
  </si>
  <si>
    <t>9780820410487</t>
  </si>
  <si>
    <t>32285000463736</t>
  </si>
  <si>
    <t>893503407</t>
  </si>
  <si>
    <t>HV4505 .W43 1999</t>
  </si>
  <si>
    <t>0                      HV 4505000W  43          1999</t>
  </si>
  <si>
    <t>Nowhere to grow : homeless and runaway adolescents and their families / Les B. Whitbeck and Dan R. Hoyt.</t>
  </si>
  <si>
    <t>Whitbeck, Les B.</t>
  </si>
  <si>
    <t>New York : Aldine de Gruyer, c1999.</t>
  </si>
  <si>
    <t>Social institutions and social change</t>
  </si>
  <si>
    <t>2002-11-17</t>
  </si>
  <si>
    <t>1999-10-07</t>
  </si>
  <si>
    <t>196436188:eng</t>
  </si>
  <si>
    <t>40698694</t>
  </si>
  <si>
    <t>991003004079702656</t>
  </si>
  <si>
    <t>2264559820002656</t>
  </si>
  <si>
    <t>9780202305837</t>
  </si>
  <si>
    <t>32285003593273</t>
  </si>
  <si>
    <t>893774286</t>
  </si>
  <si>
    <t>HV4505 .W76 1998</t>
  </si>
  <si>
    <t>0                      HV 4505000W  76          1998</t>
  </si>
  <si>
    <t>Beside the golden door : policy, politics, and the homeless / James D. Wright, Beth A. Rubin, and Joel A. Devine.</t>
  </si>
  <si>
    <t>Wright, James D.</t>
  </si>
  <si>
    <t>New York : Aldine de Gruyter, c1998.</t>
  </si>
  <si>
    <t>1998-12-08</t>
  </si>
  <si>
    <t>372904541:eng</t>
  </si>
  <si>
    <t>38120670</t>
  </si>
  <si>
    <t>991002893359702656</t>
  </si>
  <si>
    <t>2265326800002656</t>
  </si>
  <si>
    <t>9780202306131</t>
  </si>
  <si>
    <t>32285003494589</t>
  </si>
  <si>
    <t>893530606</t>
  </si>
  <si>
    <t>HV4505 .Y45 1994</t>
  </si>
  <si>
    <t>0                      HV 4505000Y  45          1994</t>
  </si>
  <si>
    <t>The politics of ending homelessness / Susan Yeich.</t>
  </si>
  <si>
    <t>Yeich, Susan.</t>
  </si>
  <si>
    <t>Lanham, Md. : University Press of America, c1994.</t>
  </si>
  <si>
    <t>2010-03-08</t>
  </si>
  <si>
    <t>1994-06-28</t>
  </si>
  <si>
    <t>20646544:eng</t>
  </si>
  <si>
    <t>29223200</t>
  </si>
  <si>
    <t>991002255709702656</t>
  </si>
  <si>
    <t>2262618080002656</t>
  </si>
  <si>
    <t>9780819193667</t>
  </si>
  <si>
    <t>32285001924645</t>
  </si>
  <si>
    <t>893804394</t>
  </si>
  <si>
    <t>HV4506.B74 L46 2009</t>
  </si>
  <si>
    <t>0                      HV 4506000B  74                 L  46          2009</t>
  </si>
  <si>
    <t>Breakfast at Sally's : one homeless man's inspirational journey / Richard LeMieux ; with illustrations by Michael Gordon.</t>
  </si>
  <si>
    <t>LeMieux, Richard.</t>
  </si>
  <si>
    <t>New York : Skyhorse Pub., c2009.</t>
  </si>
  <si>
    <t>2010-04-13</t>
  </si>
  <si>
    <t>136788383:eng</t>
  </si>
  <si>
    <t>477404131</t>
  </si>
  <si>
    <t>991005377589702656</t>
  </si>
  <si>
    <t>2261883270002656</t>
  </si>
  <si>
    <t>9781602397682</t>
  </si>
  <si>
    <t>32285005563092</t>
  </si>
  <si>
    <t>893877434</t>
  </si>
  <si>
    <t>HV4506.M6 M33 1996</t>
  </si>
  <si>
    <t>0                      HV 4506000M  6                  M  33          1996</t>
  </si>
  <si>
    <t>Without keys : my 15 weeks with the street people / by Pat McDonough ; art by R. Padre Johnson.</t>
  </si>
  <si>
    <t>McDonough, Pat, 1943-</t>
  </si>
  <si>
    <t>Hopkins, MN : Terra Sancta Press, 1996.</t>
  </si>
  <si>
    <t>mnu</t>
  </si>
  <si>
    <t>2003-11-17</t>
  </si>
  <si>
    <t>1998-01-05</t>
  </si>
  <si>
    <t>292705902:eng</t>
  </si>
  <si>
    <t>35789222</t>
  </si>
  <si>
    <t>991002728859702656</t>
  </si>
  <si>
    <t>2265432300002656</t>
  </si>
  <si>
    <t>9780965346702</t>
  </si>
  <si>
    <t>32285003267621</t>
  </si>
  <si>
    <t>893721598</t>
  </si>
  <si>
    <t>HV4506.N6 M67 1995</t>
  </si>
  <si>
    <t>0                      HV 4506000N  6                  M  67          1995</t>
  </si>
  <si>
    <t>The tunnel : the underground homeless of New York City / Margaret Morton.</t>
  </si>
  <si>
    <t>Morton, Margaret.</t>
  </si>
  <si>
    <t>New Haven : Yale University Press, c1995.</t>
  </si>
  <si>
    <t>The architecture of despair</t>
  </si>
  <si>
    <t>2005-12-29</t>
  </si>
  <si>
    <t>1996-06-25</t>
  </si>
  <si>
    <t>836938502:eng</t>
  </si>
  <si>
    <t>32625272</t>
  </si>
  <si>
    <t>991002508329702656</t>
  </si>
  <si>
    <t>2269078210002656</t>
  </si>
  <si>
    <t>9780300065381</t>
  </si>
  <si>
    <t>32285002173374</t>
  </si>
  <si>
    <t>893716543</t>
  </si>
  <si>
    <t>HV4705 .T47 1991</t>
  </si>
  <si>
    <t>0                      HV 4705000T  47          1991</t>
  </si>
  <si>
    <t>Animals and society : the humanity of animal rights / Keith Tester.</t>
  </si>
  <si>
    <t>Tester, Keith, 1960-</t>
  </si>
  <si>
    <t>London ; New York, NY : Routledge, 1991.</t>
  </si>
  <si>
    <t>2005-12-06</t>
  </si>
  <si>
    <t>1992-04-23</t>
  </si>
  <si>
    <t>1994-01-04</t>
  </si>
  <si>
    <t>836709796:eng</t>
  </si>
  <si>
    <t>21870296</t>
  </si>
  <si>
    <t>991001645929702656</t>
  </si>
  <si>
    <t>2272078430002656</t>
  </si>
  <si>
    <t>9780415047319</t>
  </si>
  <si>
    <t>32285001037117</t>
  </si>
  <si>
    <t>893509777</t>
  </si>
  <si>
    <t>HV473 .M464 2006</t>
  </si>
  <si>
    <t>0                      HV 0473000M  464         2006</t>
  </si>
  <si>
    <t>Inside the welfare lobby : a history of the Australian Council of Social Service : the role of interest groups in Australian social policy / Philip Mendes.</t>
  </si>
  <si>
    <t>Mendes, Philip, 1964-</t>
  </si>
  <si>
    <t>Brighton ; Portland, Or. : Sussex Academic Press, c2006.</t>
  </si>
  <si>
    <t>2009-02-05</t>
  </si>
  <si>
    <t>51568876:eng</t>
  </si>
  <si>
    <t>68192426</t>
  </si>
  <si>
    <t>991005292779702656</t>
  </si>
  <si>
    <t>2271566940002656</t>
  </si>
  <si>
    <t>9781845191191</t>
  </si>
  <si>
    <t>32285005502876</t>
  </si>
  <si>
    <t>893795938</t>
  </si>
  <si>
    <t>HV499.2 .T66 1993</t>
  </si>
  <si>
    <t>0                      HV 0499200T  66          1993</t>
  </si>
  <si>
    <t>Substance abuse prevention activities / Patricia Rizzo Toner.</t>
  </si>
  <si>
    <t>Toner, Patricia Rizzo, 1952-</t>
  </si>
  <si>
    <t>West Nyack, N.Y. : Center for Applied Research in Education, c1993.</t>
  </si>
  <si>
    <t>Just for the health of it! ; unit 6</t>
  </si>
  <si>
    <t>2008-11-03</t>
  </si>
  <si>
    <t>1994-05-09</t>
  </si>
  <si>
    <t>376316:eng</t>
  </si>
  <si>
    <t>27769906</t>
  </si>
  <si>
    <t>991002155209702656</t>
  </si>
  <si>
    <t>2265369350002656</t>
  </si>
  <si>
    <t>9780876288795</t>
  </si>
  <si>
    <t>32285001879930</t>
  </si>
  <si>
    <t>893256940</t>
  </si>
  <si>
    <t>HV4999.2 .S8 1998</t>
  </si>
  <si>
    <t>0                      HV 4999200S  8           1998</t>
  </si>
  <si>
    <t>Substance abuse prevention in multicultural communities / Jeanette Valentine, Judith A. De Jong, Nancy J. Kennedy, editors.</t>
  </si>
  <si>
    <t>New York : Haworth Press, c1998.</t>
  </si>
  <si>
    <t>2007-03-26</t>
  </si>
  <si>
    <t>1998-09-17</t>
  </si>
  <si>
    <t>477334165:eng</t>
  </si>
  <si>
    <t>37464364</t>
  </si>
  <si>
    <t>991002843889702656</t>
  </si>
  <si>
    <t>2258911040002656</t>
  </si>
  <si>
    <t>9780789003430</t>
  </si>
  <si>
    <t>32285003469268</t>
  </si>
  <si>
    <t>893347993</t>
  </si>
  <si>
    <t>HV4999.2 .S82 2003</t>
  </si>
  <si>
    <t>0                      HV 4999200S  82          2003</t>
  </si>
  <si>
    <t>Substance abuse prevention : the intersection of science and practice / Julie A. Hogan ... [et al.].</t>
  </si>
  <si>
    <t>Boston : Allyn and Bacon, c2003.</t>
  </si>
  <si>
    <t>2010-12-01</t>
  </si>
  <si>
    <t>2004-02-23</t>
  </si>
  <si>
    <t>793568537:eng</t>
  </si>
  <si>
    <t>49902092</t>
  </si>
  <si>
    <t>991004232639702656</t>
  </si>
  <si>
    <t>2257522690002656</t>
  </si>
  <si>
    <t>9780205341627</t>
  </si>
  <si>
    <t>32285004639679</t>
  </si>
  <si>
    <t>893411270</t>
  </si>
  <si>
    <t>HV4999.2 .S9 2001</t>
  </si>
  <si>
    <t>0                      HV 4999200S  9           2001</t>
  </si>
  <si>
    <t>Substance abuse : the nation's number one health problem : key indicators for policy update / prepared by the Schneider Institute for Health Policy, Brandeis University ; for the Robert Wood Johnson Foundation ; [principal investigator, Constance Horgan].</t>
  </si>
  <si>
    <t>Princeton, NJ : The Foundation, [2001]</t>
  </si>
  <si>
    <t>2001-06-06</t>
  </si>
  <si>
    <t>1151510960:eng</t>
  </si>
  <si>
    <t>46764144</t>
  </si>
  <si>
    <t>991003531459702656</t>
  </si>
  <si>
    <t>2267364050002656</t>
  </si>
  <si>
    <t>9780942054132</t>
  </si>
  <si>
    <t>32285004325733</t>
  </si>
  <si>
    <t>893617437</t>
  </si>
  <si>
    <t>HV4999.Y68 A43 1985</t>
  </si>
  <si>
    <t>0                      HV 4999000Y  68                 A  43          1985</t>
  </si>
  <si>
    <t>Alcohol and substance abuse in adolescence / Judith S. Brook, Dan J. Lettieri, David W. Brook, guest editors ; Barry Stimmel, editor.</t>
  </si>
  <si>
    <t>New York : Haworth Press, c1985.</t>
  </si>
  <si>
    <t>1990-03-13</t>
  </si>
  <si>
    <t>429557806:eng</t>
  </si>
  <si>
    <t>11599455</t>
  </si>
  <si>
    <t>991000562709702656</t>
  </si>
  <si>
    <t>2261462440002656</t>
  </si>
  <si>
    <t>9780866563338</t>
  </si>
  <si>
    <t>32285000085273</t>
  </si>
  <si>
    <t>893871783</t>
  </si>
  <si>
    <t>HV5020 .W35 2002</t>
  </si>
  <si>
    <t>0                      HV 5020000W  35          2002</t>
  </si>
  <si>
    <t>Out of it : a cultural history of intoxication / Stuart Walton.</t>
  </si>
  <si>
    <t>Walton, Stuart.</t>
  </si>
  <si>
    <t>New York : Harmony Books, c2002.</t>
  </si>
  <si>
    <t>1st American ed.</t>
  </si>
  <si>
    <t>2007-03-30</t>
  </si>
  <si>
    <t>2002-11-18</t>
  </si>
  <si>
    <t>753468:eng</t>
  </si>
  <si>
    <t>50184840</t>
  </si>
  <si>
    <t>991003933599702656</t>
  </si>
  <si>
    <t>2272174590002656</t>
  </si>
  <si>
    <t>9780609610442</t>
  </si>
  <si>
    <t>32285004663661</t>
  </si>
  <si>
    <t>893429459</t>
  </si>
  <si>
    <t>HV5035 .C36 1975</t>
  </si>
  <si>
    <t>0                      HV 5035000C  36          1975</t>
  </si>
  <si>
    <t>Alcohol, use, nonuse, and abuse / Charles R. Carroll.</t>
  </si>
  <si>
    <t>Carroll, Charles R.</t>
  </si>
  <si>
    <t>Dubuque, Iowa : W. C. Brown Co., c1975, 1982 printing.</t>
  </si>
  <si>
    <t>Contemporary topics in health science series</t>
  </si>
  <si>
    <t>2005-11-29</t>
  </si>
  <si>
    <t>1990-03-12</t>
  </si>
  <si>
    <t>1230281:eng</t>
  </si>
  <si>
    <t>1323905</t>
  </si>
  <si>
    <t>991003693339702656</t>
  </si>
  <si>
    <t>2256441000002656</t>
  </si>
  <si>
    <t>9780697073457</t>
  </si>
  <si>
    <t>32285000065721</t>
  </si>
  <si>
    <t>893429091</t>
  </si>
  <si>
    <t>HV5035 .C63 1983</t>
  </si>
  <si>
    <t>0                      HV 5035000C  63          1983</t>
  </si>
  <si>
    <t>The alcoholism problems : selected issues / Sidney Cohen.</t>
  </si>
  <si>
    <t>Cohen, Sidney, 1939-</t>
  </si>
  <si>
    <t>New York : Haworth Press, c1983.</t>
  </si>
  <si>
    <t>2005-10-25</t>
  </si>
  <si>
    <t>309075746:eng</t>
  </si>
  <si>
    <t>9283180</t>
  </si>
  <si>
    <t>991000165589702656</t>
  </si>
  <si>
    <t>2261674700002656</t>
  </si>
  <si>
    <t>9780866561792</t>
  </si>
  <si>
    <t>32285000085281</t>
  </si>
  <si>
    <t>893339349</t>
  </si>
  <si>
    <t>HV5035 .P54</t>
  </si>
  <si>
    <t>0                      HV 5035000P  54</t>
  </si>
  <si>
    <t>Alcoholism / edited by David J. Pittman.</t>
  </si>
  <si>
    <t>Pittman, David J. (David Joshua), 1927-, compiler.</t>
  </si>
  <si>
    <t>New York : Harper &amp; Row, [1967]</t>
  </si>
  <si>
    <t>Readers in social problems</t>
  </si>
  <si>
    <t>2003-11-20</t>
  </si>
  <si>
    <t>1990-11-19</t>
  </si>
  <si>
    <t>1146163:eng</t>
  </si>
  <si>
    <t>494161</t>
  </si>
  <si>
    <t>991002862279702656</t>
  </si>
  <si>
    <t>2255610240002656</t>
  </si>
  <si>
    <t>32285000397454</t>
  </si>
  <si>
    <t>893341954</t>
  </si>
  <si>
    <t>HV5035 .R9</t>
  </si>
  <si>
    <t>0                      HV 5035000R  9</t>
  </si>
  <si>
    <t>Alcohol problems and alcoholism : a comprehensive survey / James E. Royce.</t>
  </si>
  <si>
    <t>Royce, James E.</t>
  </si>
  <si>
    <t>1990-01-29</t>
  </si>
  <si>
    <t>21797926:eng</t>
  </si>
  <si>
    <t>7597683</t>
  </si>
  <si>
    <t>991005139959702656</t>
  </si>
  <si>
    <t>2254801130002656</t>
  </si>
  <si>
    <t>9780029275405</t>
  </si>
  <si>
    <t>32285000036763</t>
  </si>
  <si>
    <t>893719854</t>
  </si>
  <si>
    <t>HV5050 .B83</t>
  </si>
  <si>
    <t>0                      HV 5050000B  83</t>
  </si>
  <si>
    <t>The impact of alcoholism / by Steven F. Bucky and Richard Boyatzis [et al.] --</t>
  </si>
  <si>
    <t>Bucky, Steven F.</t>
  </si>
  <si>
    <t>Center City, Mn. : Hazelden, 1978.</t>
  </si>
  <si>
    <t>1996-02-01</t>
  </si>
  <si>
    <t>14763208:eng</t>
  </si>
  <si>
    <t>4492984</t>
  </si>
  <si>
    <t>991004617529702656</t>
  </si>
  <si>
    <t>2259768460002656</t>
  </si>
  <si>
    <t>9780894860447</t>
  </si>
  <si>
    <t>32285002120557</t>
  </si>
  <si>
    <t>893694133</t>
  </si>
  <si>
    <t>HV5089 .C43</t>
  </si>
  <si>
    <t>0                      HV 5089000C  43</t>
  </si>
  <si>
    <t>The evolution of prohibition in the United States of America; a chronological history of the liquor problem and the temperance reform in the United States from the earliest settlements to the consummation of national prohibition, by Ernest H. Cherrington ...</t>
  </si>
  <si>
    <t>Cherrington, Ernest Hurst, 1877-1950.</t>
  </si>
  <si>
    <t>Westerville, O., The American issue press [1920]</t>
  </si>
  <si>
    <t>1920</t>
  </si>
  <si>
    <t>2001-03-26</t>
  </si>
  <si>
    <t>5090486988:eng</t>
  </si>
  <si>
    <t>1489867</t>
  </si>
  <si>
    <t>991003778799702656</t>
  </si>
  <si>
    <t>2257955330002656</t>
  </si>
  <si>
    <t>32285003157491</t>
  </si>
  <si>
    <t>893592883</t>
  </si>
  <si>
    <t>HV5089 .C68</t>
  </si>
  <si>
    <t>0                      HV 5089000C  68</t>
  </si>
  <si>
    <t>Prohibition in the United States; a history of the Prohibition party, and of the prohibition movement, by D. Leigh Colvin, PH.D.</t>
  </si>
  <si>
    <t>Colvin, D. Leigh (David Leigh), 1880-</t>
  </si>
  <si>
    <t>New York, George H. Doran company [c1926]</t>
  </si>
  <si>
    <t>1926</t>
  </si>
  <si>
    <t>2000-02-27</t>
  </si>
  <si>
    <t>2157115:eng</t>
  </si>
  <si>
    <t>1196368</t>
  </si>
  <si>
    <t>991003613819702656</t>
  </si>
  <si>
    <t>2259698380002656</t>
  </si>
  <si>
    <t>32285003157517</t>
  </si>
  <si>
    <t>893793815</t>
  </si>
  <si>
    <t>HV5089 .F615 1927</t>
  </si>
  <si>
    <t>0                      HV 5089000F  615         1927</t>
  </si>
  <si>
    <t>Prohibition at its worst / by Irving Fisher. Special ed. printed for the Intercollegiate prohibition association, Washington, D. C.</t>
  </si>
  <si>
    <t>Fisher, Irving, 1867-1947.</t>
  </si>
  <si>
    <t>New York, N. Y. : Alcohol information committee, 1927.</t>
  </si>
  <si>
    <t>1927</t>
  </si>
  <si>
    <t>Rev., 5th ed.</t>
  </si>
  <si>
    <t>2003-11-16</t>
  </si>
  <si>
    <t>2174746:eng</t>
  </si>
  <si>
    <t>1487429</t>
  </si>
  <si>
    <t>991003777579702656</t>
  </si>
  <si>
    <t>2259204010002656</t>
  </si>
  <si>
    <t>32285001689123</t>
  </si>
  <si>
    <t>893330790</t>
  </si>
  <si>
    <t>HV5089 .F617</t>
  </si>
  <si>
    <t>0                      HV 5089000F  617</t>
  </si>
  <si>
    <t>Prohibition still at its worst / by Irving Fisher assisted by H. Bruce Brougham.</t>
  </si>
  <si>
    <t>New York : Alcohol information committee, 1928.</t>
  </si>
  <si>
    <t>1928</t>
  </si>
  <si>
    <t>2007-12-11</t>
  </si>
  <si>
    <t>1992-05-07</t>
  </si>
  <si>
    <t>3768590112:eng</t>
  </si>
  <si>
    <t>2292407</t>
  </si>
  <si>
    <t>991004068649702656</t>
  </si>
  <si>
    <t>2265186740002656</t>
  </si>
  <si>
    <t>32285001094548</t>
  </si>
  <si>
    <t>893593229</t>
  </si>
  <si>
    <t>HV5089 .K95</t>
  </si>
  <si>
    <t>0                      HV 5089000K  95</t>
  </si>
  <si>
    <t>Repealing national prohibition / David E. Kyvig.</t>
  </si>
  <si>
    <t>Kyvig, David E.</t>
  </si>
  <si>
    <t>1992-05-05</t>
  </si>
  <si>
    <t>53078:eng</t>
  </si>
  <si>
    <t>4983340</t>
  </si>
  <si>
    <t>991004758649702656</t>
  </si>
  <si>
    <t>2265878940002656</t>
  </si>
  <si>
    <t>9780226466415</t>
  </si>
  <si>
    <t>32285001094530</t>
  </si>
  <si>
    <t>893507200</t>
  </si>
  <si>
    <t>HV5089 .M53 1969</t>
  </si>
  <si>
    <t>0                      HV 5089000M  53          1969</t>
  </si>
  <si>
    <t>The dry decade / with a new introd. by the author.</t>
  </si>
  <si>
    <t>Merz, Charles, 1893-1977.</t>
  </si>
  <si>
    <t>Seattle : University of Washington Press, [1969, c1931]</t>
  </si>
  <si>
    <t>wau</t>
  </si>
  <si>
    <t>Americana library ; 13</t>
  </si>
  <si>
    <t>2005-02-07</t>
  </si>
  <si>
    <t>1990-04-02</t>
  </si>
  <si>
    <t>1170285:eng</t>
  </si>
  <si>
    <t>51205</t>
  </si>
  <si>
    <t>991000123929702656</t>
  </si>
  <si>
    <t>2258523990002656</t>
  </si>
  <si>
    <t>32285000100270</t>
  </si>
  <si>
    <t>893626211</t>
  </si>
  <si>
    <t>HV5089 .T55 1963</t>
  </si>
  <si>
    <t>0                      HV 5089000T  55          1963</t>
  </si>
  <si>
    <t>Prohibition and the progressive movement, 1900-1920 / [by] James H. Timberlake.</t>
  </si>
  <si>
    <t>Timberlake, James H.</t>
  </si>
  <si>
    <t>Cambridge : Harvard University Press, 1963.</t>
  </si>
  <si>
    <t>2005-11-03</t>
  </si>
  <si>
    <t>1994-05-11</t>
  </si>
  <si>
    <t>1380101:eng</t>
  </si>
  <si>
    <t>264524</t>
  </si>
  <si>
    <t>991002080509702656</t>
  </si>
  <si>
    <t>2268217740002656</t>
  </si>
  <si>
    <t>32285001910453</t>
  </si>
  <si>
    <t>893691189</t>
  </si>
  <si>
    <t>HV5090.M5 E53</t>
  </si>
  <si>
    <t>0                      HV 5090000M  5                  E  53</t>
  </si>
  <si>
    <t>Intemperance, the lost war against liquor / Larry Engelmann.</t>
  </si>
  <si>
    <t>Engelmann, Larry.</t>
  </si>
  <si>
    <t>1992-04-22</t>
  </si>
  <si>
    <t>400481:eng</t>
  </si>
  <si>
    <t>4933159</t>
  </si>
  <si>
    <t>991004750109702656</t>
  </si>
  <si>
    <t>2268938060002656</t>
  </si>
  <si>
    <t>9780029095201</t>
  </si>
  <si>
    <t>32285001064491</t>
  </si>
  <si>
    <t>893229782</t>
  </si>
  <si>
    <t>HV5125 .G7</t>
  </si>
  <si>
    <t>0                      HV 5125000G  7</t>
  </si>
  <si>
    <t>Procedures and resource materials for developing a campus alcohol abuse prevention program : a tested model / Gerardo M. Gonzalez.</t>
  </si>
  <si>
    <t>Gonzalez, Gerardo M.</t>
  </si>
  <si>
    <t>Gainesville, Fl. : University of Florida, 1978.</t>
  </si>
  <si>
    <t>1995-11-20</t>
  </si>
  <si>
    <t>1992-02-07</t>
  </si>
  <si>
    <t>16618042:eng</t>
  </si>
  <si>
    <t>5277497</t>
  </si>
  <si>
    <t>991004811069702656</t>
  </si>
  <si>
    <t>2256823800002656</t>
  </si>
  <si>
    <t>32285000950716</t>
  </si>
  <si>
    <t>893889318</t>
  </si>
  <si>
    <t>HV5128.U5 T68 1987</t>
  </si>
  <si>
    <t>0                      HV 5128000U  5                  T  68          1987</t>
  </si>
  <si>
    <t>Student drug and alcohol abuse / by Richard L. Towers.</t>
  </si>
  <si>
    <t>Towers, Richard L.</t>
  </si>
  <si>
    <t>Washington, D.C. : NEA Professional Library, National Education Association, c1987.</t>
  </si>
  <si>
    <t>How schools can help combat</t>
  </si>
  <si>
    <t>1076026:eng</t>
  </si>
  <si>
    <t>13861389</t>
  </si>
  <si>
    <t>991000886499702656</t>
  </si>
  <si>
    <t>2262352390002656</t>
  </si>
  <si>
    <t>9780810632912</t>
  </si>
  <si>
    <t>32285000950708</t>
  </si>
  <si>
    <t>893321445</t>
  </si>
  <si>
    <t>HV5132 .C473 1987b</t>
  </si>
  <si>
    <t>0                      HV 5132000C  473         1987b</t>
  </si>
  <si>
    <t>Children of alcoholics / guest editor, Margaret Bean-Bayog ; editor, Barry Stimmel.</t>
  </si>
  <si>
    <t>New York : Haworth Press, c1987.</t>
  </si>
  <si>
    <t>2010-02-13</t>
  </si>
  <si>
    <t>1990-02-05</t>
  </si>
  <si>
    <t>363806709:eng</t>
  </si>
  <si>
    <t>16649373</t>
  </si>
  <si>
    <t>991001126659702656</t>
  </si>
  <si>
    <t>2266258840002656</t>
  </si>
  <si>
    <t>9780866566858</t>
  </si>
  <si>
    <t>32285000006097</t>
  </si>
  <si>
    <t>893438900</t>
  </si>
  <si>
    <t>HV5132 .C48 1983</t>
  </si>
  <si>
    <t>0                      HV 5132000C  48          1983</t>
  </si>
  <si>
    <t>Children of exceptional parents / edited by Mary Frank.</t>
  </si>
  <si>
    <t>The Journal of children in contemporary society ; v. 15, no. 1</t>
  </si>
  <si>
    <t>1998-05-06</t>
  </si>
  <si>
    <t>1990-03-19</t>
  </si>
  <si>
    <t>152292889:eng</t>
  </si>
  <si>
    <t>9155015</t>
  </si>
  <si>
    <t>991000141109702656</t>
  </si>
  <si>
    <t>2266213730002656</t>
  </si>
  <si>
    <t>9780917724961</t>
  </si>
  <si>
    <t>32285000086313</t>
  </si>
  <si>
    <t>893527842</t>
  </si>
  <si>
    <t>HV5132 .F67 1980</t>
  </si>
  <si>
    <t>0                      HV 5132000F  67          1980</t>
  </si>
  <si>
    <t>How to live with a problem drinker and survive / Gary G. Forrest.</t>
  </si>
  <si>
    <t>Forrest, Gary G.</t>
  </si>
  <si>
    <t>New York : Atheneum, 1980.</t>
  </si>
  <si>
    <t>2008-10-20</t>
  </si>
  <si>
    <t>1990-07-06</t>
  </si>
  <si>
    <t>7555441:eng</t>
  </si>
  <si>
    <t>6142997</t>
  </si>
  <si>
    <t>991004935979702656</t>
  </si>
  <si>
    <t>2261470520002656</t>
  </si>
  <si>
    <t>9780689110382</t>
  </si>
  <si>
    <t>32285000225523</t>
  </si>
  <si>
    <t>893248134</t>
  </si>
  <si>
    <t>HV5132 .G76 1986</t>
  </si>
  <si>
    <t>0                      HV 5132000G  76          1986</t>
  </si>
  <si>
    <t>Growing in the shadow : children of alcoholics / edited by Robert J. Ackerman ; with contributions by 21 leading national authorities.</t>
  </si>
  <si>
    <t>Pompano Beach, Fla. : Health Communications, c1986.</t>
  </si>
  <si>
    <t>2003-03-28</t>
  </si>
  <si>
    <t>905848641:eng</t>
  </si>
  <si>
    <t>14509503</t>
  </si>
  <si>
    <t>991000943999702656</t>
  </si>
  <si>
    <t>2264398870002656</t>
  </si>
  <si>
    <t>9780932194329</t>
  </si>
  <si>
    <t>32285000052596</t>
  </si>
  <si>
    <t>893444523</t>
  </si>
  <si>
    <t>HV5132 .L37 1987</t>
  </si>
  <si>
    <t>0                      HV 5132000L  37          1987</t>
  </si>
  <si>
    <t>Stage II relationships : love beyond addiction / Earnie Larsen.</t>
  </si>
  <si>
    <t>Larsen, Earnest.</t>
  </si>
  <si>
    <t>San Francisco : HarperSanFrancisco, c1987.</t>
  </si>
  <si>
    <t>2002-11-19</t>
  </si>
  <si>
    <t>8599341:eng</t>
  </si>
  <si>
    <t>15018314</t>
  </si>
  <si>
    <t>991003933739702656</t>
  </si>
  <si>
    <t>2265520880002656</t>
  </si>
  <si>
    <t>9780062548085</t>
  </si>
  <si>
    <t>32285004664560</t>
  </si>
  <si>
    <t>893525441</t>
  </si>
  <si>
    <t>HV5132 .R67 1985</t>
  </si>
  <si>
    <t>0                      HV 5132000R  67          1985</t>
  </si>
  <si>
    <t>Of course you're angry / by Gayle Rosellini and Mark Worden.</t>
  </si>
  <si>
    <t>Rosellini, Gayle.</t>
  </si>
  <si>
    <t>San Francisco : Harper/Hazelden, 1985.</t>
  </si>
  <si>
    <t>1994-06-02</t>
  </si>
  <si>
    <t>9738118682:eng</t>
  </si>
  <si>
    <t>16278192</t>
  </si>
  <si>
    <t>991001098759702656</t>
  </si>
  <si>
    <t>2263583180002656</t>
  </si>
  <si>
    <t>9780894863332</t>
  </si>
  <si>
    <t>32285001915502</t>
  </si>
  <si>
    <t>893772307</t>
  </si>
  <si>
    <t>HV5182 .R43 1989</t>
  </si>
  <si>
    <t>0                      HV 5182000R  43          1989</t>
  </si>
  <si>
    <t>The Biblical approach to alcohol / by Stephen M. Reynolds.</t>
  </si>
  <si>
    <t>Reynolds, Stephen M.</t>
  </si>
  <si>
    <t>Princeton, NJ : Princeton University Press, [1989?]</t>
  </si>
  <si>
    <t>2002-06-18</t>
  </si>
  <si>
    <t>6058268:eng</t>
  </si>
  <si>
    <t>21728723</t>
  </si>
  <si>
    <t>991003828059702656</t>
  </si>
  <si>
    <t>2259463130002656</t>
  </si>
  <si>
    <t>32285004494968</t>
  </si>
  <si>
    <t>893794103</t>
  </si>
  <si>
    <t>HV5232.N3 G73 2001</t>
  </si>
  <si>
    <t>0                      HV 5232000N  3                  G  73          2001</t>
  </si>
  <si>
    <t>Carry A. Nation : retelling the life / Fran Grace.</t>
  </si>
  <si>
    <t>Grace, Fran.</t>
  </si>
  <si>
    <t>Bloomington : Indiana University Press, c2001.</t>
  </si>
  <si>
    <t>Religion in North America ; v. 29</t>
  </si>
  <si>
    <t>2001-10-01</t>
  </si>
  <si>
    <t>1956633:eng</t>
  </si>
  <si>
    <t>44868996</t>
  </si>
  <si>
    <t>991003610589702656</t>
  </si>
  <si>
    <t>2258537460002656</t>
  </si>
  <si>
    <t>9780253338464</t>
  </si>
  <si>
    <t>32285004393160</t>
  </si>
  <si>
    <t>893868622</t>
  </si>
  <si>
    <t>HV525 .G72 1998</t>
  </si>
  <si>
    <t>0                      HV 0525000G  72          1998</t>
  </si>
  <si>
    <t>Private markets for public goods : raising the stakes in economic reform / Carol Graham.</t>
  </si>
  <si>
    <t>Graham, Carol, 1962-</t>
  </si>
  <si>
    <t>Washington, D.C. : Brookings Institution Press, c1998.</t>
  </si>
  <si>
    <t>2000-05-03</t>
  </si>
  <si>
    <t>1998-07-20</t>
  </si>
  <si>
    <t>800003716:eng</t>
  </si>
  <si>
    <t>39051835</t>
  </si>
  <si>
    <t>991002936089702656</t>
  </si>
  <si>
    <t>2255154590002656</t>
  </si>
  <si>
    <t>9780815710257</t>
  </si>
  <si>
    <t>32285003433108</t>
  </si>
  <si>
    <t>893780417</t>
  </si>
  <si>
    <t>HV525 .G73 1994</t>
  </si>
  <si>
    <t>0                      HV 0525000G  73          1994</t>
  </si>
  <si>
    <t>Safety nets, politics, and the poor : transitions to market economies / Carol Graham.</t>
  </si>
  <si>
    <t>Washington, D.C. : Brookings Institution, c1994.</t>
  </si>
  <si>
    <t>2005-11-14</t>
  </si>
  <si>
    <t>1994-11-17</t>
  </si>
  <si>
    <t>889890769:eng</t>
  </si>
  <si>
    <t>29703252</t>
  </si>
  <si>
    <t>991002291939702656</t>
  </si>
  <si>
    <t>2261716530002656</t>
  </si>
  <si>
    <t>9780815732280</t>
  </si>
  <si>
    <t>32285001971174</t>
  </si>
  <si>
    <t>893352241</t>
  </si>
  <si>
    <t>HV525 .S54 2001</t>
  </si>
  <si>
    <t>0                      HV 0525000S  54          2001</t>
  </si>
  <si>
    <t>Shielding the poor : social protection in the developing world / Nora Lustig, editor.</t>
  </si>
  <si>
    <t>Washington, D.C. : Brookings Institution Press : Inter-American Development Bank, 2001.</t>
  </si>
  <si>
    <t>2005-10-05</t>
  </si>
  <si>
    <t>2001-03-28</t>
  </si>
  <si>
    <t>837045578:eng</t>
  </si>
  <si>
    <t>44634240</t>
  </si>
  <si>
    <t>991003517809702656</t>
  </si>
  <si>
    <t>2257224500002656</t>
  </si>
  <si>
    <t>9780815753216</t>
  </si>
  <si>
    <t>32285004308382</t>
  </si>
  <si>
    <t>893617419</t>
  </si>
  <si>
    <t>HV5275 .S35</t>
  </si>
  <si>
    <t>0                      HV 5275000S  35</t>
  </si>
  <si>
    <t>Social class and the treatment of alcoholism : an investigation of social class as a determinant of diagnosis, prognosis, and therapy / [by] Wolfgang Schmidt, Reginald G. Smart [and] Marcia K. Moss.</t>
  </si>
  <si>
    <t>Schmidt, Wolfgang, 1923-</t>
  </si>
  <si>
    <t>[Toronto] : Published for the Addiction Research Foundation by University of Toronto P., [1968]</t>
  </si>
  <si>
    <t>Brookside monographs ; no. 7</t>
  </si>
  <si>
    <t>2000-09-13</t>
  </si>
  <si>
    <t>422712796:eng</t>
  </si>
  <si>
    <t>264414</t>
  </si>
  <si>
    <t>991002080389702656</t>
  </si>
  <si>
    <t>2268296450002656</t>
  </si>
  <si>
    <t>32285000397488</t>
  </si>
  <si>
    <t>893256851</t>
  </si>
  <si>
    <t>HV5275 .S55 2008</t>
  </si>
  <si>
    <t>0                      HV 5275000S  55          2008</t>
  </si>
  <si>
    <t>Get up : a 12-step guide to recovery for misfits, freaks, &amp; weirdos / Bucky Sinister.</t>
  </si>
  <si>
    <t>Sinister, Bucky, 1969-</t>
  </si>
  <si>
    <t>San Francisco, CA : Conari Press, c2008.</t>
  </si>
  <si>
    <t>2008-11-17</t>
  </si>
  <si>
    <t>287170537:eng</t>
  </si>
  <si>
    <t>213856842</t>
  </si>
  <si>
    <t>991005273649702656</t>
  </si>
  <si>
    <t>2266216200002656</t>
  </si>
  <si>
    <t>9781573243667</t>
  </si>
  <si>
    <t>32285005466395</t>
  </si>
  <si>
    <t>893332694</t>
  </si>
  <si>
    <t>HV5275 .S665 2006</t>
  </si>
  <si>
    <t>0                      HV 5275000S  665         2006</t>
  </si>
  <si>
    <t>Spirituality and religiousness and alcohol/other drug problems : treatment and recovery perspectives / Brent B. Benda, Thomas F. McGovern, editors.</t>
  </si>
  <si>
    <t>2008-10-27</t>
  </si>
  <si>
    <t>47368779:eng</t>
  </si>
  <si>
    <t>63179045</t>
  </si>
  <si>
    <t>991005270499702656</t>
  </si>
  <si>
    <t>2259134940002656</t>
  </si>
  <si>
    <t>9780789032997</t>
  </si>
  <si>
    <t>32285005464457</t>
  </si>
  <si>
    <t>893320354</t>
  </si>
  <si>
    <t>HV5276 .M53</t>
  </si>
  <si>
    <t>0                      HV 5276000M  53</t>
  </si>
  <si>
    <t>Alternatives to alcohol abuse : a social learning model / Peter M. Miller, Marie A. Mastria. --</t>
  </si>
  <si>
    <t>Miller, Peter M. (Peter Michael), 1942-</t>
  </si>
  <si>
    <t>Champaign, Ill. : Research Press Co., c1977.</t>
  </si>
  <si>
    <t>1990-02-23</t>
  </si>
  <si>
    <t>424276097:eng</t>
  </si>
  <si>
    <t>2896910</t>
  </si>
  <si>
    <t>991004277759702656</t>
  </si>
  <si>
    <t>2258565540002656</t>
  </si>
  <si>
    <t>9780878221332</t>
  </si>
  <si>
    <t>32285000061134</t>
  </si>
  <si>
    <t>893353312</t>
  </si>
  <si>
    <t>HV5278.A78 G4</t>
  </si>
  <si>
    <t>0                      HV 5278000A  78                 G  4</t>
  </si>
  <si>
    <t>The sober alcoholic : an organizational analysis of Alcoholics Anonymous.</t>
  </si>
  <si>
    <t>Gellman, Irving Peter, 1923-1971.</t>
  </si>
  <si>
    <t>New Haven : College and University Press, [1964]</t>
  </si>
  <si>
    <t>1994-06-23</t>
  </si>
  <si>
    <t>1990-10-22</t>
  </si>
  <si>
    <t>1586673:eng</t>
  </si>
  <si>
    <t>493510</t>
  </si>
  <si>
    <t>991002861579702656</t>
  </si>
  <si>
    <t>2255008420002656</t>
  </si>
  <si>
    <t>32285000351113</t>
  </si>
  <si>
    <t>893805149</t>
  </si>
  <si>
    <t>HV5292 .C32</t>
  </si>
  <si>
    <t>0                      HV 5292000C  32</t>
  </si>
  <si>
    <t>Problem drinkers.</t>
  </si>
  <si>
    <t>Cahalan, Don.</t>
  </si>
  <si>
    <t>San Francisco : Jossey-Bass, [1970]</t>
  </si>
  <si>
    <t>[1st ed.]</t>
  </si>
  <si>
    <t>The Jossey-Bass behavioral science series</t>
  </si>
  <si>
    <t>2000-10-06</t>
  </si>
  <si>
    <t>1171767:eng</t>
  </si>
  <si>
    <t>101521</t>
  </si>
  <si>
    <t>991000615269702656</t>
  </si>
  <si>
    <t>2261312430002656</t>
  </si>
  <si>
    <t>9780875890807</t>
  </si>
  <si>
    <t>32285000351121</t>
  </si>
  <si>
    <t>893714743</t>
  </si>
  <si>
    <t>HV5292 .L4 1987</t>
  </si>
  <si>
    <t>0                      HV 5292000L  4           1987</t>
  </si>
  <si>
    <t>Drinking in America : a history / by Mark Edward Lender, James Kirby Martin.</t>
  </si>
  <si>
    <t>Lender, Mark Edward, 1947-</t>
  </si>
  <si>
    <t>New York : Free Press ; London : Collier Macmillan, c1987.</t>
  </si>
  <si>
    <t>The rev. and expanded ed.</t>
  </si>
  <si>
    <t>2007-08-13</t>
  </si>
  <si>
    <t>887584:eng</t>
  </si>
  <si>
    <t>15108769</t>
  </si>
  <si>
    <t>991000992179702656</t>
  </si>
  <si>
    <t>2267460920002656</t>
  </si>
  <si>
    <t>9780029185704</t>
  </si>
  <si>
    <t>32285001595791</t>
  </si>
  <si>
    <t>893346153</t>
  </si>
  <si>
    <t>HV5292 .P47 2003</t>
  </si>
  <si>
    <t>0                      HV 5292000P  47          2003</t>
  </si>
  <si>
    <t>A nation under the influence : America's addiction to alcohol / J. Vincent Peterson, Bernard Nisenholz, Gary Robinson.</t>
  </si>
  <si>
    <t>Peterson, J. Vincent.</t>
  </si>
  <si>
    <t>2009-11-23</t>
  </si>
  <si>
    <t>796385751:eng</t>
  </si>
  <si>
    <t>48053907</t>
  </si>
  <si>
    <t>991004232669702656</t>
  </si>
  <si>
    <t>2268420580002656</t>
  </si>
  <si>
    <t>9780205327140</t>
  </si>
  <si>
    <t>32285004639737</t>
  </si>
  <si>
    <t>893722340</t>
  </si>
  <si>
    <t>HV5292 .S83</t>
  </si>
  <si>
    <t>0                      HV 5292000S  83</t>
  </si>
  <si>
    <t>Drinking in college [by] Robert Straus and Selden D. Bacon.</t>
  </si>
  <si>
    <t>Straus, Robert.</t>
  </si>
  <si>
    <t>New Haven, Yale University Press, 1953.</t>
  </si>
  <si>
    <t>1953</t>
  </si>
  <si>
    <t>2005-04-11</t>
  </si>
  <si>
    <t>1256225:eng</t>
  </si>
  <si>
    <t>501137</t>
  </si>
  <si>
    <t>991002873369702656</t>
  </si>
  <si>
    <t>2256747010002656</t>
  </si>
  <si>
    <t>32285003157624</t>
  </si>
  <si>
    <t>893341968</t>
  </si>
  <si>
    <t>HV5293.K53 A3 1997</t>
  </si>
  <si>
    <t>0                      HV 5293000K  53                 A  3           1997</t>
  </si>
  <si>
    <t>Drinking : a love story / Caroline Knapp.</t>
  </si>
  <si>
    <t>Knapp, Caroline, 1959-2002.</t>
  </si>
  <si>
    <t>New York : Dell Pub., 1997.</t>
  </si>
  <si>
    <t>2008-02-27</t>
  </si>
  <si>
    <t>2002-11-14</t>
  </si>
  <si>
    <t>24130861:eng</t>
  </si>
  <si>
    <t>37304044</t>
  </si>
  <si>
    <t>991003944169702656</t>
  </si>
  <si>
    <t>2255318650002656</t>
  </si>
  <si>
    <t>9780385315548</t>
  </si>
  <si>
    <t>32285004663836</t>
  </si>
  <si>
    <t>893263027</t>
  </si>
  <si>
    <t>HV5296 .F8</t>
  </si>
  <si>
    <t>0                      HV 5296000F  8</t>
  </si>
  <si>
    <t>Alcohol: our biggest drug problem.</t>
  </si>
  <si>
    <t>Fort, Joel, 1929-</t>
  </si>
  <si>
    <t>New York, McGraw-Hill [1973]</t>
  </si>
  <si>
    <t>McGraw-Hill series in education</t>
  </si>
  <si>
    <t>2004-11-10</t>
  </si>
  <si>
    <t>1991-12-20</t>
  </si>
  <si>
    <t>1909106096:eng</t>
  </si>
  <si>
    <t>524142</t>
  </si>
  <si>
    <t>991002916259702656</t>
  </si>
  <si>
    <t>2261321670002656</t>
  </si>
  <si>
    <t>9780070215986</t>
  </si>
  <si>
    <t>32285000908755</t>
  </si>
  <si>
    <t>893598055</t>
  </si>
  <si>
    <t>HV5298.N5 K36</t>
  </si>
  <si>
    <t>0                      HV 5298000N  5                  K  36</t>
  </si>
  <si>
    <t>Inner-city alcoholism : an ecological analysis and cross-cultural study / Geoffrey P. Kane.</t>
  </si>
  <si>
    <t>Kane, Geoffrey P., 1944-</t>
  </si>
  <si>
    <t>New York, N.Y. : Human Sciences Press, c1981.</t>
  </si>
  <si>
    <t>2005-04-25</t>
  </si>
  <si>
    <t>554909:eng</t>
  </si>
  <si>
    <t>7178655</t>
  </si>
  <si>
    <t>991005084219702656</t>
  </si>
  <si>
    <t>2267531730002656</t>
  </si>
  <si>
    <t>9780898850239</t>
  </si>
  <si>
    <t>32285000225663</t>
  </si>
  <si>
    <t>893895840</t>
  </si>
  <si>
    <t>HV530 .C36 2001</t>
  </si>
  <si>
    <t>0                      HV 0530000C  36          2001</t>
  </si>
  <si>
    <t>Can charitable choice work? : covering religions's impact on urban affairs and social services / edited by Andrew Walsh.</t>
  </si>
  <si>
    <t>Hartford, Conn. : The Pew Program on Religion and the News Media, Leonard E. Greenberg Center for the Study of Religion in Public Life, Trinity College, 2001.</t>
  </si>
  <si>
    <t>2002-01-15</t>
  </si>
  <si>
    <t>56763724:eng</t>
  </si>
  <si>
    <t>48566844</t>
  </si>
  <si>
    <t>991003706969702656</t>
  </si>
  <si>
    <t>2269779440002656</t>
  </si>
  <si>
    <t>9781931767026</t>
  </si>
  <si>
    <t>32285004448972</t>
  </si>
  <si>
    <t>893881456</t>
  </si>
  <si>
    <t>HV530 .C62 1999</t>
  </si>
  <si>
    <t>0                      HV 0530000C  62          1999</t>
  </si>
  <si>
    <t>The newer deal : social work and religion in partnership / Ram A. Cnaan with Robert J. Wineburg and Stephanie C. Boddie.</t>
  </si>
  <si>
    <t>Cnaan, Ram A.</t>
  </si>
  <si>
    <t>1063553:eng</t>
  </si>
  <si>
    <t>41361488</t>
  </si>
  <si>
    <t>991003313659702656</t>
  </si>
  <si>
    <t>2272251570002656</t>
  </si>
  <si>
    <t>9780231116244</t>
  </si>
  <si>
    <t>32285004266127</t>
  </si>
  <si>
    <t>893252246</t>
  </si>
  <si>
    <t>HV530 .D47 2006</t>
  </si>
  <si>
    <t>0                      HV 0530000D  47          2006</t>
  </si>
  <si>
    <t>Spiritually oriented social work practice / David S. Derezotes.</t>
  </si>
  <si>
    <t>Derezotes, David S.</t>
  </si>
  <si>
    <t>Boston, MA : Pearson/Allyn and Bacon, c2006.</t>
  </si>
  <si>
    <t>2006-09-06</t>
  </si>
  <si>
    <t>2006-05-24</t>
  </si>
  <si>
    <t>46245754:eng</t>
  </si>
  <si>
    <t>61704855</t>
  </si>
  <si>
    <t>991004680919702656</t>
  </si>
  <si>
    <t>2259808880002656</t>
  </si>
  <si>
    <t>9780205420407</t>
  </si>
  <si>
    <t>32285005189062</t>
  </si>
  <si>
    <t>893417870</t>
  </si>
  <si>
    <t>HV530 .F35 2006</t>
  </si>
  <si>
    <t>0                      HV 0530000F  35          2006</t>
  </si>
  <si>
    <t>Faith-based social services : measures, assessments, and effectiveness / Stephanie C. Boddie, Ram A. Cnaan, editors.</t>
  </si>
  <si>
    <t>New York : Haworth Pastoral Press, 2006.</t>
  </si>
  <si>
    <t>484497372:eng</t>
  </si>
  <si>
    <t>71778920</t>
  </si>
  <si>
    <t>991005269569702656</t>
  </si>
  <si>
    <t>2258747110002656</t>
  </si>
  <si>
    <t>9780789035233</t>
  </si>
  <si>
    <t>32285005464879</t>
  </si>
  <si>
    <t>893883597</t>
  </si>
  <si>
    <t>HV530 .F87 2010</t>
  </si>
  <si>
    <t>0                      HV 0530000F  87          2010</t>
  </si>
  <si>
    <t>Religion, belief and social work : making a difference / Sheila Furness and Philip Gilligan.</t>
  </si>
  <si>
    <t>Furness, Sheila.</t>
  </si>
  <si>
    <t>Bristol : Policy, c2010.</t>
  </si>
  <si>
    <t>Social work in practice series</t>
  </si>
  <si>
    <t>2010-11-11</t>
  </si>
  <si>
    <t>2010-10-13</t>
  </si>
  <si>
    <t>858018036:eng</t>
  </si>
  <si>
    <t>432408745</t>
  </si>
  <si>
    <t>991000178589702656</t>
  </si>
  <si>
    <t>2259010210002656</t>
  </si>
  <si>
    <t>9781861349811</t>
  </si>
  <si>
    <t>32285005600951</t>
  </si>
  <si>
    <t>893508583</t>
  </si>
  <si>
    <t>HV530 .S25 2001</t>
  </si>
  <si>
    <t>0                      HV 0530000S  25          2001</t>
  </si>
  <si>
    <t>Sacred places, civic purposes : should government help faith-based charity? / E.J. Dionne and Ming Hsu Chen, editors.</t>
  </si>
  <si>
    <t>Washington, D.C. : Brookings Institution Press, c2001.</t>
  </si>
  <si>
    <t>2002-02-11</t>
  </si>
  <si>
    <t>793898450:eng</t>
  </si>
  <si>
    <t>48144322</t>
  </si>
  <si>
    <t>991003733929702656</t>
  </si>
  <si>
    <t>2255513090002656</t>
  </si>
  <si>
    <t>9780815702597</t>
  </si>
  <si>
    <t>32285004453634</t>
  </si>
  <si>
    <t>893881482</t>
  </si>
  <si>
    <t>HV530 .S42 2001</t>
  </si>
  <si>
    <t>0                      HV 0530000S  42          2001</t>
  </si>
  <si>
    <t>Sharing the tradition, shaping the future : a faith sharing experience for Christian communities / Catholic Campaign for Human Development.</t>
  </si>
  <si>
    <t>Campaign for Human Development.</t>
  </si>
  <si>
    <t>Washington, D.C. : United States Conference of Catholic Bishops, c2001.</t>
  </si>
  <si>
    <t>Publication (United States Conference of Catholic Bishops) ; no. 5-451</t>
  </si>
  <si>
    <t>2005-03-02</t>
  </si>
  <si>
    <t>2001-09-19</t>
  </si>
  <si>
    <t>37312286:eng</t>
  </si>
  <si>
    <t>47978113</t>
  </si>
  <si>
    <t>991003631279702656</t>
  </si>
  <si>
    <t>2265062060002656</t>
  </si>
  <si>
    <t>9781574554519</t>
  </si>
  <si>
    <t>32285004392634</t>
  </si>
  <si>
    <t>893592711</t>
  </si>
  <si>
    <t>HV530 .S54 2002</t>
  </si>
  <si>
    <t>0                      HV 0530000S  54          2002</t>
  </si>
  <si>
    <t>Reinvigorating faith in communities / [Amy L. Sherman].</t>
  </si>
  <si>
    <t>Sherman, Amy L., 1965-</t>
  </si>
  <si>
    <t>Fishers, IN : Hudson Institute, c2002.</t>
  </si>
  <si>
    <t>2006-09-27</t>
  </si>
  <si>
    <t>2003-11-06</t>
  </si>
  <si>
    <t>1047225:eng</t>
  </si>
  <si>
    <t>49757652</t>
  </si>
  <si>
    <t>991004097679702656</t>
  </si>
  <si>
    <t>2267241360002656</t>
  </si>
  <si>
    <t>9781558133709</t>
  </si>
  <si>
    <t>32285004794771</t>
  </si>
  <si>
    <t>893411117</t>
  </si>
  <si>
    <t>HV530 .S56 2009</t>
  </si>
  <si>
    <t>0                      HV 0530000S  56          2009</t>
  </si>
  <si>
    <t>Social security in religious networks : anthropological perspectives on new risks and ambivalences / edited by Carolin Leutloff-Grandits, Anja Peleikis and Tatjana Thelen.</t>
  </si>
  <si>
    <t>New York : Berghahn Books, 2009.</t>
  </si>
  <si>
    <t>2010-10-11</t>
  </si>
  <si>
    <t>1011503277:eng</t>
  </si>
  <si>
    <t>230182621</t>
  </si>
  <si>
    <t>991000173109702656</t>
  </si>
  <si>
    <t>2256943470002656</t>
  </si>
  <si>
    <t>9781845455767</t>
  </si>
  <si>
    <t>32285005599955</t>
  </si>
  <si>
    <t>893890484</t>
  </si>
  <si>
    <t>HV530 .S67 1998</t>
  </si>
  <si>
    <t>0                      HV 0530000S  67          1998</t>
  </si>
  <si>
    <t>Spirituality in social work : new directions / Edward R. Canda, editor.</t>
  </si>
  <si>
    <t>New York : Haworth Pastoral Press, c1998.</t>
  </si>
  <si>
    <t>1998-08-25</t>
  </si>
  <si>
    <t>865161945:eng</t>
  </si>
  <si>
    <t>38853951</t>
  </si>
  <si>
    <t>991002923249702656</t>
  </si>
  <si>
    <t>2272587480002656</t>
  </si>
  <si>
    <t>9780789005151</t>
  </si>
  <si>
    <t>32285003461737</t>
  </si>
  <si>
    <t>893498715</t>
  </si>
  <si>
    <t>HV530 .W56 2001</t>
  </si>
  <si>
    <t>0                      HV 0530000W  56          2001</t>
  </si>
  <si>
    <t>A limited partnership : the politics of religion, welfare, and social service / Bob Wineburg.</t>
  </si>
  <si>
    <t>Wineburg, Robert J.</t>
  </si>
  <si>
    <t>New York : Columbia University Press, c2001.</t>
  </si>
  <si>
    <t>2001-10-14</t>
  </si>
  <si>
    <t>800267073:eng</t>
  </si>
  <si>
    <t>45058873</t>
  </si>
  <si>
    <t>991003625319702656</t>
  </si>
  <si>
    <t>2257157630002656</t>
  </si>
  <si>
    <t>9780231120845</t>
  </si>
  <si>
    <t>32285004396114</t>
  </si>
  <si>
    <t>893324275</t>
  </si>
  <si>
    <t>HV5303 .A58</t>
  </si>
  <si>
    <t>0                      HV 5303000A  58</t>
  </si>
  <si>
    <t>A decade of alcoholism research : a review of the research activities of the Alcoholism and Drug Addiction Research Foundation of Ontario, 1951-1961 / by Robert E. Popham &amp; Wolfgang Schmidt.</t>
  </si>
  <si>
    <t>Addiction Research Foundation of Ontario.</t>
  </si>
  <si>
    <t>Toronto : University of Toronto Press, 1962.</t>
  </si>
  <si>
    <t>1962</t>
  </si>
  <si>
    <t>Brookside monograph, no. 3</t>
  </si>
  <si>
    <t>4124390:eng</t>
  </si>
  <si>
    <t>2126550</t>
  </si>
  <si>
    <t>991004023099702656</t>
  </si>
  <si>
    <t>2271861860002656</t>
  </si>
  <si>
    <t>32285000848381</t>
  </si>
  <si>
    <t>893500006</t>
  </si>
  <si>
    <t>HV541 .W66 2010</t>
  </si>
  <si>
    <t>0                      HV 0541000W  66          2010</t>
  </si>
  <si>
    <t>Women in social work who have changed the world / edited by Alice Lieberman.</t>
  </si>
  <si>
    <t>Chicago, Ill. : Lyceum Books, c2010.</t>
  </si>
  <si>
    <t>316284756:eng</t>
  </si>
  <si>
    <t>429227359</t>
  </si>
  <si>
    <t>991005376089702656</t>
  </si>
  <si>
    <t>2267965030002656</t>
  </si>
  <si>
    <t>9781933478296</t>
  </si>
  <si>
    <t>32285005563829</t>
  </si>
  <si>
    <t>893254924</t>
  </si>
  <si>
    <t>HV544.5 .P424 2001</t>
  </si>
  <si>
    <t>0                      HV 0544500P  424         2001</t>
  </si>
  <si>
    <t>Peacebuilding as politics : cultivating peace in fragile societies / edited by Elizabeth M. Cousens and Chetan Kumar, with Karin Wermester.</t>
  </si>
  <si>
    <t>Boulder, Colo. : Lynne Rienner Publishers, 2001.</t>
  </si>
  <si>
    <t>2008-04-28</t>
  </si>
  <si>
    <t>2003-04-01</t>
  </si>
  <si>
    <t>836999682:eng</t>
  </si>
  <si>
    <t>44026386</t>
  </si>
  <si>
    <t>991004009889702656</t>
  </si>
  <si>
    <t>2266960470002656</t>
  </si>
  <si>
    <t>9781555879211</t>
  </si>
  <si>
    <t>32285004688635</t>
  </si>
  <si>
    <t>893429532</t>
  </si>
  <si>
    <t>HV5446 G74 2003</t>
  </si>
  <si>
    <t>0                      HV 5446000G  74          2003</t>
  </si>
  <si>
    <t>Drink and British politics since 1830 : a study in policy-making / John Greenaway.</t>
  </si>
  <si>
    <t>Greenaway, J. R.</t>
  </si>
  <si>
    <t>New York : Palgrave Macmillan, 2003.</t>
  </si>
  <si>
    <t>2005-08-02</t>
  </si>
  <si>
    <t>797221306:eng</t>
  </si>
  <si>
    <t>51818612</t>
  </si>
  <si>
    <t>991004544619702656</t>
  </si>
  <si>
    <t>2257447660002656</t>
  </si>
  <si>
    <t>9780333917824</t>
  </si>
  <si>
    <t>32285005098701</t>
  </si>
  <si>
    <t>893612490</t>
  </si>
  <si>
    <t>HV547 .L53</t>
  </si>
  <si>
    <t>0                      HV 0547000L  53</t>
  </si>
  <si>
    <t>Self-help groups for coping with crisis : origins, members, processes, and impact / by Morton A. Lieberman, Leonard D. Borman, and associates.</t>
  </si>
  <si>
    <t>Lieberman, Morton A., 1931-</t>
  </si>
  <si>
    <t>San Francisco : Jossey-Bass, c1979.</t>
  </si>
  <si>
    <t>2005-06-21</t>
  </si>
  <si>
    <t>1990-05-17</t>
  </si>
  <si>
    <t>796473933:eng</t>
  </si>
  <si>
    <t>5491383</t>
  </si>
  <si>
    <t>991004838589702656</t>
  </si>
  <si>
    <t>2268724940002656</t>
  </si>
  <si>
    <t>9780875894355</t>
  </si>
  <si>
    <t>32285000152651</t>
  </si>
  <si>
    <t>893782714</t>
  </si>
  <si>
    <t>HV547 .S59</t>
  </si>
  <si>
    <t>0                      HV 0547000S  59</t>
  </si>
  <si>
    <t>Mutual help groups : organization and development / Phyllis R. Silverman.</t>
  </si>
  <si>
    <t>Silverman, Phyllis R.</t>
  </si>
  <si>
    <t>Beverly Hills : Sage Publications, c1980.</t>
  </si>
  <si>
    <t>Sage human services guide ; 16</t>
  </si>
  <si>
    <t>1992-05-11</t>
  </si>
  <si>
    <t>1993-05-18</t>
  </si>
  <si>
    <t>24325008:eng</t>
  </si>
  <si>
    <t>6735763</t>
  </si>
  <si>
    <t>991001786919702656</t>
  </si>
  <si>
    <t>2268061680002656</t>
  </si>
  <si>
    <t>9780803915190</t>
  </si>
  <si>
    <t>32285001681948</t>
  </si>
  <si>
    <t>893529225</t>
  </si>
  <si>
    <t>HV551.2 .E457 2007</t>
  </si>
  <si>
    <t>0                      HV 0551200E  457         2007</t>
  </si>
  <si>
    <t>Emergency management : principles and practice for local government / edited by William L. Waugh Jr., Kathleen Tierney.</t>
  </si>
  <si>
    <t>Washington, D.C. : ICMA Press, c2007.</t>
  </si>
  <si>
    <t>An ICMA green book</t>
  </si>
  <si>
    <t>2595862350:eng</t>
  </si>
  <si>
    <t>174134158</t>
  </si>
  <si>
    <t>991005159919702656</t>
  </si>
  <si>
    <t>2271089920002656</t>
  </si>
  <si>
    <t>9780873267199</t>
  </si>
  <si>
    <t>32285005379135</t>
  </si>
  <si>
    <t>893795710</t>
  </si>
  <si>
    <t>HV551.2 .H25 2009</t>
  </si>
  <si>
    <t>0                      HV 0551200H  25          2009</t>
  </si>
  <si>
    <t>Disaster communications in a changing media world / by George D. Haddow and Kim S. Haddow.</t>
  </si>
  <si>
    <t>Haddow, George D.</t>
  </si>
  <si>
    <t>Burlington, MA : Butterworth-Heinemann, c2009.</t>
  </si>
  <si>
    <t>The Butterworth-Heinemann homeland security series</t>
  </si>
  <si>
    <t>2009-11-24</t>
  </si>
  <si>
    <t>2009-11-19</t>
  </si>
  <si>
    <t>141702938:eng</t>
  </si>
  <si>
    <t>243777605</t>
  </si>
  <si>
    <t>991005341639702656</t>
  </si>
  <si>
    <t>2260803530002656</t>
  </si>
  <si>
    <t>9781856175548</t>
  </si>
  <si>
    <t>32285005551709</t>
  </si>
  <si>
    <t>893431268</t>
  </si>
  <si>
    <t>HV551.2 .L24 2009</t>
  </si>
  <si>
    <t>0                      HV 0551200L  24          2009</t>
  </si>
  <si>
    <t>Leadership in unconventional crises : a transatlantic and cross-sector assessment / by Erwan Lagedec.</t>
  </si>
  <si>
    <t>Lagadec, Erwan, 1977-</t>
  </si>
  <si>
    <t>Washington, DC : Center for Transatlantic Relations, Paul H. Nitze School of Advanced International Studies, Johns Hopkins University, c2009.</t>
  </si>
  <si>
    <t>2010-12-16</t>
  </si>
  <si>
    <t>793252748:eng</t>
  </si>
  <si>
    <t>466432189</t>
  </si>
  <si>
    <t>991000386539702656</t>
  </si>
  <si>
    <t>2269962500002656</t>
  </si>
  <si>
    <t>9780984134106</t>
  </si>
  <si>
    <t>32285005651905</t>
  </si>
  <si>
    <t>893224944</t>
  </si>
  <si>
    <t>HV551.3 .B85 2008</t>
  </si>
  <si>
    <t>0                      HV 0551300B  85          2008</t>
  </si>
  <si>
    <t>Emergency management : a reference handbook / Jeffrey B. Bumgarner.</t>
  </si>
  <si>
    <t>Bumgarner, Jeffrey B.</t>
  </si>
  <si>
    <t>Santa Barbara, Calif. : ABC-CLIO, c2008.</t>
  </si>
  <si>
    <t>Contemporary world issues</t>
  </si>
  <si>
    <t>2008-06-12</t>
  </si>
  <si>
    <t>2008-02-06</t>
  </si>
  <si>
    <t>803082728:eng</t>
  </si>
  <si>
    <t>163625233</t>
  </si>
  <si>
    <t>991005177209702656</t>
  </si>
  <si>
    <t>2260858890002656</t>
  </si>
  <si>
    <t>9781598841107</t>
  </si>
  <si>
    <t>32285005392740</t>
  </si>
  <si>
    <t>893707398</t>
  </si>
  <si>
    <t>HV551.3 .P45 2007</t>
  </si>
  <si>
    <t>0                      HV 0551300P  45          2007</t>
  </si>
  <si>
    <t>The next catastrophe : reducing our vulnerabilities to natural, industrial, and terrorist disasters / Charles Perrow.</t>
  </si>
  <si>
    <t>Perrow, Charles.</t>
  </si>
  <si>
    <t>Princeton, N.J. : Princeton University Press, c2007.</t>
  </si>
  <si>
    <t>2008-05-12</t>
  </si>
  <si>
    <t>802138750:eng</t>
  </si>
  <si>
    <t>76820658</t>
  </si>
  <si>
    <t>991005210609702656</t>
  </si>
  <si>
    <t>2269141670002656</t>
  </si>
  <si>
    <t>9780691129976</t>
  </si>
  <si>
    <t>32285005406904</t>
  </si>
  <si>
    <t>893783205</t>
  </si>
  <si>
    <t>HV5513 .T73 1982</t>
  </si>
  <si>
    <t>0                      HV 5513000T  73          1982</t>
  </si>
  <si>
    <t>Alcohol in the USSR : a statistical study / Vladimir G. Treml.</t>
  </si>
  <si>
    <t>Treml, Vladimir G.</t>
  </si>
  <si>
    <t>Durham, N.C. : Duke University Press, 1982.</t>
  </si>
  <si>
    <t>ncu</t>
  </si>
  <si>
    <t>Duke Press policy studies</t>
  </si>
  <si>
    <t>2005-09-26</t>
  </si>
  <si>
    <t>222595476:eng</t>
  </si>
  <si>
    <t>8532817</t>
  </si>
  <si>
    <t>991000008139702656</t>
  </si>
  <si>
    <t>2269314820002656</t>
  </si>
  <si>
    <t>9780822304845</t>
  </si>
  <si>
    <t>32285000225671</t>
  </si>
  <si>
    <t>893777590</t>
  </si>
  <si>
    <t>HV553 .A585 1999</t>
  </si>
  <si>
    <t>0                      HV 0553000A  585         1999</t>
  </si>
  <si>
    <t>The angry earth : disaster in anthropological perspective / edited by Anthony Oliver-Smith and Susanna M. Hoffman.</t>
  </si>
  <si>
    <t>New York : Routledge, 1999.</t>
  </si>
  <si>
    <t>2005-03-23</t>
  </si>
  <si>
    <t>837013865:eng</t>
  </si>
  <si>
    <t>40267309</t>
  </si>
  <si>
    <t>991004181119702656</t>
  </si>
  <si>
    <t>2256007080002656</t>
  </si>
  <si>
    <t>9780415919869</t>
  </si>
  <si>
    <t>32285004840145</t>
  </si>
  <si>
    <t>893259425</t>
  </si>
  <si>
    <t>HV553 .C74 2010</t>
  </si>
  <si>
    <t>0                      HV 0553000C  74          2010</t>
  </si>
  <si>
    <t>Creating spiritual and psychological resilience : integrating care in disaster relief work / Grant H. Brenner, Daniel H. Bush, Joshua Moses, editors.</t>
  </si>
  <si>
    <t>New York : Routledge, c2010.</t>
  </si>
  <si>
    <t>1075475577:eng</t>
  </si>
  <si>
    <t>277195909</t>
  </si>
  <si>
    <t>991000180199702656</t>
  </si>
  <si>
    <t>2266487500002656</t>
  </si>
  <si>
    <t>9780789034540</t>
  </si>
  <si>
    <t>32285005601736</t>
  </si>
  <si>
    <t>893496006</t>
  </si>
  <si>
    <t>HV553 .F76 1996</t>
  </si>
  <si>
    <t>0                      HV 0553000F  76          1996</t>
  </si>
  <si>
    <t>From massacres to genocide : the media, public policy, and humanitarian crises / Robert I. Rotberg, Thomas G. Weiss, editors.</t>
  </si>
  <si>
    <t>Washington, D.C. : Brookings Institution, c1996.</t>
  </si>
  <si>
    <t>2009-11-06</t>
  </si>
  <si>
    <t>1997-03-20</t>
  </si>
  <si>
    <t>800082725:eng</t>
  </si>
  <si>
    <t>33818317</t>
  </si>
  <si>
    <t>991002580179702656</t>
  </si>
  <si>
    <t>2270471470002656</t>
  </si>
  <si>
    <t>9780815775898</t>
  </si>
  <si>
    <t>32285002444718</t>
  </si>
  <si>
    <t>893335463</t>
  </si>
  <si>
    <t>HV553 .H84 2009</t>
  </si>
  <si>
    <t>0                      HV 0553000H  84          2009</t>
  </si>
  <si>
    <t>Humanitarian assistance : improving U.S.-European cooperation / edited by Julia Steets and Daniel S. Hamilton.</t>
  </si>
  <si>
    <t>[Washington, D. C.] : Center for Transatlantic Relations, Johns Hopkins University ; [Berlin, Germany] : Global Public Policy Institute, c2009.</t>
  </si>
  <si>
    <t>2010-12-15</t>
  </si>
  <si>
    <t>901629504:eng</t>
  </si>
  <si>
    <t>368048297</t>
  </si>
  <si>
    <t>991000386159702656</t>
  </si>
  <si>
    <t>2270610070002656</t>
  </si>
  <si>
    <t>9780980187182</t>
  </si>
  <si>
    <t>32285005651392</t>
  </si>
  <si>
    <t>893515227</t>
  </si>
  <si>
    <t>HV553 .M39 1999</t>
  </si>
  <si>
    <t>0                      HV 0553000M  39          1999</t>
  </si>
  <si>
    <t>Healing communities in conflict : international assistance in complex emergencies / Kimberly A. Maynard.</t>
  </si>
  <si>
    <t>Maynard, Kimberly A.</t>
  </si>
  <si>
    <t>2000-09-26</t>
  </si>
  <si>
    <t>836997512:eng</t>
  </si>
  <si>
    <t>39924122</t>
  </si>
  <si>
    <t>991003260909702656</t>
  </si>
  <si>
    <t>2264481740002656</t>
  </si>
  <si>
    <t>9780231112789</t>
  </si>
  <si>
    <t>32285003764676</t>
  </si>
  <si>
    <t>893428607</t>
  </si>
  <si>
    <t>HV553 .N37 1997</t>
  </si>
  <si>
    <t>0                      HV 0553000N  37          1997</t>
  </si>
  <si>
    <t>U.S. foreign policy and the Four Horsemen of the Apocalypse : humanitarian relief in complex emergencies / Andrew S. Natsios ; foreword by George Bush.</t>
  </si>
  <si>
    <t>Natsios, Andrew S.</t>
  </si>
  <si>
    <t>Westport, Conn. : Praeger, 1997.</t>
  </si>
  <si>
    <t>Washington papers ; 170</t>
  </si>
  <si>
    <t>2009-01-25</t>
  </si>
  <si>
    <t>1998-05-05</t>
  </si>
  <si>
    <t>797214458:eng</t>
  </si>
  <si>
    <t>36083681</t>
  </si>
  <si>
    <t>991002750029702656</t>
  </si>
  <si>
    <t>2266184210002656</t>
  </si>
  <si>
    <t>9780275959203</t>
  </si>
  <si>
    <t>32285003405817</t>
  </si>
  <si>
    <t>893603968</t>
  </si>
  <si>
    <t>HV553 .R34 1986</t>
  </si>
  <si>
    <t>0                      HV 0553000R  34          1986</t>
  </si>
  <si>
    <t>When disaster strikes : how individuals and communities cope with catastrophe / Beverley Raphael.</t>
  </si>
  <si>
    <t>Raphael, Beverley.</t>
  </si>
  <si>
    <t>New York : Basic Books, c1986.</t>
  </si>
  <si>
    <t>2008-02-21</t>
  </si>
  <si>
    <t>7255803:eng</t>
  </si>
  <si>
    <t>13423911</t>
  </si>
  <si>
    <t>991000826929702656</t>
  </si>
  <si>
    <t>2265991380002656</t>
  </si>
  <si>
    <t>9780465091683</t>
  </si>
  <si>
    <t>32285001681971</t>
  </si>
  <si>
    <t>893496592</t>
  </si>
  <si>
    <t>HV553 .R359 1997</t>
  </si>
  <si>
    <t>0                      HV 0553000R  359         1997</t>
  </si>
  <si>
    <t>Rebuilding societies after civil war : critical roles for international assistance / edited by Krishna Kumar.</t>
  </si>
  <si>
    <t>Boulder, Colo. : L. Rienner, 1997.</t>
  </si>
  <si>
    <t>1997-04-02</t>
  </si>
  <si>
    <t>890380126:eng</t>
  </si>
  <si>
    <t>34906152</t>
  </si>
  <si>
    <t>991002668479702656</t>
  </si>
  <si>
    <t>2262000710002656</t>
  </si>
  <si>
    <t>9781555876425</t>
  </si>
  <si>
    <t>32285002477825</t>
  </si>
  <si>
    <t>893427856</t>
  </si>
  <si>
    <t>HV553 .R45 2007</t>
  </si>
  <si>
    <t>0                      HV 0553000R  45          2007</t>
  </si>
  <si>
    <t>Beyond disasters : creating opportunities for peace / Michael Renner and Zoë Chafe ; Lisa Mastny, editor.</t>
  </si>
  <si>
    <t>Renner, Michael, 1957-</t>
  </si>
  <si>
    <t>Washington, D.C. : Worldwatch Institute, c2007.</t>
  </si>
  <si>
    <t>Worldwatch report</t>
  </si>
  <si>
    <t>2007-10-08</t>
  </si>
  <si>
    <t>104308627:eng</t>
  </si>
  <si>
    <t>153294338</t>
  </si>
  <si>
    <t>991005123369702656</t>
  </si>
  <si>
    <t>2271993110002656</t>
  </si>
  <si>
    <t>32285005328975</t>
  </si>
  <si>
    <t>893430892</t>
  </si>
  <si>
    <t>HV553 .W48 2005</t>
  </si>
  <si>
    <t>0                      HV 0553000W  48          2005</t>
  </si>
  <si>
    <t>When their world falls apart : helping families and children manage the effects of disasters / Lawrence B. Rosenfeld ... [et al.].</t>
  </si>
  <si>
    <t>Washington, DC : NASW Press, c2005.</t>
  </si>
  <si>
    <t>2006-01-24</t>
  </si>
  <si>
    <t>905879378:eng</t>
  </si>
  <si>
    <t>52799262</t>
  </si>
  <si>
    <t>991004680869702656</t>
  </si>
  <si>
    <t>2260776960002656</t>
  </si>
  <si>
    <t>9780871013583</t>
  </si>
  <si>
    <t>32285005106751</t>
  </si>
  <si>
    <t>893876449</t>
  </si>
  <si>
    <t>HV555.A435 P74 1996</t>
  </si>
  <si>
    <t>0                      HV 0555000A  435                P  74          1996</t>
  </si>
  <si>
    <t>Frontline diplomacy : humanitarian aid and conflict in Africa / John Prendergast.</t>
  </si>
  <si>
    <t>Prendergast, John, 1963-</t>
  </si>
  <si>
    <t>Boulder, Colo. : L. Rienner, 1996.</t>
  </si>
  <si>
    <t>2000-03-21</t>
  </si>
  <si>
    <t>1997-04-17</t>
  </si>
  <si>
    <t>2996408:eng</t>
  </si>
  <si>
    <t>34965547</t>
  </si>
  <si>
    <t>991002673709702656</t>
  </si>
  <si>
    <t>2261385980002656</t>
  </si>
  <si>
    <t>9781555876968</t>
  </si>
  <si>
    <t>32285002498060</t>
  </si>
  <si>
    <t>893616411</t>
  </si>
  <si>
    <t>HV555.U6 A59</t>
  </si>
  <si>
    <t>0                      HV 0555000U  6                  A  59</t>
  </si>
  <si>
    <t>After the clean-up : long range effects of natural disasters / by James D. Wright ... [et al.].</t>
  </si>
  <si>
    <t>Beverly Hills : Sage Publications, c1979.</t>
  </si>
  <si>
    <t>Contemporary evaluation research ; v. 2</t>
  </si>
  <si>
    <t>54301375:eng</t>
  </si>
  <si>
    <t>5101385</t>
  </si>
  <si>
    <t>991004776539702656</t>
  </si>
  <si>
    <t>2259278350002656</t>
  </si>
  <si>
    <t>9780803911949</t>
  </si>
  <si>
    <t>32285001681997</t>
  </si>
  <si>
    <t>893430483</t>
  </si>
  <si>
    <t>HV555.U6 M37 1986</t>
  </si>
  <si>
    <t>0                      HV 0555000U  6                  M  37          1986</t>
  </si>
  <si>
    <t>Disaster policy implementation : managing programs under shared governance / Peter J. May and Walter Williams.</t>
  </si>
  <si>
    <t>May, Peter J.</t>
  </si>
  <si>
    <t>New York : Plenum Press, c1986.</t>
  </si>
  <si>
    <t>1999-11-17</t>
  </si>
  <si>
    <t>6993816:eng</t>
  </si>
  <si>
    <t>13268696</t>
  </si>
  <si>
    <t>991000802289702656</t>
  </si>
  <si>
    <t>2260174260002656</t>
  </si>
  <si>
    <t>9780306421792</t>
  </si>
  <si>
    <t>32285001682003</t>
  </si>
  <si>
    <t>893438613</t>
  </si>
  <si>
    <t>HV568 .B2</t>
  </si>
  <si>
    <t>0                      HV 0568000B  2</t>
  </si>
  <si>
    <t>The Red Cross; a history of this remarkable international movement in the interest of humanity, by Clara Barton ...</t>
  </si>
  <si>
    <t>Barton, Clara, 1821-1912.</t>
  </si>
  <si>
    <t>Washington, D.C., American national Red cross [c1898]</t>
  </si>
  <si>
    <t>1898</t>
  </si>
  <si>
    <t>2007-09-10</t>
  </si>
  <si>
    <t>1997-08-21</t>
  </si>
  <si>
    <t>15962644:eng</t>
  </si>
  <si>
    <t>17484679</t>
  </si>
  <si>
    <t>991003823259702656</t>
  </si>
  <si>
    <t>2263398360002656</t>
  </si>
  <si>
    <t>32285003156006</t>
  </si>
  <si>
    <t>893611488</t>
  </si>
  <si>
    <t>HV568 .J62</t>
  </si>
  <si>
    <t>0                      HV 0568000J  62</t>
  </si>
  <si>
    <t>Red Cross International and the strategy of peace / by James Avery Joyce ... and a Foreword on the American National Red Cross and the Promotion of Peace by Conrad Hobbs.</t>
  </si>
  <si>
    <t>Joyce, James Avery.</t>
  </si>
  <si>
    <t>New York : Oceana Publications, Inc., 1959.</t>
  </si>
  <si>
    <t>1959</t>
  </si>
  <si>
    <t>2007-01-29</t>
  </si>
  <si>
    <t>1376948:eng</t>
  </si>
  <si>
    <t>17339009</t>
  </si>
  <si>
    <t>991001204249702656</t>
  </si>
  <si>
    <t>2263604610002656</t>
  </si>
  <si>
    <t>32285003156014</t>
  </si>
  <si>
    <t>893534471</t>
  </si>
  <si>
    <t>HV57 .G56 2000</t>
  </si>
  <si>
    <t>0                      HV 0057000G  56          2000</t>
  </si>
  <si>
    <t>That's not what we meant to do : reform and its unintended consequences in twentieth-century America / Steven M. Gillon.</t>
  </si>
  <si>
    <t>Gillon, Steven M.</t>
  </si>
  <si>
    <t>New York : W.W. Norton, c2000.</t>
  </si>
  <si>
    <t>2005-01-27</t>
  </si>
  <si>
    <t>2001-09-05</t>
  </si>
  <si>
    <t>198662206:eng</t>
  </si>
  <si>
    <t>42889804</t>
  </si>
  <si>
    <t>991003596309702656</t>
  </si>
  <si>
    <t>2260829120002656</t>
  </si>
  <si>
    <t>9780393048841</t>
  </si>
  <si>
    <t>32285004384763</t>
  </si>
  <si>
    <t>893330528</t>
  </si>
  <si>
    <t>HV5732 .N3 1966aa</t>
  </si>
  <si>
    <t>0                      HV 5732000N  3           1966aa</t>
  </si>
  <si>
    <t>Studies and issues in smoking behavior / Salvatore V. Zagona: editor.</t>
  </si>
  <si>
    <t>National Research Conference on Smoking Behavior (2nd : 1966 : University of Arizona)</t>
  </si>
  <si>
    <t>Tucson : University of Arizona Press, [1967]</t>
  </si>
  <si>
    <t>2003-04-15</t>
  </si>
  <si>
    <t>1992-03-26</t>
  </si>
  <si>
    <t>46777150:eng</t>
  </si>
  <si>
    <t>3177062</t>
  </si>
  <si>
    <t>991004367759702656</t>
  </si>
  <si>
    <t>2268758460002656</t>
  </si>
  <si>
    <t>32285001029197</t>
  </si>
  <si>
    <t>893806989</t>
  </si>
  <si>
    <t>HV5733 .D5</t>
  </si>
  <si>
    <t>0                      HV 5733000D  5</t>
  </si>
  <si>
    <t>Tobacco &amp; your health : the smoking controversy / [by] Harold S. Diehl.</t>
  </si>
  <si>
    <t>Diehl, Harold S. (Harold Sheely), 1891-1973.</t>
  </si>
  <si>
    <t>New York : McGraw-Hill, [1969]</t>
  </si>
  <si>
    <t>McGraw-Hill series in health education</t>
  </si>
  <si>
    <t>2008-01-16</t>
  </si>
  <si>
    <t>405143:eng</t>
  </si>
  <si>
    <t>4721</t>
  </si>
  <si>
    <t>991001777999702656</t>
  </si>
  <si>
    <t>2266340840002656</t>
  </si>
  <si>
    <t>32285000849348</t>
  </si>
  <si>
    <t>893703317</t>
  </si>
  <si>
    <t>HV5735 .C67 2001</t>
  </si>
  <si>
    <t>0                      HV 5735000C  67          2001</t>
  </si>
  <si>
    <t>Tobacco : a reference handbook / Harold V. Cordry.</t>
  </si>
  <si>
    <t>Cordry, Harold V., 1943-</t>
  </si>
  <si>
    <t>Santa Barbara, Calif. : ABC-CLIO, c2001.</t>
  </si>
  <si>
    <t>ABC-CLIO's contemporary world issues series</t>
  </si>
  <si>
    <t>2009-10-27</t>
  </si>
  <si>
    <t>2001-12-06</t>
  </si>
  <si>
    <t>792936505:eng</t>
  </si>
  <si>
    <t>47756171</t>
  </si>
  <si>
    <t>991003686459702656</t>
  </si>
  <si>
    <t>2258192080002656</t>
  </si>
  <si>
    <t>9781576072240</t>
  </si>
  <si>
    <t>32285005548853</t>
  </si>
  <si>
    <t>893441594</t>
  </si>
  <si>
    <t>HV5740 .B79 1983</t>
  </si>
  <si>
    <t>0                      HV 5740000B  79          1983</t>
  </si>
  <si>
    <t>Are you ready to quit smoking? / Linda R. Bryson.</t>
  </si>
  <si>
    <t>Bryson, Linda R.</t>
  </si>
  <si>
    <t>Dubuque, Iowa : Kendall/Hunt Pub. Co., c1983.</t>
  </si>
  <si>
    <t>2003-09-11</t>
  </si>
  <si>
    <t>3125932:eng</t>
  </si>
  <si>
    <t>10468576</t>
  </si>
  <si>
    <t>991000376589702656</t>
  </si>
  <si>
    <t>2272225040002656</t>
  </si>
  <si>
    <t>9780840329882</t>
  </si>
  <si>
    <t>32285000225689</t>
  </si>
  <si>
    <t>893626280</t>
  </si>
  <si>
    <t>HV5740 .S63</t>
  </si>
  <si>
    <t>0                      HV 5740000S  63</t>
  </si>
  <si>
    <t>They satisfy : the cigarette in American life / Robert Sobel.</t>
  </si>
  <si>
    <t>Sobel, Robert, 1931 February 19-1999.</t>
  </si>
  <si>
    <t>New York : Anchor Press/Doubleday, 1978.</t>
  </si>
  <si>
    <t>2003-01-19</t>
  </si>
  <si>
    <t>148819135:eng</t>
  </si>
  <si>
    <t>4194735</t>
  </si>
  <si>
    <t>991004606479702656</t>
  </si>
  <si>
    <t>2262498300002656</t>
  </si>
  <si>
    <t>9780385129565</t>
  </si>
  <si>
    <t>32285000225697</t>
  </si>
  <si>
    <t>893235702</t>
  </si>
  <si>
    <t>HV5751 .S85 1998</t>
  </si>
  <si>
    <t>0                      HV 5751000S  85          1998</t>
  </si>
  <si>
    <t>For your own good : the anti-smoking crusade and the tyranny of public health / Jacob Sullum.</t>
  </si>
  <si>
    <t>Sullum, Jacob.</t>
  </si>
  <si>
    <t>New York : Free Press, c1998.</t>
  </si>
  <si>
    <t>2010-09-10</t>
  </si>
  <si>
    <t>1998-05-12</t>
  </si>
  <si>
    <t>572234:eng</t>
  </si>
  <si>
    <t>38206893</t>
  </si>
  <si>
    <t>991002898459702656</t>
  </si>
  <si>
    <t>2272587850002656</t>
  </si>
  <si>
    <t>9780684827360</t>
  </si>
  <si>
    <t>32285003407920</t>
  </si>
  <si>
    <t>893239642</t>
  </si>
  <si>
    <t>HV5760 .K58 1996</t>
  </si>
  <si>
    <t>0                      HV 5760000K  58          1996</t>
  </si>
  <si>
    <t>Ashes to ashes : America's hundred-year cigarette war, the public health, and the unabashed triumph of Philip Morris / Richard Kluger.</t>
  </si>
  <si>
    <t>Kluger, Richard.</t>
  </si>
  <si>
    <t>New York : Alfred A. Knopf : Distributed by Random House, 1996.</t>
  </si>
  <si>
    <t>2009-10-21</t>
  </si>
  <si>
    <t>533577:eng</t>
  </si>
  <si>
    <t>33207527</t>
  </si>
  <si>
    <t>991002554459702656</t>
  </si>
  <si>
    <t>2263891080002656</t>
  </si>
  <si>
    <t>9780394570761</t>
  </si>
  <si>
    <t>32285002173028</t>
  </si>
  <si>
    <t>893903960</t>
  </si>
  <si>
    <t>HV5760 .K68 1996</t>
  </si>
  <si>
    <t>0                      HV 5760000K  68          1996</t>
  </si>
  <si>
    <t>Smoking : the story behind the haze / Edward L. Koven.</t>
  </si>
  <si>
    <t>Koven, Edward L.</t>
  </si>
  <si>
    <t>New York : Nova Science Publishers, c1996.</t>
  </si>
  <si>
    <t>2008-04-24</t>
  </si>
  <si>
    <t>1997-04-07</t>
  </si>
  <si>
    <t>23569597:eng</t>
  </si>
  <si>
    <t>36651080</t>
  </si>
  <si>
    <t>991002790849702656</t>
  </si>
  <si>
    <t>2265259480002656</t>
  </si>
  <si>
    <t>9781560724018</t>
  </si>
  <si>
    <t>32285002479714</t>
  </si>
  <si>
    <t>893710681</t>
  </si>
  <si>
    <t>HV5763 .F37 1991</t>
  </si>
  <si>
    <t>0                      HV 5763000F  37          1991</t>
  </si>
  <si>
    <t>The last puff : ex-smokers share the secrets of their success / John W. Farquhar, Gene A. Spiller.</t>
  </si>
  <si>
    <t>Farquhar, John W., 1927-2018.</t>
  </si>
  <si>
    <t>New York : W.W. Norton, 1991, c1990.</t>
  </si>
  <si>
    <t>2008-04-20</t>
  </si>
  <si>
    <t>943670611:eng</t>
  </si>
  <si>
    <t>27869302</t>
  </si>
  <si>
    <t>991003933469702656</t>
  </si>
  <si>
    <t>2269984850002656</t>
  </si>
  <si>
    <t>9780393308037</t>
  </si>
  <si>
    <t>32285004664503</t>
  </si>
  <si>
    <t>893711960</t>
  </si>
  <si>
    <t>HV577 .D8</t>
  </si>
  <si>
    <t>0                      HV 0577000D  8</t>
  </si>
  <si>
    <t>The American Red Cross, a history.</t>
  </si>
  <si>
    <t>Dulles, Foster Rhea, 1900-1970.</t>
  </si>
  <si>
    <t>New York, Harper [1950]</t>
  </si>
  <si>
    <t>___</t>
  </si>
  <si>
    <t>2008-04-23</t>
  </si>
  <si>
    <t>1993-03-25</t>
  </si>
  <si>
    <t>500286:eng</t>
  </si>
  <si>
    <t>1313220</t>
  </si>
  <si>
    <t>991003685149702656</t>
  </si>
  <si>
    <t>2257535110002656</t>
  </si>
  <si>
    <t>32285001591311</t>
  </si>
  <si>
    <t>893875043</t>
  </si>
  <si>
    <t>HV577 .H8</t>
  </si>
  <si>
    <t>0                      HV 0577000H  8</t>
  </si>
  <si>
    <t>The compact history of the American Red Cross / illus. by Gil Walker.</t>
  </si>
  <si>
    <t>Hurd, Charles, 1903-1968.</t>
  </si>
  <si>
    <t>New York : Hawthorn Books, [1959]</t>
  </si>
  <si>
    <t>1404349:eng</t>
  </si>
  <si>
    <t>273031</t>
  </si>
  <si>
    <t>991002157249702656</t>
  </si>
  <si>
    <t>2262034910002656</t>
  </si>
  <si>
    <t>32285001591303</t>
  </si>
  <si>
    <t>893866871</t>
  </si>
  <si>
    <t>HV5801 .B3913</t>
  </si>
  <si>
    <t>0                      HV 5801000B  3913</t>
  </si>
  <si>
    <t>Addiction : an artificially induced drive / foreword by S. S. B. Gilder.</t>
  </si>
  <si>
    <t>Bejerot, Nils.</t>
  </si>
  <si>
    <t>Springfield, Ill. : Thomas, [1972]</t>
  </si>
  <si>
    <t>1995-04-26</t>
  </si>
  <si>
    <t>1997-11-17</t>
  </si>
  <si>
    <t>232522:eng</t>
  </si>
  <si>
    <t>578034</t>
  </si>
  <si>
    <t>991001656759702656</t>
  </si>
  <si>
    <t>2256439990002656</t>
  </si>
  <si>
    <t>9780398025274</t>
  </si>
  <si>
    <t>32285002029410</t>
  </si>
  <si>
    <t>893885457</t>
  </si>
  <si>
    <t>HV5801 .C57</t>
  </si>
  <si>
    <t>0                      HV 5801000C  57</t>
  </si>
  <si>
    <t>The drug dilemma / Sidney Cohen.</t>
  </si>
  <si>
    <t>Cohen, Sidney, 1910-</t>
  </si>
  <si>
    <t>New York : McGraw-Hill, c1969.</t>
  </si>
  <si>
    <t>1999-02-28</t>
  </si>
  <si>
    <t>1992-04-29</t>
  </si>
  <si>
    <t>405022:eng</t>
  </si>
  <si>
    <t>264416</t>
  </si>
  <si>
    <t>991005161199702656</t>
  </si>
  <si>
    <t>2265332920002656</t>
  </si>
  <si>
    <t>32285001103976</t>
  </si>
  <si>
    <t>893344737</t>
  </si>
  <si>
    <t>HV5801 .C66 1998</t>
  </si>
  <si>
    <t>0                      HV 5801000C  66          1998</t>
  </si>
  <si>
    <t>The control of drugs and drug users : reason or reaction? / edited by Ross Coomber.</t>
  </si>
  <si>
    <t>Amsterdam : Harwood Academic, 1998.</t>
  </si>
  <si>
    <t>2009-03-23</t>
  </si>
  <si>
    <t>1999-04-26</t>
  </si>
  <si>
    <t>56268871:eng</t>
  </si>
  <si>
    <t>38724367</t>
  </si>
  <si>
    <t>991002919169702656</t>
  </si>
  <si>
    <t>2258557110002656</t>
  </si>
  <si>
    <t>9789057021886</t>
  </si>
  <si>
    <t>32285003555413</t>
  </si>
  <si>
    <t>893517927</t>
  </si>
  <si>
    <t>HV5801 .D59 1981</t>
  </si>
  <si>
    <t>0                      HV 5801000D  59          1981</t>
  </si>
  <si>
    <t>Drug abuse in the modern world : a perspective for the eighties : an international symposium held at the College of Physicians and Surgeons of Columbia University / organized by Gabriel G. Nahas, Henry Brill, and the International Medical Council on Drug Use ; sponsored by National Federation of Parents for a Drug Youth ... [et al.] ; edited by Gabriel G. Nahas, Henry Clay Frick II.</t>
  </si>
  <si>
    <t>New York : Pergamon Press, c1981.</t>
  </si>
  <si>
    <t>1998-02-01</t>
  </si>
  <si>
    <t>501104410:eng</t>
  </si>
  <si>
    <t>7203322</t>
  </si>
  <si>
    <t>991005088419702656</t>
  </si>
  <si>
    <t>2265495740002656</t>
  </si>
  <si>
    <t>9780080263007</t>
  </si>
  <si>
    <t>32285000148097</t>
  </si>
  <si>
    <t>893795587</t>
  </si>
  <si>
    <t>HV5805.H64 A3 2006</t>
  </si>
  <si>
    <t>0                      HV 5805000H  64                 A  3           2006</t>
  </si>
  <si>
    <t>In my skin : a memoir / Kate Holden.</t>
  </si>
  <si>
    <t>Holden, Kate, 1972-</t>
  </si>
  <si>
    <t>New York : Arcade, 2006, c2005.</t>
  </si>
  <si>
    <t>1st North American ed.</t>
  </si>
  <si>
    <t>2006-12-05</t>
  </si>
  <si>
    <t>53983211:eng</t>
  </si>
  <si>
    <t>70107002</t>
  </si>
  <si>
    <t>991004957439702656</t>
  </si>
  <si>
    <t>2271774650002656</t>
  </si>
  <si>
    <t>9781559708302</t>
  </si>
  <si>
    <t>32285005265029</t>
  </si>
  <si>
    <t>893688409</t>
  </si>
  <si>
    <t>HV5808 .G55</t>
  </si>
  <si>
    <t>0                      HV 5808000G  55</t>
  </si>
  <si>
    <t>Drug education : content and methods / [by] Daniel A. Girdano [and] Dorothy Dusek Girdano.</t>
  </si>
  <si>
    <t>Girdano, Daniel A.</t>
  </si>
  <si>
    <t>Reading, Mass. : Addison-Wesley Pub. Co., [1972]</t>
  </si>
  <si>
    <t>Addison-Wesley series in health education</t>
  </si>
  <si>
    <t>1992-02-25</t>
  </si>
  <si>
    <t>1573205:eng</t>
  </si>
  <si>
    <t>487332</t>
  </si>
  <si>
    <t>991002851549702656</t>
  </si>
  <si>
    <t>2255127680002656</t>
  </si>
  <si>
    <t>32285000976893</t>
  </si>
  <si>
    <t>893880498</t>
  </si>
  <si>
    <t>HV5810 .E33 1988</t>
  </si>
  <si>
    <t>0                      HV 5810000E  33          1988</t>
  </si>
  <si>
    <t>The cocaine wars / Paul Eddy, Hugo Sabogal, Sara Walden.</t>
  </si>
  <si>
    <t>Eddy, Paul, 1944-2009.</t>
  </si>
  <si>
    <t>New York : Norton, 1988.</t>
  </si>
  <si>
    <t>1992-04-05</t>
  </si>
  <si>
    <t>365190549:eng</t>
  </si>
  <si>
    <t>17265710</t>
  </si>
  <si>
    <t>991001195069702656</t>
  </si>
  <si>
    <t>2263917760002656</t>
  </si>
  <si>
    <t>9780393025798</t>
  </si>
  <si>
    <t>32285000148121</t>
  </si>
  <si>
    <t>893626597</t>
  </si>
  <si>
    <t>HV5810 .G73 1985</t>
  </si>
  <si>
    <t>0                      HV 5810000G  73          1985</t>
  </si>
  <si>
    <t>Cocaine : a drug and its social evolution / Lester Grinspoon &amp; James B. Bakalar.</t>
  </si>
  <si>
    <t>Grinspoon, Lester, 1928-2020.</t>
  </si>
  <si>
    <t>New York : Basic Books, c1985.</t>
  </si>
  <si>
    <t>2005-09-29</t>
  </si>
  <si>
    <t>1998-12-07</t>
  </si>
  <si>
    <t>487255:eng</t>
  </si>
  <si>
    <t>12714959</t>
  </si>
  <si>
    <t>991000727889702656</t>
  </si>
  <si>
    <t>2265950940002656</t>
  </si>
  <si>
    <t>9780465011919</t>
  </si>
  <si>
    <t>32285000112739</t>
  </si>
  <si>
    <t>893255677</t>
  </si>
  <si>
    <t>HV5810 .W24 1991</t>
  </si>
  <si>
    <t>0                      HV 5810000W  24          1991</t>
  </si>
  <si>
    <t>Cocaine changes : the experience of using and quitting / Dan Waldorf, Craig Reinarman, Sheigla Murphy.</t>
  </si>
  <si>
    <t>Waldorf, Dan.</t>
  </si>
  <si>
    <t>Philadelphia : Temple University Press, 1991.</t>
  </si>
  <si>
    <t>Health, society, and policy</t>
  </si>
  <si>
    <t>2003-01-06</t>
  </si>
  <si>
    <t>889963374:eng</t>
  </si>
  <si>
    <t>23647818</t>
  </si>
  <si>
    <t>991003933019702656</t>
  </si>
  <si>
    <t>2260722520002656</t>
  </si>
  <si>
    <t>9780877228639</t>
  </si>
  <si>
    <t>32285004691506</t>
  </si>
  <si>
    <t>893699607</t>
  </si>
  <si>
    <t>HV5816 .B66 1998</t>
  </si>
  <si>
    <t>0                      HV 5816000B  66          1998</t>
  </si>
  <si>
    <t>Opium : a history / Martin Booth.</t>
  </si>
  <si>
    <t>Booth, Martin.</t>
  </si>
  <si>
    <t>New York : St. Martin's Press, 1998.</t>
  </si>
  <si>
    <t>2004-11-30</t>
  </si>
  <si>
    <t>1998-07-30</t>
  </si>
  <si>
    <t>26588635:eng</t>
  </si>
  <si>
    <t>38557333</t>
  </si>
  <si>
    <t>991002916299702656</t>
  </si>
  <si>
    <t>2262365810002656</t>
  </si>
  <si>
    <t>9780312186432</t>
  </si>
  <si>
    <t>32285003447843</t>
  </si>
  <si>
    <t>893893170</t>
  </si>
  <si>
    <t>HV5816 .T4 1970</t>
  </si>
  <si>
    <t>0                      HV 5816000T  4           1970</t>
  </si>
  <si>
    <t>The opium problem / by Charles E. Terry and Mildred Pellens. With a new foreword by John C. Ball and a new pref. by Charles Winick.</t>
  </si>
  <si>
    <t>Terry, Charles E., 1878-1945.</t>
  </si>
  <si>
    <t>Montclair, N.J. : Patterson Smith, 1970 [c1928]</t>
  </si>
  <si>
    <t>Patterson Smith reprint series in criminology, law enforcement, and social problems ; publication no. 115</t>
  </si>
  <si>
    <t>1995-02-24</t>
  </si>
  <si>
    <t>1315190:eng</t>
  </si>
  <si>
    <t>94698</t>
  </si>
  <si>
    <t>991000569369702656</t>
  </si>
  <si>
    <t>2266053070002656</t>
  </si>
  <si>
    <t>9780875851150</t>
  </si>
  <si>
    <t>32285002010162</t>
  </si>
  <si>
    <t>893614302</t>
  </si>
  <si>
    <t>HV5822.M3 M32</t>
  </si>
  <si>
    <t>0                      HV 5822000M  3                  M  32</t>
  </si>
  <si>
    <t>Marihuana : an annotated bibliography / Coy W. Waller ... [et al.].</t>
  </si>
  <si>
    <t>New York : Macmillan Information, c1976.</t>
  </si>
  <si>
    <t>1996-11-03</t>
  </si>
  <si>
    <t>1990-06-07</t>
  </si>
  <si>
    <t>399502:eng</t>
  </si>
  <si>
    <t>3003966</t>
  </si>
  <si>
    <t>991004316069702656</t>
  </si>
  <si>
    <t>2272651790002656</t>
  </si>
  <si>
    <t>32285000183573</t>
  </si>
  <si>
    <t>893901100</t>
  </si>
  <si>
    <t>HV5824.A33 L56 1988</t>
  </si>
  <si>
    <t>0                      HV 5824000A  33                 L  56          1988</t>
  </si>
  <si>
    <t>Drugs and the elderly : clinical, social, and policy perspectives / Helene Levens Lipton, Philip R. Lee, with contributions by Mark S. Freeland.</t>
  </si>
  <si>
    <t>Lipton, Helene L.</t>
  </si>
  <si>
    <t>Stanford, Calif. : Stanford University Press, 1988.</t>
  </si>
  <si>
    <t>431622338:eng</t>
  </si>
  <si>
    <t>17265157</t>
  </si>
  <si>
    <t>991001194599702656</t>
  </si>
  <si>
    <t>2264148970002656</t>
  </si>
  <si>
    <t>9780804712958</t>
  </si>
  <si>
    <t>32285000225713</t>
  </si>
  <si>
    <t>893515974</t>
  </si>
  <si>
    <t>HV5824.W6 I53 1993</t>
  </si>
  <si>
    <t>0                      HV 5824000W  6                  I  53          1993</t>
  </si>
  <si>
    <t>Women and crack-cocaine / James A. Inciardi, Dorothy Lockwood, Anne E. Pottieger.</t>
  </si>
  <si>
    <t>Inciardi, James A.</t>
  </si>
  <si>
    <t>New York : Macmillan, 1993.</t>
  </si>
  <si>
    <t>Macmillan criminal justice series</t>
  </si>
  <si>
    <t>395162:eng</t>
  </si>
  <si>
    <t>26395853</t>
  </si>
  <si>
    <t>991002061719702656</t>
  </si>
  <si>
    <t>2255398870002656</t>
  </si>
  <si>
    <t>9780023594403</t>
  </si>
  <si>
    <t>32285001580785</t>
  </si>
  <si>
    <t>893773173</t>
  </si>
  <si>
    <t>HV5824.W6 M345 2000</t>
  </si>
  <si>
    <t>0                      HV 5824000W  6                  M  345         2000</t>
  </si>
  <si>
    <t>Sexed work : gender, race and resistance in a Brooklyn drug market / Lisa Maher.</t>
  </si>
  <si>
    <t>Maher, Lisa.</t>
  </si>
  <si>
    <t>Oxford ; New York : Oxford University Press, 2000.</t>
  </si>
  <si>
    <t>Clarendon studies in criminology</t>
  </si>
  <si>
    <t>2010-07-21</t>
  </si>
  <si>
    <t>2001-11-13</t>
  </si>
  <si>
    <t>2015-05-21</t>
  </si>
  <si>
    <t>836914726:eng</t>
  </si>
  <si>
    <t>43541127</t>
  </si>
  <si>
    <t>991001708869702656</t>
  </si>
  <si>
    <t>2255252000002656</t>
  </si>
  <si>
    <t>9780198299318</t>
  </si>
  <si>
    <t>32285004410725</t>
  </si>
  <si>
    <t>893444769</t>
  </si>
  <si>
    <t>HV5824.Y68 D7713 1995</t>
  </si>
  <si>
    <t>0                      HV 5824000Y  68                 D  7713        1995</t>
  </si>
  <si>
    <t>Drug abuse prevention with multiethnic youth / editors, Gilbert J. Botvin, Steven Schinke, Mario A. Orlandi.</t>
  </si>
  <si>
    <t>Thousand Oaks, Calif. : Sage Publications, c1995.</t>
  </si>
  <si>
    <t>2005-07-13</t>
  </si>
  <si>
    <t>1996-10-07</t>
  </si>
  <si>
    <t>362868807:eng</t>
  </si>
  <si>
    <t>32312209</t>
  </si>
  <si>
    <t>991002482459702656</t>
  </si>
  <si>
    <t>2266440900002656</t>
  </si>
  <si>
    <t>9780803957114</t>
  </si>
  <si>
    <t>32285002323532</t>
  </si>
  <si>
    <t>893535027</t>
  </si>
  <si>
    <t>HV5824.Y68 F35 1988</t>
  </si>
  <si>
    <t>0                      HV 5824000Y  68                 F  35          1988</t>
  </si>
  <si>
    <t>The Family context of adolescent drug use / Robert H. Coombs, editor.</t>
  </si>
  <si>
    <t>New York : Haworth Press, c1988.</t>
  </si>
  <si>
    <t>2008-02-19</t>
  </si>
  <si>
    <t>16548396:eng</t>
  </si>
  <si>
    <t>17768446</t>
  </si>
  <si>
    <t>991001261239702656</t>
  </si>
  <si>
    <t>2259049220002656</t>
  </si>
  <si>
    <t>9780866567992</t>
  </si>
  <si>
    <t>32285000117381</t>
  </si>
  <si>
    <t>893903362</t>
  </si>
  <si>
    <t>HV5824.Y68 M53 1994</t>
  </si>
  <si>
    <t>0                      HV 5824000Y  68                 M  53          1994</t>
  </si>
  <si>
    <t>Drug and alcohol abuse : the authoritative guide for parents, teachers, and counselors / H. Thomas Milhorn, Jr.</t>
  </si>
  <si>
    <t>Milhorn, Howard T.</t>
  </si>
  <si>
    <t>Massachusetts : Perseus Books, c1994.</t>
  </si>
  <si>
    <t>836736294:eng</t>
  </si>
  <si>
    <t>44988862</t>
  </si>
  <si>
    <t>991003946389702656</t>
  </si>
  <si>
    <t>2272742310002656</t>
  </si>
  <si>
    <t>9780306446405</t>
  </si>
  <si>
    <t>32285004664586</t>
  </si>
  <si>
    <t>893246969</t>
  </si>
  <si>
    <t>HV5825 .B74</t>
  </si>
  <si>
    <t>0                      HV 5825000B  74</t>
  </si>
  <si>
    <t>Drugs &amp; youth : medical, psychiatric, and legal facts / [by] Joseph H. Brenner, Robert Coles [and] Dermot Meagher.</t>
  </si>
  <si>
    <t>Brenner, Joseph H., 1924-</t>
  </si>
  <si>
    <t>New York : Liveright, [1970]</t>
  </si>
  <si>
    <t>1995-03-23</t>
  </si>
  <si>
    <t>1089566313:eng</t>
  </si>
  <si>
    <t>88652</t>
  </si>
  <si>
    <t>991000523319702656</t>
  </si>
  <si>
    <t>2269434900002656</t>
  </si>
  <si>
    <t>9780871405012</t>
  </si>
  <si>
    <t>32285001092849</t>
  </si>
  <si>
    <t>893333547</t>
  </si>
  <si>
    <t>HV5825 .D778 1971</t>
  </si>
  <si>
    <t>0                      HV 5825000D  778         1971</t>
  </si>
  <si>
    <t>Drugs.</t>
  </si>
  <si>
    <t>New York, The New York Times, 1971.</t>
  </si>
  <si>
    <t>The Great contemporary issues</t>
  </si>
  <si>
    <t>2008-04-10</t>
  </si>
  <si>
    <t>1991-09-26</t>
  </si>
  <si>
    <t>10278499474:eng</t>
  </si>
  <si>
    <t>348395</t>
  </si>
  <si>
    <t>991002434499702656</t>
  </si>
  <si>
    <t>2271074950002656</t>
  </si>
  <si>
    <t>32285000716117</t>
  </si>
  <si>
    <t>893421357</t>
  </si>
  <si>
    <t>HV5825 .H43</t>
  </si>
  <si>
    <t>0                      HV 5825000H  43</t>
  </si>
  <si>
    <t>Drugs and minority oppression / John Helmer.</t>
  </si>
  <si>
    <t>Helmer, John.</t>
  </si>
  <si>
    <t>New York : Seabury Press, [1975]</t>
  </si>
  <si>
    <t>A Continuum book</t>
  </si>
  <si>
    <t>2008-03-16</t>
  </si>
  <si>
    <t>1991-12-18</t>
  </si>
  <si>
    <t>2125658:eng</t>
  </si>
  <si>
    <t>1177735</t>
  </si>
  <si>
    <t>991003600689702656</t>
  </si>
  <si>
    <t>2264508480002656</t>
  </si>
  <si>
    <t>9780816492169</t>
  </si>
  <si>
    <t>32285000896117</t>
  </si>
  <si>
    <t>893416558</t>
  </si>
  <si>
    <t>HV5825 .N445 1998</t>
  </si>
  <si>
    <t>0                      HV 5825000N  445         1998</t>
  </si>
  <si>
    <t>The new war on drugs : symbolic politics and criminal justice policy / edited by Eric L. Jenson, Jurg Gerber.</t>
  </si>
  <si>
    <t>Highland Heights, KY : Academy of Criminal Justice Sciences ; Cincinnati, OH : Anderson Publishing Co., c1998.</t>
  </si>
  <si>
    <t>ACJS/Anderson monograph series</t>
  </si>
  <si>
    <t>2009-11-18</t>
  </si>
  <si>
    <t>1999-01-21</t>
  </si>
  <si>
    <t>355033235:eng</t>
  </si>
  <si>
    <t>38277183</t>
  </si>
  <si>
    <t>991002902649702656</t>
  </si>
  <si>
    <t>2271065140002656</t>
  </si>
  <si>
    <t>9780870844386</t>
  </si>
  <si>
    <t>32285003514584</t>
  </si>
  <si>
    <t>893610445</t>
  </si>
  <si>
    <t>HV5825 .O93 1985</t>
  </si>
  <si>
    <t>0                      HV 5825000O  93          1985</t>
  </si>
  <si>
    <t>Substance abusers, criminality and aftercare : why prisons don't work / by Robert Mason Owings.</t>
  </si>
  <si>
    <t>Owings, Robert Mason.</t>
  </si>
  <si>
    <t>San Pedro, Calif. : Lifeline Publishers, 1985, c1980.</t>
  </si>
  <si>
    <t>2008-10-01</t>
  </si>
  <si>
    <t>1992-07-07</t>
  </si>
  <si>
    <t>6831404:eng</t>
  </si>
  <si>
    <t>13356865</t>
  </si>
  <si>
    <t>991000815319702656</t>
  </si>
  <si>
    <t>2266718500002656</t>
  </si>
  <si>
    <t>9780930823016</t>
  </si>
  <si>
    <t>32285001181238</t>
  </si>
  <si>
    <t>893690063</t>
  </si>
  <si>
    <t>HV5825 .S396 1991</t>
  </si>
  <si>
    <t>0                      HV 5825000S  396         1991</t>
  </si>
  <si>
    <t>Searching for alternatives : drug-control policy in the United States / edited and with an introduction by Melvyn B. Krauss and Edward P. Lazear.</t>
  </si>
  <si>
    <t>Stanford, Calif. : Hoover Institution Press, Stanford University, c1991.</t>
  </si>
  <si>
    <t>366745129:eng</t>
  </si>
  <si>
    <t>23973293</t>
  </si>
  <si>
    <t>991001897539702656</t>
  </si>
  <si>
    <t>2259234280002656</t>
  </si>
  <si>
    <t>9780817991418</t>
  </si>
  <si>
    <t>32285003270641</t>
  </si>
  <si>
    <t>893785475</t>
  </si>
  <si>
    <t>HV5825 .S449 1988</t>
  </si>
  <si>
    <t>0                      HV 5825000S  449         1988</t>
  </si>
  <si>
    <t>Desperados : Latin drug lords, U.S. lawmen, and the war America can't win / Elaine Shannon.</t>
  </si>
  <si>
    <t>Shannon, Elaine.</t>
  </si>
  <si>
    <t>New York : Viking, 1988.</t>
  </si>
  <si>
    <t>2010-07-20</t>
  </si>
  <si>
    <t>15554435:eng</t>
  </si>
  <si>
    <t>17510057</t>
  </si>
  <si>
    <t>991001227719702656</t>
  </si>
  <si>
    <t>2257283990002656</t>
  </si>
  <si>
    <t>9780670810260</t>
  </si>
  <si>
    <t>32285000148600</t>
  </si>
  <si>
    <t>893803461</t>
  </si>
  <si>
    <t>HV5825 .S4497 1994</t>
  </si>
  <si>
    <t>0                      HV 5825000S  4497        1994</t>
  </si>
  <si>
    <t>The dilemma of drug policy in the United States / Elaine B. Sharp.</t>
  </si>
  <si>
    <t>Sharp, Elaine B.</t>
  </si>
  <si>
    <t>New York : HarperCollins College Publishers, c1994.</t>
  </si>
  <si>
    <t>The HarperCollins public policy series</t>
  </si>
  <si>
    <t>2006-12-03</t>
  </si>
  <si>
    <t>1994-09-13</t>
  </si>
  <si>
    <t>20654332:eng</t>
  </si>
  <si>
    <t>29469324</t>
  </si>
  <si>
    <t>991002270659702656</t>
  </si>
  <si>
    <t>2261317400002656</t>
  </si>
  <si>
    <t>9780065009736</t>
  </si>
  <si>
    <t>32285001867331</t>
  </si>
  <si>
    <t>893691410</t>
  </si>
  <si>
    <t>HV5825 .T68 2004</t>
  </si>
  <si>
    <t>0                      HV 5825000T  68          2004</t>
  </si>
  <si>
    <t>Can't find my way home : America in the great stoned age, 1945-2000 / Martin Torgoff.</t>
  </si>
  <si>
    <t>Torgoff, Martin.</t>
  </si>
  <si>
    <t>New York : Simon &amp; Schuster Paperbacks, c2004.</t>
  </si>
  <si>
    <t>2009-02-16</t>
  </si>
  <si>
    <t>2006-04-17</t>
  </si>
  <si>
    <t>741213:eng</t>
  </si>
  <si>
    <t>54349574</t>
  </si>
  <si>
    <t>991004784639702656</t>
  </si>
  <si>
    <t>2268616600002656</t>
  </si>
  <si>
    <t>9780743230100</t>
  </si>
  <si>
    <t>32285005064059</t>
  </si>
  <si>
    <t>893319636</t>
  </si>
  <si>
    <t>HV5825 .W548 1990</t>
  </si>
  <si>
    <t>0                      HV 5825000W  548         1990</t>
  </si>
  <si>
    <t>Beyond the war on drugs : overcoming a failed public policy / Steven Wisotsky ; preface by Thomas Szasz.</t>
  </si>
  <si>
    <t>Wisotsky, Steven.</t>
  </si>
  <si>
    <t>Buffalo, N.Y. : Prometheus Books, 1990.</t>
  </si>
  <si>
    <t>2007-12-07</t>
  </si>
  <si>
    <t>1991-11-18</t>
  </si>
  <si>
    <t>930304:eng</t>
  </si>
  <si>
    <t>20931793</t>
  </si>
  <si>
    <t>991001632469702656</t>
  </si>
  <si>
    <t>2265931700002656</t>
  </si>
  <si>
    <t>9780879755874</t>
  </si>
  <si>
    <t>32285000817105</t>
  </si>
  <si>
    <t>893885427</t>
  </si>
  <si>
    <t>HV5825 .W55 1986</t>
  </si>
  <si>
    <t>0                      HV 5825000W  55          1986</t>
  </si>
  <si>
    <t>Breaking the impasse in the war on drugs / Steven Wisotsky ; foreword by Thomas Szasz.</t>
  </si>
  <si>
    <t>New York : Greenwood Press, 1986.</t>
  </si>
  <si>
    <t>Contributions in political science, 0147-1066 ; no. 159</t>
  </si>
  <si>
    <t>2607007:eng</t>
  </si>
  <si>
    <t>13397145</t>
  </si>
  <si>
    <t>991000823489702656</t>
  </si>
  <si>
    <t>2263842830002656</t>
  </si>
  <si>
    <t>9780313242663</t>
  </si>
  <si>
    <t>32285000872985</t>
  </si>
  <si>
    <t>893772003</t>
  </si>
  <si>
    <t>HV5825 .Z56 1992</t>
  </si>
  <si>
    <t>0                      HV 5825000Z  56          1992</t>
  </si>
  <si>
    <t>The search for rational drug control / Franklin E. Zimring and Gordon Hawkins.</t>
  </si>
  <si>
    <t>Zimring, Franklin E.</t>
  </si>
  <si>
    <t>Cambridge ; New York : Cambridge University Press, 1992.</t>
  </si>
  <si>
    <t>An Earl Warren Legal Institute study</t>
  </si>
  <si>
    <t>1993-09-22</t>
  </si>
  <si>
    <t>26159559:eng</t>
  </si>
  <si>
    <t>24144067</t>
  </si>
  <si>
    <t>991001912649702656</t>
  </si>
  <si>
    <t>2264721740002656</t>
  </si>
  <si>
    <t>9780521416689</t>
  </si>
  <si>
    <t>32285001767770</t>
  </si>
  <si>
    <t>893809221</t>
  </si>
  <si>
    <t>HV5831.C2 A635 1985</t>
  </si>
  <si>
    <t>0                      HV 5831000C  2                  A  635         1985</t>
  </si>
  <si>
    <t>Wheeling and dealing : an ethnography of an upper-level drug dealing and smuggling community / Patricia A. Adler.</t>
  </si>
  <si>
    <t>Adler, Patricia A.</t>
  </si>
  <si>
    <t>2007-11-10</t>
  </si>
  <si>
    <t>836700380:eng</t>
  </si>
  <si>
    <t>11676187</t>
  </si>
  <si>
    <t>991000573809702656</t>
  </si>
  <si>
    <t>2256751270002656</t>
  </si>
  <si>
    <t>9780231060608</t>
  </si>
  <si>
    <t>32285000148139</t>
  </si>
  <si>
    <t>893890822</t>
  </si>
  <si>
    <t>HV5831.M46 R67 1998</t>
  </si>
  <si>
    <t>0                      HV 5831000M  46                 R  67          1998</t>
  </si>
  <si>
    <t>Twilight on the line : underworlds and politics at the U.S.-Mexico Border / Sebastian Rotella.</t>
  </si>
  <si>
    <t>Rotella, Sebastian.</t>
  </si>
  <si>
    <t>New York : W.W. Norton, c1998.</t>
  </si>
  <si>
    <t>1998-02-24</t>
  </si>
  <si>
    <t>340286899:eng</t>
  </si>
  <si>
    <t>36807426</t>
  </si>
  <si>
    <t>991002802239702656</t>
  </si>
  <si>
    <t>2261149920002656</t>
  </si>
  <si>
    <t>9780393041132</t>
  </si>
  <si>
    <t>32285003355061</t>
  </si>
  <si>
    <t>893434303</t>
  </si>
  <si>
    <t>HV5840.B72 R564 2005</t>
  </si>
  <si>
    <t>0                      HV 5840000B  72                 R  564         2005</t>
  </si>
  <si>
    <t>Lucia : testimonies of a Brazilian drug dealer's woman / Robert Gay ; foreword by Arthur Schmidt.</t>
  </si>
  <si>
    <t>Gay, Robert, 1958-</t>
  </si>
  <si>
    <t>Philadelphia : Temple University Press, 2005.</t>
  </si>
  <si>
    <t>Voices of Latin American life</t>
  </si>
  <si>
    <t>2010-01-26</t>
  </si>
  <si>
    <t>2006-02-03</t>
  </si>
  <si>
    <t>186177:eng</t>
  </si>
  <si>
    <t>56825150</t>
  </si>
  <si>
    <t>991004714419702656</t>
  </si>
  <si>
    <t>2269868410002656</t>
  </si>
  <si>
    <t>9781592133383</t>
  </si>
  <si>
    <t>32285005156996</t>
  </si>
  <si>
    <t>893606373</t>
  </si>
  <si>
    <t>HV5840.C315 G75 1997</t>
  </si>
  <si>
    <t>0                      HV 5840000C  315                G  75          1997</t>
  </si>
  <si>
    <t>Drugs and security in the Caribbean : sovereignty under siege / Ivelaw Lloyd Griffith.</t>
  </si>
  <si>
    <t>Griffith, Ivelaw L.</t>
  </si>
  <si>
    <t>University Park, Pa. : Pennsylvannia State University Press, c1997.</t>
  </si>
  <si>
    <t>2010-04-08</t>
  </si>
  <si>
    <t>1998-09-09</t>
  </si>
  <si>
    <t>335674834:eng</t>
  </si>
  <si>
    <t>36037841</t>
  </si>
  <si>
    <t>991005425359702656</t>
  </si>
  <si>
    <t>2256739700002656</t>
  </si>
  <si>
    <t>9780271017181</t>
  </si>
  <si>
    <t>32285003466611</t>
  </si>
  <si>
    <t>893514736</t>
  </si>
  <si>
    <t>HV5840.C7 K57 2003</t>
  </si>
  <si>
    <t>0                      HV 5840000C  7                  K  57          2003</t>
  </si>
  <si>
    <t>More terrible than death : massacres, drugs, and America's war in Colombia / Robin Kirk.</t>
  </si>
  <si>
    <t>Kirk, Robin.</t>
  </si>
  <si>
    <t>New York : PublicAffairs, c2003.</t>
  </si>
  <si>
    <t>lst ed.</t>
  </si>
  <si>
    <t>2010-04-27</t>
  </si>
  <si>
    <t>2003-03-26</t>
  </si>
  <si>
    <t>7378083:eng</t>
  </si>
  <si>
    <t>50773179</t>
  </si>
  <si>
    <t>991004004649702656</t>
  </si>
  <si>
    <t>2263161680002656</t>
  </si>
  <si>
    <t>9781586481049</t>
  </si>
  <si>
    <t>32285004686878</t>
  </si>
  <si>
    <t>893693406</t>
  </si>
  <si>
    <t>HV5840.C7 M636 2004</t>
  </si>
  <si>
    <t>0                      HV 5840000C  7                  M  636         2004</t>
  </si>
  <si>
    <t>Loyal soldiers in the cocaine kingdom : tales of drugs, mules, and gunmen / Alfredo Molano ; translated by James Graham.</t>
  </si>
  <si>
    <t>Molano, Alfredo.</t>
  </si>
  <si>
    <t>New York : Columbia University Press, c2004.</t>
  </si>
  <si>
    <t>2005-12-07</t>
  </si>
  <si>
    <t>2004-06-09</t>
  </si>
  <si>
    <t>480057053:eng</t>
  </si>
  <si>
    <t>52819956</t>
  </si>
  <si>
    <t>991004290079702656</t>
  </si>
  <si>
    <t>2267994490002656</t>
  </si>
  <si>
    <t>9780231129145</t>
  </si>
  <si>
    <t>32285004908348</t>
  </si>
  <si>
    <t>893331414</t>
  </si>
  <si>
    <t>HV5840.D65 R67 1998</t>
  </si>
  <si>
    <t>0                      HV 5840000D  65                 R  67          1998</t>
  </si>
  <si>
    <t>El reinado de Vincho Castillo : droga y política en República Dominicana / Fausto Rosario Adames.</t>
  </si>
  <si>
    <t>Rosario Adames, Fausto.</t>
  </si>
  <si>
    <t>Santo Domingo : Impresos Vargas, c1998.</t>
  </si>
  <si>
    <t>1. ed.</t>
  </si>
  <si>
    <t xml:space="preserve">dr </t>
  </si>
  <si>
    <t>1998-07-28</t>
  </si>
  <si>
    <t>41529795:spa</t>
  </si>
  <si>
    <t>39556754</t>
  </si>
  <si>
    <t>991002960589702656</t>
  </si>
  <si>
    <t>2263958570002656</t>
  </si>
  <si>
    <t>32285003402947</t>
  </si>
  <si>
    <t>893786795</t>
  </si>
  <si>
    <t>HV5840.L4 P76 2001</t>
  </si>
  <si>
    <t>0                      HV 5840000L  4                  P  76          2001</t>
  </si>
  <si>
    <t>Proximité, travail social et toxicomanies : construction de nouvelles approches / sous la direction de Hyam Samaha Kahi.</t>
  </si>
  <si>
    <t>Beyrouth, Liban : International Federation of Catholic Universities : École Libanaise de Formation Sociale, Université Saint-Joseph, 2001.</t>
  </si>
  <si>
    <t>fre</t>
  </si>
  <si>
    <t xml:space="preserve">le </t>
  </si>
  <si>
    <t>Série internationale ; no. 6</t>
  </si>
  <si>
    <t>2002-04-02</t>
  </si>
  <si>
    <t>1364129155:fre</t>
  </si>
  <si>
    <t>49349023</t>
  </si>
  <si>
    <t>991003783299702656</t>
  </si>
  <si>
    <t>2255050450002656</t>
  </si>
  <si>
    <t>9782911048128</t>
  </si>
  <si>
    <t>32285004423587</t>
  </si>
  <si>
    <t>893800165</t>
  </si>
  <si>
    <t>HV593.G7 W5 1983</t>
  </si>
  <si>
    <t>0                      HV 0593000G  7                  W  5           1983</t>
  </si>
  <si>
    <t>A bridge of people : a personal view of Oxfam's first forty years / Ben Whitaker ; with a foreword by Conor Cruise O'Brien.</t>
  </si>
  <si>
    <t>Whitaker, Ben, 1934-2014.</t>
  </si>
  <si>
    <t>London : Heinemann, c1983, 1984 printing.</t>
  </si>
  <si>
    <t>2006-10-30</t>
  </si>
  <si>
    <t>367800469:eng</t>
  </si>
  <si>
    <t>10118290</t>
  </si>
  <si>
    <t>991000315539702656</t>
  </si>
  <si>
    <t>2259087740002656</t>
  </si>
  <si>
    <t>9780434862757</t>
  </si>
  <si>
    <t>32285001682011</t>
  </si>
  <si>
    <t>893714484</t>
  </si>
  <si>
    <t>HV6001 .A37 1999, v.8</t>
  </si>
  <si>
    <t>0                      HV 6001000A  37          1999                                        v.8</t>
  </si>
  <si>
    <t>The criminology of criminal law / edited by William S. Laufer, Freda Adler ; with a foreword by Gerhard O.W. Mueller.</t>
  </si>
  <si>
    <t>V. 8</t>
  </si>
  <si>
    <t>New Brunswick, N.J. : Transaction, c1999.</t>
  </si>
  <si>
    <t>Advances in criminological theory, 0894-2366 ; v. 8</t>
  </si>
  <si>
    <t>2000-08-26</t>
  </si>
  <si>
    <t>1999-08-19</t>
  </si>
  <si>
    <t>502201949:eng</t>
  </si>
  <si>
    <t>40644755</t>
  </si>
  <si>
    <t>991003000539702656</t>
  </si>
  <si>
    <t>2261357000002656</t>
  </si>
  <si>
    <t>9781560003298</t>
  </si>
  <si>
    <t>32285003583175</t>
  </si>
  <si>
    <t>893348222</t>
  </si>
  <si>
    <t>HV6001 .E85 1997</t>
  </si>
  <si>
    <t>0                      HV 6001000E  85          1997</t>
  </si>
  <si>
    <t>Ethnicity, crime, and immigration : comparative and cross-national perspectives / edited by Michael Tonry.</t>
  </si>
  <si>
    <t>V. 21</t>
  </si>
  <si>
    <t>Chicago : University of Chicago Press, 1997.</t>
  </si>
  <si>
    <t>Crime and justice, 0192-3234 ; v. 21</t>
  </si>
  <si>
    <t>2008-01-22</t>
  </si>
  <si>
    <t>2000-08-01</t>
  </si>
  <si>
    <t>836992568:eng</t>
  </si>
  <si>
    <t>35128068</t>
  </si>
  <si>
    <t>991001672619702656</t>
  </si>
  <si>
    <t>2271117960002656</t>
  </si>
  <si>
    <t>9780226808277</t>
  </si>
  <si>
    <t>32285003744652</t>
  </si>
  <si>
    <t>893444754</t>
  </si>
  <si>
    <t>HV6018 .L55 1989</t>
  </si>
  <si>
    <t>0                      HV 6018000L  55          1989</t>
  </si>
  <si>
    <t>Criminological theory : context and consequences / by J. Robert Lilly, Francis T. Cullen, Richard A. Ball.</t>
  </si>
  <si>
    <t>Lilly, J. Robert.</t>
  </si>
  <si>
    <t>Newbury Park, Calif. : Sage Publications, c1989.</t>
  </si>
  <si>
    <t>Studies in crime, law, and justice ; v. 5</t>
  </si>
  <si>
    <t>2008-01-24</t>
  </si>
  <si>
    <t>1990-01-30</t>
  </si>
  <si>
    <t>796459657:eng</t>
  </si>
  <si>
    <t>18779024</t>
  </si>
  <si>
    <t>991001392429702656</t>
  </si>
  <si>
    <t>2256612680002656</t>
  </si>
  <si>
    <t>9780803926394</t>
  </si>
  <si>
    <t>32285000035880</t>
  </si>
  <si>
    <t>893778768</t>
  </si>
  <si>
    <t>HV6022.D65 M67 2001</t>
  </si>
  <si>
    <t>0                      HV 6022000D  65                 M  67          2001</t>
  </si>
  <si>
    <t>Criminología y violencia urbana : (un análisis de la criminología y de la violencia urbana en la República Dominicana) / Wilfredo Mora.</t>
  </si>
  <si>
    <t>Mora, Wilfredo, 1965-</t>
  </si>
  <si>
    <t>Santo Domingo : Editora Búho, 2001.</t>
  </si>
  <si>
    <t>Colección Pensamiento Criminológico Dominicano ; 1</t>
  </si>
  <si>
    <t>2002-02-21</t>
  </si>
  <si>
    <t>37331806:spa</t>
  </si>
  <si>
    <t>48515389</t>
  </si>
  <si>
    <t>991003744419702656</t>
  </si>
  <si>
    <t>2256791490002656</t>
  </si>
  <si>
    <t>9789993410010</t>
  </si>
  <si>
    <t>32285004456736</t>
  </si>
  <si>
    <t>893693105</t>
  </si>
  <si>
    <t>HV6022.U6 M47 1997</t>
  </si>
  <si>
    <t>0                      HV 6022000U  6                  M  47          1997</t>
  </si>
  <si>
    <t>Crime and the American dream / Steven F. Messner, Richard Rosenfeld.</t>
  </si>
  <si>
    <t>Messner, Steven F., 1951-</t>
  </si>
  <si>
    <t>Belmont, CA : Wadsworth Pub. Co., c1997.</t>
  </si>
  <si>
    <t>2003-12-01</t>
  </si>
  <si>
    <t>30817073:eng</t>
  </si>
  <si>
    <t>35192364</t>
  </si>
  <si>
    <t>991002695409702656</t>
  </si>
  <si>
    <t>2256387970002656</t>
  </si>
  <si>
    <t>9780534517663</t>
  </si>
  <si>
    <t>32285002444551</t>
  </si>
  <si>
    <t>893317146</t>
  </si>
  <si>
    <t>HV6023 .M322 1960a</t>
  </si>
  <si>
    <t>0                      HV 6023000M  322         1960a</t>
  </si>
  <si>
    <t>Pioneers in criminology / edited and introduced by Hermann Mannheim.</t>
  </si>
  <si>
    <t>Chicago : Quadrangle Books, 1960.</t>
  </si>
  <si>
    <t>1960</t>
  </si>
  <si>
    <t>The library of criminology ; no. 1</t>
  </si>
  <si>
    <t>2009-12-15</t>
  </si>
  <si>
    <t>1993-12-13</t>
  </si>
  <si>
    <t>2006-06-09</t>
  </si>
  <si>
    <t>772127900:eng</t>
  </si>
  <si>
    <t>373513</t>
  </si>
  <si>
    <t>991001633339702656</t>
  </si>
  <si>
    <t>2261231620002656</t>
  </si>
  <si>
    <t>9780875851211</t>
  </si>
  <si>
    <t>32285001808152</t>
  </si>
  <si>
    <t>893516334</t>
  </si>
  <si>
    <t>HV6024.5 .B33 2003</t>
  </si>
  <si>
    <t>0                      HV 6024500B  33          2003</t>
  </si>
  <si>
    <t>The practice of research in criminology and criminal justice / Ronet Bachman, Russell K. Schutt.</t>
  </si>
  <si>
    <t>Bachman, Ronet.</t>
  </si>
  <si>
    <t>Thousand Oaks, Calif. : Pine Forge Press, c2003.</t>
  </si>
  <si>
    <t>2009-09-08</t>
  </si>
  <si>
    <t>2005-03-22</t>
  </si>
  <si>
    <t>755591:eng</t>
  </si>
  <si>
    <t>51460871</t>
  </si>
  <si>
    <t>991004478769702656</t>
  </si>
  <si>
    <t>2270987670002656</t>
  </si>
  <si>
    <t>9780761928775</t>
  </si>
  <si>
    <t>32285004958624</t>
  </si>
  <si>
    <t>893801004</t>
  </si>
  <si>
    <t>HV6025 .F39</t>
  </si>
  <si>
    <t>0                      HV 6025000F  39</t>
  </si>
  <si>
    <t>Criminal behaviour : a psychological analysis / M. Philip Feldman.</t>
  </si>
  <si>
    <t>Feldman, M. Philip (Maurice Philip)</t>
  </si>
  <si>
    <t>London ; New York : Wiley, c1977.</t>
  </si>
  <si>
    <t>2004-02-18</t>
  </si>
  <si>
    <t>909679111:eng</t>
  </si>
  <si>
    <t>2202403</t>
  </si>
  <si>
    <t>991004046339702656</t>
  </si>
  <si>
    <t>2258637980002656</t>
  </si>
  <si>
    <t>9780471994015</t>
  </si>
  <si>
    <t>32285003157798</t>
  </si>
  <si>
    <t>893705938</t>
  </si>
  <si>
    <t>HV6025 .R39 1992</t>
  </si>
  <si>
    <t>0                      HV 6025000R  39          1992</t>
  </si>
  <si>
    <t>Realist criminology : crime control and policing in the 1990s / edited by John Lowman, Brian D. MacLean.</t>
  </si>
  <si>
    <t>Toronto ; Buffalo : University of Toronto Press, c1992.</t>
  </si>
  <si>
    <t>890942665:eng</t>
  </si>
  <si>
    <t>27520563</t>
  </si>
  <si>
    <t>991002143959702656</t>
  </si>
  <si>
    <t>2266613610002656</t>
  </si>
  <si>
    <t>9780802028280</t>
  </si>
  <si>
    <t>32285001768380</t>
  </si>
  <si>
    <t>893703709</t>
  </si>
  <si>
    <t>HV6025 .S83 1974</t>
  </si>
  <si>
    <t>0                      HV 6025000S  83          1974</t>
  </si>
  <si>
    <t>Criminology / [by] Edwin H. Sutherland and Donald R. Cressey.</t>
  </si>
  <si>
    <t>Sutherland, Edwin Hardin, 1883-1950.</t>
  </si>
  <si>
    <t>Philadelphia : Lippincott, [1974]</t>
  </si>
  <si>
    <t>9th ed.</t>
  </si>
  <si>
    <t>2008-02-02</t>
  </si>
  <si>
    <t>1992-02-11</t>
  </si>
  <si>
    <t>1992-07-21</t>
  </si>
  <si>
    <t>2279793996:eng</t>
  </si>
  <si>
    <t>914787</t>
  </si>
  <si>
    <t>991001687189702656</t>
  </si>
  <si>
    <t>2262763250002656</t>
  </si>
  <si>
    <t>9780397472956</t>
  </si>
  <si>
    <t>32285000955236</t>
  </si>
  <si>
    <t>893529130</t>
  </si>
  <si>
    <t>HV6028 .R423 1985</t>
  </si>
  <si>
    <t>0                      HV 6028000R  423         1985</t>
  </si>
  <si>
    <t>Reactions to crime : the public, the police, courts, and prisons / edited by David P. Farrington and John Gunn.</t>
  </si>
  <si>
    <t>Chichester ; New York : Wiley, c1985.</t>
  </si>
  <si>
    <t>Current research in forensic psychiatry and psychology</t>
  </si>
  <si>
    <t>1991-12-13</t>
  </si>
  <si>
    <t>138559779:eng</t>
  </si>
  <si>
    <t>11069028</t>
  </si>
  <si>
    <t>991001767139702656</t>
  </si>
  <si>
    <t>2260013480002656</t>
  </si>
  <si>
    <t>9780471904977</t>
  </si>
  <si>
    <t>32285000890870</t>
  </si>
  <si>
    <t>893872785</t>
  </si>
  <si>
    <t>HV6028 .T49 1985</t>
  </si>
  <si>
    <t>0                      HV 6028000T  49          1985</t>
  </si>
  <si>
    <t>Theoretical methods in criminology / edited by Robert F. Meier.</t>
  </si>
  <si>
    <t>Beverly Hills, Calif. : SAGE Publications, c1985.</t>
  </si>
  <si>
    <t>2008-01-31</t>
  </si>
  <si>
    <t>54687136:eng</t>
  </si>
  <si>
    <t>11573910</t>
  </si>
  <si>
    <t>991000558569702656</t>
  </si>
  <si>
    <t>2264710770002656</t>
  </si>
  <si>
    <t>9780803920989</t>
  </si>
  <si>
    <t>32285001181295</t>
  </si>
  <si>
    <t>893790637</t>
  </si>
  <si>
    <t>HV6030 .A73 1984</t>
  </si>
  <si>
    <t>0                      HV 6030000A  73          1984</t>
  </si>
  <si>
    <t>Violence and crime in cross-national perspective / Dane Archer and Rosemary Gartner.</t>
  </si>
  <si>
    <t>Archer, Dane.</t>
  </si>
  <si>
    <t>New Haven : Yale University Press, c1984.</t>
  </si>
  <si>
    <t>146745614:eng</t>
  </si>
  <si>
    <t>10018993</t>
  </si>
  <si>
    <t>991000298199702656</t>
  </si>
  <si>
    <t>2269280220002656</t>
  </si>
  <si>
    <t>9780300031492</t>
  </si>
  <si>
    <t>32285001181311</t>
  </si>
  <si>
    <t>893601643</t>
  </si>
  <si>
    <t>HV6030 .C715 1998</t>
  </si>
  <si>
    <t>0                      HV 6030000C  715         1998</t>
  </si>
  <si>
    <t>Crime &amp; social exclusion / edited by Catherine Jones Finer and Mike Nellis.</t>
  </si>
  <si>
    <t>Oxford, UK ; Malden, MA : Blackwell Publishers, c1998.</t>
  </si>
  <si>
    <t>Broadening perspectives on social policy</t>
  </si>
  <si>
    <t>2005-04-04</t>
  </si>
  <si>
    <t>350158289:eng</t>
  </si>
  <si>
    <t>38248970</t>
  </si>
  <si>
    <t>991002900709702656</t>
  </si>
  <si>
    <t>2269875120002656</t>
  </si>
  <si>
    <t>9780631209126</t>
  </si>
  <si>
    <t>32285003433967</t>
  </si>
  <si>
    <t>893251755</t>
  </si>
  <si>
    <t>HV6030 .T69 1995</t>
  </si>
  <si>
    <t>0                      HV 6030000T  69          1995</t>
  </si>
  <si>
    <t>Cultural criminology / Jeff Ferrell &amp; Clinton R. Sanders [editors].</t>
  </si>
  <si>
    <t>Boston : Northeastern University Press, c1995.</t>
  </si>
  <si>
    <t>2001-12-12</t>
  </si>
  <si>
    <t>356019967:eng</t>
  </si>
  <si>
    <t>32202676</t>
  </si>
  <si>
    <t>991003680769702656</t>
  </si>
  <si>
    <t>2269786540002656</t>
  </si>
  <si>
    <t>9781555532352</t>
  </si>
  <si>
    <t>32285004428396</t>
  </si>
  <si>
    <t>893693025</t>
  </si>
  <si>
    <t>HV6041 .C7 v.18</t>
  </si>
  <si>
    <t>0                      HV 6041000C  7                                                       v.18</t>
  </si>
  <si>
    <t>Beyond the law : crime in complex organizations / edited by Michael Tonry and Albert J. Reiss, Jr.</t>
  </si>
  <si>
    <t>V. 18</t>
  </si>
  <si>
    <t>Chicago : University of Chicago, c1993.</t>
  </si>
  <si>
    <t>Crime and justice, 0192-3234 ; v. 18</t>
  </si>
  <si>
    <t>2000-08-24</t>
  </si>
  <si>
    <t>836923111:eng</t>
  </si>
  <si>
    <t>29030970</t>
  </si>
  <si>
    <t>991003272029702656</t>
  </si>
  <si>
    <t>2263610420002656</t>
  </si>
  <si>
    <t>9780226808215</t>
  </si>
  <si>
    <t>32285003759221</t>
  </si>
  <si>
    <t>893627522</t>
  </si>
  <si>
    <t>HV6046 .B82</t>
  </si>
  <si>
    <t>0                      HV 6046000B  82</t>
  </si>
  <si>
    <t>Women, crime, and the criminal justice system / Lee H. Bowker, with contributions by Meda Chesney-Lind, Joy Pollock.</t>
  </si>
  <si>
    <t>Bowker, Lee H.</t>
  </si>
  <si>
    <t>Lexington, Mass. : Lexington Books, c1978.</t>
  </si>
  <si>
    <t>2010-04-07</t>
  </si>
  <si>
    <t>12660167:eng</t>
  </si>
  <si>
    <t>4055920</t>
  </si>
  <si>
    <t>991004578409702656</t>
  </si>
  <si>
    <t>2272057370002656</t>
  </si>
  <si>
    <t>9780669023749</t>
  </si>
  <si>
    <t>32285000226422</t>
  </si>
  <si>
    <t>893895171</t>
  </si>
  <si>
    <t>HV6046 .D39 2009</t>
  </si>
  <si>
    <t>0                      HV 6046000D  39          2009</t>
  </si>
  <si>
    <t>The delinquent girl / edited by Margaret A. Zahn.</t>
  </si>
  <si>
    <t>Philadelphia : Temple University Press, 2009.</t>
  </si>
  <si>
    <t>2009-12-02</t>
  </si>
  <si>
    <t>866287600:eng</t>
  </si>
  <si>
    <t>213765828</t>
  </si>
  <si>
    <t>991005334579702656</t>
  </si>
  <si>
    <t>2271820020002656</t>
  </si>
  <si>
    <t>9781592139514</t>
  </si>
  <si>
    <t>32285005545057</t>
  </si>
  <si>
    <t>893501710</t>
  </si>
  <si>
    <t>HV6046 .F56 1995</t>
  </si>
  <si>
    <t>0                      HV 6046000F  56          1995</t>
  </si>
  <si>
    <t>Female crime, criminals, and cellmates : an exploration of female criminality and delinquency / by R. Barri Flowers.</t>
  </si>
  <si>
    <t>Flowers, R. Barri (Ronald Barri)</t>
  </si>
  <si>
    <t>Jefferson, N.C. : McFarland &amp; Co., c1995.</t>
  </si>
  <si>
    <t>1995-11-30</t>
  </si>
  <si>
    <t>285037296:eng</t>
  </si>
  <si>
    <t>32086794</t>
  </si>
  <si>
    <t>991002462089702656</t>
  </si>
  <si>
    <t>2271748110002656</t>
  </si>
  <si>
    <t>9780786400690</t>
  </si>
  <si>
    <t>32285002107208</t>
  </si>
  <si>
    <t>893879959</t>
  </si>
  <si>
    <t>HV6046 .I48</t>
  </si>
  <si>
    <t>0                      HV 6046000I  48</t>
  </si>
  <si>
    <t>The Incidence of female criminality in the contemporary world / edited by Freda Adler.</t>
  </si>
  <si>
    <t>New York : New York University Press, 1981.</t>
  </si>
  <si>
    <t>54447066:eng</t>
  </si>
  <si>
    <t>7461920</t>
  </si>
  <si>
    <t>991005115329702656</t>
  </si>
  <si>
    <t>2265886470002656</t>
  </si>
  <si>
    <t>9780814705766</t>
  </si>
  <si>
    <t>32285000226455</t>
  </si>
  <si>
    <t>893443423</t>
  </si>
  <si>
    <t>HV6046 .I86 1993</t>
  </si>
  <si>
    <t>0                      HV 6046000I  86          1993</t>
  </si>
  <si>
    <t>It's a crime : women and justice / [edited by] Roslyn Muraskin, Ted Alleman.</t>
  </si>
  <si>
    <t>Englewood Cliffs, N.J. : Regents/Prentice Hall, 1993.</t>
  </si>
  <si>
    <t>2007-03-16</t>
  </si>
  <si>
    <t>796429574:eng</t>
  </si>
  <si>
    <t>26852344</t>
  </si>
  <si>
    <t>991002092229702656</t>
  </si>
  <si>
    <t>2265012290002656</t>
  </si>
  <si>
    <t>9780139620515</t>
  </si>
  <si>
    <t>32285001831154</t>
  </si>
  <si>
    <t>893892135</t>
  </si>
  <si>
    <t>HV6046 .S62</t>
  </si>
  <si>
    <t>0                      HV 6046000S  62</t>
  </si>
  <si>
    <t>Women, crime, and criminology : a feminist critique / Carol Smart.</t>
  </si>
  <si>
    <t>Smart, Carol.</t>
  </si>
  <si>
    <t>London ; Boston : Routledge &amp; K. Paul, 1977 [i.e. 1976]</t>
  </si>
  <si>
    <t>5899365:eng</t>
  </si>
  <si>
    <t>2686753</t>
  </si>
  <si>
    <t>991004212219702656</t>
  </si>
  <si>
    <t>2261536100002656</t>
  </si>
  <si>
    <t>9780710084491</t>
  </si>
  <si>
    <t>32285001827947</t>
  </si>
  <si>
    <t>893229063</t>
  </si>
  <si>
    <t>HV6046 .W65</t>
  </si>
  <si>
    <t>0                      HV 6046000W  65</t>
  </si>
  <si>
    <t>Women, crime, and justice / edited by Susan K. Datesman, Frank R. Scarpitti.</t>
  </si>
  <si>
    <t>New York : Oxford University Press, 1980.</t>
  </si>
  <si>
    <t>1991-08-15</t>
  </si>
  <si>
    <t>356331657:eng</t>
  </si>
  <si>
    <t>5264302</t>
  </si>
  <si>
    <t>991001809369702656</t>
  </si>
  <si>
    <t>2258724560002656</t>
  </si>
  <si>
    <t>9780195026764</t>
  </si>
  <si>
    <t>32285000226489</t>
  </si>
  <si>
    <t>893615392</t>
  </si>
  <si>
    <t>HV6049 .Z36 1997</t>
  </si>
  <si>
    <t>0                      HV 6049000Z  36          1997</t>
  </si>
  <si>
    <t>The criminal recidivism process / Edward Zamble, Vernon L. Quinsey.</t>
  </si>
  <si>
    <t>Zamble, Edward.</t>
  </si>
  <si>
    <t>Cambridge [England] ; New York, NY, USA : Cambridge University Press, 1997.</t>
  </si>
  <si>
    <t>Cambridge criminology series</t>
  </si>
  <si>
    <t>2003-01-30</t>
  </si>
  <si>
    <t>1998-09-01</t>
  </si>
  <si>
    <t>47356:eng</t>
  </si>
  <si>
    <t>36510431</t>
  </si>
  <si>
    <t>991002781179702656</t>
  </si>
  <si>
    <t>2269042420002656</t>
  </si>
  <si>
    <t>9780521581790</t>
  </si>
  <si>
    <t>32285003464707</t>
  </si>
  <si>
    <t>893591769</t>
  </si>
  <si>
    <t>HV6080 .A32</t>
  </si>
  <si>
    <t>0                      HV 6080000A  32</t>
  </si>
  <si>
    <t>The psychology of crime.</t>
  </si>
  <si>
    <t>Abrahamsen, David, 1903-2002.</t>
  </si>
  <si>
    <t>New York, Columbia University Press, 1960.</t>
  </si>
  <si>
    <t>2002-10-07</t>
  </si>
  <si>
    <t>136647914:eng</t>
  </si>
  <si>
    <t>374614</t>
  </si>
  <si>
    <t>991001632309702656</t>
  </si>
  <si>
    <t>2262447920002656</t>
  </si>
  <si>
    <t>32285003158010</t>
  </si>
  <si>
    <t>893225961</t>
  </si>
  <si>
    <t>HV6080 .B547 1993</t>
  </si>
  <si>
    <t>0                      HV 6080000B  547         1993</t>
  </si>
  <si>
    <t>The psychology of criminal conduct : theory, research, and practice / Ronald Blackburn.</t>
  </si>
  <si>
    <t>Blackburn, Ronald.</t>
  </si>
  <si>
    <t>Chichester, England ; New York : J. Wiley, c1993.</t>
  </si>
  <si>
    <t>The Wiley series in clinical psychology</t>
  </si>
  <si>
    <t>2009-03-05</t>
  </si>
  <si>
    <t>1993-11-02</t>
  </si>
  <si>
    <t>9463455447:eng</t>
  </si>
  <si>
    <t>26216799</t>
  </si>
  <si>
    <t>991002052749702656</t>
  </si>
  <si>
    <t>2266424350002656</t>
  </si>
  <si>
    <t>9780471912958</t>
  </si>
  <si>
    <t>32285001789782</t>
  </si>
  <si>
    <t>893444930</t>
  </si>
  <si>
    <t>HV6080 .E9</t>
  </si>
  <si>
    <t>0                      HV 6080000E  9</t>
  </si>
  <si>
    <t>Crime and personality [by] H. J. Eysenck.</t>
  </si>
  <si>
    <t>Eysenck, H. J. (Hans Jurgen), 1916-1997.</t>
  </si>
  <si>
    <t>Boston, Houghton Mifflin [1964]</t>
  </si>
  <si>
    <t>The International series in the behavioral sciences</t>
  </si>
  <si>
    <t>2001-11-29</t>
  </si>
  <si>
    <t>115855335:eng</t>
  </si>
  <si>
    <t>265062</t>
  </si>
  <si>
    <t>991002084599702656</t>
  </si>
  <si>
    <t>2265222690002656</t>
  </si>
  <si>
    <t>32285003158036</t>
  </si>
  <si>
    <t>893529520</t>
  </si>
  <si>
    <t>HV6080 .H38</t>
  </si>
  <si>
    <t>0                      HV 6080000H  38</t>
  </si>
  <si>
    <t>Forensic psychology / L.R.C. Haward.</t>
  </si>
  <si>
    <t>Haward, L. R. C. (Lionel R. C.)</t>
  </si>
  <si>
    <t>London : Barsford Academic and Educational Ltd., 1981.</t>
  </si>
  <si>
    <t>2000-04-02</t>
  </si>
  <si>
    <t>3769185214:eng</t>
  </si>
  <si>
    <t>8728066</t>
  </si>
  <si>
    <t>991005160189702656</t>
  </si>
  <si>
    <t>2270466310002656</t>
  </si>
  <si>
    <t>9780713424751</t>
  </si>
  <si>
    <t>32285000226505</t>
  </si>
  <si>
    <t>893625537</t>
  </si>
  <si>
    <t>HV6080 .N5</t>
  </si>
  <si>
    <t>0                      HV 6080000N  5</t>
  </si>
  <si>
    <t>Criminal psychology.</t>
  </si>
  <si>
    <t>Nice, Richard W., editor.</t>
  </si>
  <si>
    <t>New York, Philosophical Library [1962]</t>
  </si>
  <si>
    <t>2005-05-01</t>
  </si>
  <si>
    <t>1317219:eng</t>
  </si>
  <si>
    <t>178673</t>
  </si>
  <si>
    <t>991001070329702656</t>
  </si>
  <si>
    <t>2264434780002656</t>
  </si>
  <si>
    <t>32285000896109</t>
  </si>
  <si>
    <t>893255980</t>
  </si>
  <si>
    <t>HV6080 .P33 1994</t>
  </si>
  <si>
    <t>0                      HV 6080000P  33          1994</t>
  </si>
  <si>
    <t>Criminal behavior : a process psychology analysis : personal constructs, stimulus determinants, behavioral repertoires / Nathaniel J. Pallone, James J. Hennessy.</t>
  </si>
  <si>
    <t>Pallone, Nathaniel J.</t>
  </si>
  <si>
    <t>New Brunswick (U.S.A.) : Transaction Publishers, 1994.</t>
  </si>
  <si>
    <t>2004-04-14</t>
  </si>
  <si>
    <t>1999-01-06</t>
  </si>
  <si>
    <t>26924636:eng</t>
  </si>
  <si>
    <t>31872804</t>
  </si>
  <si>
    <t>991002444479702656</t>
  </si>
  <si>
    <t>2262509090002656</t>
  </si>
  <si>
    <t>9781560007296</t>
  </si>
  <si>
    <t>32285003509832</t>
  </si>
  <si>
    <t>893322951</t>
  </si>
  <si>
    <t>HV6080 .R575 2000</t>
  </si>
  <si>
    <t>0                      HV 6080000R  575         2000</t>
  </si>
  <si>
    <t>Geographic profiling / D. Kim Rossmo.</t>
  </si>
  <si>
    <t>Rossmo, D. Kim.</t>
  </si>
  <si>
    <t>Boca Raton, Fla. CRC Press, c2000.</t>
  </si>
  <si>
    <t>2009-01-21</t>
  </si>
  <si>
    <t>2001-11-15</t>
  </si>
  <si>
    <t>20572237:eng</t>
  </si>
  <si>
    <t>42692068</t>
  </si>
  <si>
    <t>991003653689702656</t>
  </si>
  <si>
    <t>2258029010002656</t>
  </si>
  <si>
    <t>9780849381294</t>
  </si>
  <si>
    <t>32285004412077</t>
  </si>
  <si>
    <t>893499528</t>
  </si>
  <si>
    <t>HV6080 .S22 2004</t>
  </si>
  <si>
    <t>0                      HV 6080000S  22          2004</t>
  </si>
  <si>
    <t>Inside the criminal mind / Stanton E. Samenow.</t>
  </si>
  <si>
    <t>Samenow, Stanton E., 1941-</t>
  </si>
  <si>
    <t>New York : Crown Publishers, c2004.</t>
  </si>
  <si>
    <t>Rev. and updated ed.</t>
  </si>
  <si>
    <t>2010-12-07</t>
  </si>
  <si>
    <t>2004-05-25</t>
  </si>
  <si>
    <t>753257:eng</t>
  </si>
  <si>
    <t>52980600</t>
  </si>
  <si>
    <t>991004293329702656</t>
  </si>
  <si>
    <t>2265560130002656</t>
  </si>
  <si>
    <t>9781400046195</t>
  </si>
  <si>
    <t>32285004907258</t>
  </si>
  <si>
    <t>893411348</t>
  </si>
  <si>
    <t>HV6155 .W37 2002</t>
  </si>
  <si>
    <t>0                      HV 6155000W  37          2002</t>
  </si>
  <si>
    <t>Companions in crime : the social aspects of criminal conduct / Mark Warr.</t>
  </si>
  <si>
    <t>Warr, Mark, 1952-</t>
  </si>
  <si>
    <t>Cambridge, UK ; New York : Cambridge University Press, 2002.</t>
  </si>
  <si>
    <t>Cambridge studies in criminology</t>
  </si>
  <si>
    <t>2003-01-21</t>
  </si>
  <si>
    <t>196683253:eng</t>
  </si>
  <si>
    <t>47120364</t>
  </si>
  <si>
    <t>991003955009702656</t>
  </si>
  <si>
    <t>2269791740002656</t>
  </si>
  <si>
    <t>9780521009164</t>
  </si>
  <si>
    <t>32285004694989</t>
  </si>
  <si>
    <t>893881879</t>
  </si>
  <si>
    <t>HV6171 .Q54</t>
  </si>
  <si>
    <t>0                      HV 6171000Q  54</t>
  </si>
  <si>
    <t>Class, state, and crime : on the theory and practice of criminal justice / Richard Quinney.</t>
  </si>
  <si>
    <t>Quinney, Richard.</t>
  </si>
  <si>
    <t>New York : D. McKay Co., c1977.</t>
  </si>
  <si>
    <t>2007-04-26</t>
  </si>
  <si>
    <t>1994-04-08</t>
  </si>
  <si>
    <t>5214983851:eng</t>
  </si>
  <si>
    <t>2909472</t>
  </si>
  <si>
    <t>991004280519702656</t>
  </si>
  <si>
    <t>2267596850002656</t>
  </si>
  <si>
    <t>9780679303343</t>
  </si>
  <si>
    <t>32285001874642</t>
  </si>
  <si>
    <t>893618478</t>
  </si>
  <si>
    <t>HV6197.U5 O43 1992</t>
  </si>
  <si>
    <t>0                      HV 6197000U  5                  O  43          1992</t>
  </si>
  <si>
    <t>The crooked ladder : gangsters, ethnicity, and the American dream / James M. O'Kane.</t>
  </si>
  <si>
    <t>O'Kane, James M.</t>
  </si>
  <si>
    <t>New Brunswick, U.S.A. : Transaction Publishers, c1992.</t>
  </si>
  <si>
    <t>2004-03-15</t>
  </si>
  <si>
    <t>1993-08-30</t>
  </si>
  <si>
    <t>762134:eng</t>
  </si>
  <si>
    <t>24320135</t>
  </si>
  <si>
    <t>991001926439702656</t>
  </si>
  <si>
    <t>2272733260002656</t>
  </si>
  <si>
    <t>9781560000211</t>
  </si>
  <si>
    <t>32285001729119</t>
  </si>
  <si>
    <t>893691039</t>
  </si>
  <si>
    <t>HV6197.U5 P377 2000</t>
  </si>
  <si>
    <t>0                      HV 6197000U  5                  P  377         2000</t>
  </si>
  <si>
    <t>Perspectives. Race and crime / academic editors, Robert L. Bing III, Alejandro del Carmen.</t>
  </si>
  <si>
    <t>Bellevue, [NY] : Coursewise Pub., c2000.</t>
  </si>
  <si>
    <t>Perspectives</t>
  </si>
  <si>
    <t>2000-07-18</t>
  </si>
  <si>
    <t>28233492:eng</t>
  </si>
  <si>
    <t>43031460</t>
  </si>
  <si>
    <t>991003203949702656</t>
  </si>
  <si>
    <t>2261237550002656</t>
  </si>
  <si>
    <t>9780618025800</t>
  </si>
  <si>
    <t>32285003687208</t>
  </si>
  <si>
    <t>893524542</t>
  </si>
  <si>
    <t>HV6197.U5 S97 2000</t>
  </si>
  <si>
    <t>0                      HV 6197000U  5                  S  97          2000</t>
  </si>
  <si>
    <t>The system in black and white : exploring the connections between race, crime, and justice / edited by Michael W. Markowitz and Delores D. Jones-Brown.</t>
  </si>
  <si>
    <t>Westport, Conn. : Praeger, 2000.</t>
  </si>
  <si>
    <t>2001-05-09</t>
  </si>
  <si>
    <t>797245343:eng</t>
  </si>
  <si>
    <t>40444527</t>
  </si>
  <si>
    <t>991003515619702656</t>
  </si>
  <si>
    <t>2272807260002656</t>
  </si>
  <si>
    <t>9780275959746</t>
  </si>
  <si>
    <t>32285004316906</t>
  </si>
  <si>
    <t>893416462</t>
  </si>
  <si>
    <t>HV6208 .L79</t>
  </si>
  <si>
    <t>0                      HV 6208000L  79</t>
  </si>
  <si>
    <t>Facts on crimes and criminals.</t>
  </si>
  <si>
    <t>Lunden, Walter A. (Walter Albin), 1899-1990.</t>
  </si>
  <si>
    <t>Ames, Iowa : Art Press, [1961]</t>
  </si>
  <si>
    <t>1961</t>
  </si>
  <si>
    <t>2007-02-06</t>
  </si>
  <si>
    <t>3855584833:eng</t>
  </si>
  <si>
    <t>1555689</t>
  </si>
  <si>
    <t>991003819299702656</t>
  </si>
  <si>
    <t>2267957020002656</t>
  </si>
  <si>
    <t>32285001874634</t>
  </si>
  <si>
    <t>893868909</t>
  </si>
  <si>
    <t>HV6248 .C6673 2003</t>
  </si>
  <si>
    <t>0                      HV 6248000C  6673        2003</t>
  </si>
  <si>
    <t>Double deal : the inside story of murder, unbridled corruption and the cop who was a mobster / Michael Corbitt with Sam Giancana.</t>
  </si>
  <si>
    <t>Corbitt, Michael.</t>
  </si>
  <si>
    <t>New York : William Morrow, c2003.</t>
  </si>
  <si>
    <t>2003-07-28</t>
  </si>
  <si>
    <t>2003-06-18</t>
  </si>
  <si>
    <t>650999:eng</t>
  </si>
  <si>
    <t>51689295</t>
  </si>
  <si>
    <t>991004074669702656</t>
  </si>
  <si>
    <t>2266870760002656</t>
  </si>
  <si>
    <t>9780060195854</t>
  </si>
  <si>
    <t>32285004753736</t>
  </si>
  <si>
    <t>893900775</t>
  </si>
  <si>
    <t>HV6248.B665 C37 1986</t>
  </si>
  <si>
    <t>0                      HV 6248000B  665                C  37          1986</t>
  </si>
  <si>
    <t>The big dance : the untold story of Kathy Boudin and the terrorist family that committed the Brink's robbery murders / [by] John Castellucci.</t>
  </si>
  <si>
    <t>Castellucci, John.</t>
  </si>
  <si>
    <t>New York : Dodd, Mead, c1986.</t>
  </si>
  <si>
    <t>2010-07-15</t>
  </si>
  <si>
    <t>5464021:eng</t>
  </si>
  <si>
    <t>12669487</t>
  </si>
  <si>
    <t>991005067029702656</t>
  </si>
  <si>
    <t>2268352980002656</t>
  </si>
  <si>
    <t>9780396087137</t>
  </si>
  <si>
    <t>32285005286348</t>
  </si>
  <si>
    <t>893338442</t>
  </si>
  <si>
    <t>HV6248.B773 R84 1981</t>
  </si>
  <si>
    <t>0                      HV 6248000B  773                R  84          1981</t>
  </si>
  <si>
    <t>The stranger beside me / Ann Rule.</t>
  </si>
  <si>
    <t>Rule, Ann.</t>
  </si>
  <si>
    <t>New York : New American Library, 1981, c1980.</t>
  </si>
  <si>
    <t>2007-03-12</t>
  </si>
  <si>
    <t>1990-02-08</t>
  </si>
  <si>
    <t>44980:eng</t>
  </si>
  <si>
    <t>7591515</t>
  </si>
  <si>
    <t>991005138089702656</t>
  </si>
  <si>
    <t>2271179580002656</t>
  </si>
  <si>
    <t>9780451098887</t>
  </si>
  <si>
    <t>32285000008341</t>
  </si>
  <si>
    <t>893688651</t>
  </si>
  <si>
    <t>HV6248.C125 C66 2002</t>
  </si>
  <si>
    <t>0                      HV 6248000C  125                C  66          2002</t>
  </si>
  <si>
    <t>Tailspin : the strange case of Major Call / by Bernard F. Conners.</t>
  </si>
  <si>
    <t>Conners, Bernard F.</t>
  </si>
  <si>
    <t>Latham, N.Y. : British American Pub., c2002.</t>
  </si>
  <si>
    <t>2002-07-31</t>
  </si>
  <si>
    <t>744244:eng</t>
  </si>
  <si>
    <t>48383277</t>
  </si>
  <si>
    <t>991003844249702656</t>
  </si>
  <si>
    <t>2271921020002656</t>
  </si>
  <si>
    <t>9780945167501</t>
  </si>
  <si>
    <t>32285004641188</t>
  </si>
  <si>
    <t>893787861</t>
  </si>
  <si>
    <t>HV6248.C17 B47 1994</t>
  </si>
  <si>
    <t>0                      HV 6248000C  17                 B  47          1994</t>
  </si>
  <si>
    <t>Capone : the man and the era / Laurence Bergreen.</t>
  </si>
  <si>
    <t>Bergreen, Laurence.</t>
  </si>
  <si>
    <t>New York : Simon &amp; Schuster, c1994.</t>
  </si>
  <si>
    <t>1994-09-29</t>
  </si>
  <si>
    <t>32145511:eng</t>
  </si>
  <si>
    <t>29877924</t>
  </si>
  <si>
    <t>991002303749702656</t>
  </si>
  <si>
    <t>2257710700002656</t>
  </si>
  <si>
    <t>9780671744564</t>
  </si>
  <si>
    <t>32285001947745</t>
  </si>
  <si>
    <t>893892403</t>
  </si>
  <si>
    <t>HV6248.C17 M87 1975</t>
  </si>
  <si>
    <t>0                      HV 6248000C  17                 M  87          1975</t>
  </si>
  <si>
    <t>The legacy of Al Capone : portraits and annals of Chicago's public enemies / by George Murray.</t>
  </si>
  <si>
    <t>Murray, George, 1909-1996.</t>
  </si>
  <si>
    <t>New York : Putnam, [1975]</t>
  </si>
  <si>
    <t>2273848:eng</t>
  </si>
  <si>
    <t>1365939</t>
  </si>
  <si>
    <t>991003720599702656</t>
  </si>
  <si>
    <t>2256162270002656</t>
  </si>
  <si>
    <t>9780399115028</t>
  </si>
  <si>
    <t>32285001031292</t>
  </si>
  <si>
    <t>893518801</t>
  </si>
  <si>
    <t>HV6248.F83 B43</t>
  </si>
  <si>
    <t>0                      HV 6248000F  83                 B  43</t>
  </si>
  <si>
    <t>Caril, by Ninette Beaver, B. K. Ripley, and Patrick Trese.</t>
  </si>
  <si>
    <t>Beaver, Ninette.</t>
  </si>
  <si>
    <t>Philadelphia, Lippincott [1974]</t>
  </si>
  <si>
    <t>2006-02-08</t>
  </si>
  <si>
    <t>2010-06-08</t>
  </si>
  <si>
    <t>1868528:eng</t>
  </si>
  <si>
    <t>922827</t>
  </si>
  <si>
    <t>991001687419702656</t>
  </si>
  <si>
    <t>2264899260002656</t>
  </si>
  <si>
    <t>9780397009978</t>
  </si>
  <si>
    <t>32285003158101</t>
  </si>
  <si>
    <t>893414404</t>
  </si>
  <si>
    <t>HV6248.L25 L33 1991</t>
  </si>
  <si>
    <t>0                      HV 6248000L  25                 L  33          1991</t>
  </si>
  <si>
    <t>Little man : Meyer Lansky and the gangster life / by Robert Lacey.</t>
  </si>
  <si>
    <t>Lacey, Robert.</t>
  </si>
  <si>
    <t>Boston : Little, Brown, c1991.</t>
  </si>
  <si>
    <t>2007-11-03</t>
  </si>
  <si>
    <t>1991-12-19</t>
  </si>
  <si>
    <t>387146:eng</t>
  </si>
  <si>
    <t>23768703</t>
  </si>
  <si>
    <t>991001887359702656</t>
  </si>
  <si>
    <t>2269705630002656</t>
  </si>
  <si>
    <t>9780316511681</t>
  </si>
  <si>
    <t>32285000861301</t>
  </si>
  <si>
    <t>893596807</t>
  </si>
  <si>
    <t>HV6248.L25 M46</t>
  </si>
  <si>
    <t>0                      HV 6248000L  25                 M  46</t>
  </si>
  <si>
    <t>Lansky.</t>
  </si>
  <si>
    <t>Messick, Hank.</t>
  </si>
  <si>
    <t>New York : Putnam, [1971]</t>
  </si>
  <si>
    <t>1992-04-11</t>
  </si>
  <si>
    <t>1271325:eng</t>
  </si>
  <si>
    <t>132181</t>
  </si>
  <si>
    <t>991000774849702656</t>
  </si>
  <si>
    <t>2256809330002656</t>
  </si>
  <si>
    <t>32285001057651</t>
  </si>
  <si>
    <t>893595867</t>
  </si>
  <si>
    <t>HV6248.M82 L86 1980</t>
  </si>
  <si>
    <t>0                      HV 6248000M  82                 L  86          1980</t>
  </si>
  <si>
    <t>The die song : a journey into the mind of a mass murderer / Donald T. Lunde and Jefferson Morgan.</t>
  </si>
  <si>
    <t>Lunde, Donald T.</t>
  </si>
  <si>
    <t>New York : Norton, c1980.</t>
  </si>
  <si>
    <t>2002-12-09</t>
  </si>
  <si>
    <t>459736:eng</t>
  </si>
  <si>
    <t>5946226</t>
  </si>
  <si>
    <t>991004904509702656</t>
  </si>
  <si>
    <t>2257960440002656</t>
  </si>
  <si>
    <t>9780393013153</t>
  </si>
  <si>
    <t>32285000226554</t>
  </si>
  <si>
    <t>893412051</t>
  </si>
  <si>
    <t>HV6248.S6274 A44</t>
  </si>
  <si>
    <t>0                      HV 6248000S  6274               A  44</t>
  </si>
  <si>
    <t>Starkweather : the story of a mass murderer / William Allen.</t>
  </si>
  <si>
    <t>Allen, William, 1940-</t>
  </si>
  <si>
    <t>Boston : Houghton Mifflin, 1976.</t>
  </si>
  <si>
    <t>2010-02-26</t>
  </si>
  <si>
    <t>1991-02-28</t>
  </si>
  <si>
    <t>2722903:eng</t>
  </si>
  <si>
    <t>1974026</t>
  </si>
  <si>
    <t>991003959389702656</t>
  </si>
  <si>
    <t>2262940630002656</t>
  </si>
  <si>
    <t>9780395240779</t>
  </si>
  <si>
    <t>32285000494830</t>
  </si>
  <si>
    <t>893337185</t>
  </si>
  <si>
    <t>HV6250.2 .F76 1986</t>
  </si>
  <si>
    <t>0                      HV 6250200F  76          1986</t>
  </si>
  <si>
    <t>From crime policy to victim policy : reorienting the justice system / edited by Ezzat A. Fattah.</t>
  </si>
  <si>
    <t>New York, N.Y. : St. Martin's Press, 1986.</t>
  </si>
  <si>
    <t>2003-02-15</t>
  </si>
  <si>
    <t>1992-07-08</t>
  </si>
  <si>
    <t>836681350:eng</t>
  </si>
  <si>
    <t>12804879</t>
  </si>
  <si>
    <t>991000738659702656</t>
  </si>
  <si>
    <t>2256060230002656</t>
  </si>
  <si>
    <t>9780312307073</t>
  </si>
  <si>
    <t>32285001181485</t>
  </si>
  <si>
    <t>893432249</t>
  </si>
  <si>
    <t>HV6250.25 .L48 1993</t>
  </si>
  <si>
    <t>0                      HV 6250250L  48          1993</t>
  </si>
  <si>
    <t>Hate crimes : the rising tide of bigotry and bloodshed / Jack Levin and Jack McDevitt.</t>
  </si>
  <si>
    <t>Levin, Jack, 1941-</t>
  </si>
  <si>
    <t>New York : Plenum Press, c1993.</t>
  </si>
  <si>
    <t>2002-11-06</t>
  </si>
  <si>
    <t>1994-02-07</t>
  </si>
  <si>
    <t>330024:eng</t>
  </si>
  <si>
    <t>27068529</t>
  </si>
  <si>
    <t>991002112599702656</t>
  </si>
  <si>
    <t>2256835710002656</t>
  </si>
  <si>
    <t>9780306444715</t>
  </si>
  <si>
    <t>32285001840064</t>
  </si>
  <si>
    <t>893804230</t>
  </si>
  <si>
    <t>HV6250.25 .V48 2003</t>
  </si>
  <si>
    <t>0                      HV 6250250V  48          2003</t>
  </si>
  <si>
    <t>Victim assistance : exploring individual practice, organizational policy, and societal responses / Thomas L. Underwood, Christine Edmunds, editors.</t>
  </si>
  <si>
    <t>New York : Springer Pub., c2003.</t>
  </si>
  <si>
    <t>Springer series on family violence</t>
  </si>
  <si>
    <t>802793418:eng</t>
  </si>
  <si>
    <t>50041213</t>
  </si>
  <si>
    <t>991004424419702656</t>
  </si>
  <si>
    <t>2259379610002656</t>
  </si>
  <si>
    <t>9780826147516</t>
  </si>
  <si>
    <t>32285005023253</t>
  </si>
  <si>
    <t>893319207</t>
  </si>
  <si>
    <t>HV6250.25 .Z53 1977</t>
  </si>
  <si>
    <t>0                      HV 6250250Z  53          1977</t>
  </si>
  <si>
    <t>Victims, crime, and social control / Eduard A. Ziegenhagen.</t>
  </si>
  <si>
    <t>Ziegenhagen, Eduard A., 1935-</t>
  </si>
  <si>
    <t>New York : Praeger, 1977.</t>
  </si>
  <si>
    <t>Praeger special studies in U.S. economic, social, and political issues</t>
  </si>
  <si>
    <t>1994-05-06</t>
  </si>
  <si>
    <t>8194792:eng</t>
  </si>
  <si>
    <t>3169760</t>
  </si>
  <si>
    <t>991004366329702656</t>
  </si>
  <si>
    <t>2263538640002656</t>
  </si>
  <si>
    <t>9780275565602</t>
  </si>
  <si>
    <t>32285001907798</t>
  </si>
  <si>
    <t>893712506</t>
  </si>
  <si>
    <t>HV6250.3.E85 N37 1998</t>
  </si>
  <si>
    <t>0                      HV 6250300E  85                 N  37          1998</t>
  </si>
  <si>
    <t>Nation and race : the developing Euro-American racist subculture / edited by Jeffrey Kaplan and Tore Bjørgo.</t>
  </si>
  <si>
    <t>Boston : Northeastern University Press, c1998.</t>
  </si>
  <si>
    <t>2002-10-03</t>
  </si>
  <si>
    <t>2000-02-16</t>
  </si>
  <si>
    <t>366535669:eng</t>
  </si>
  <si>
    <t>37489626</t>
  </si>
  <si>
    <t>991002845059702656</t>
  </si>
  <si>
    <t>2260907000002656</t>
  </si>
  <si>
    <t>9781555533311</t>
  </si>
  <si>
    <t>32285003662383</t>
  </si>
  <si>
    <t>893524113</t>
  </si>
  <si>
    <t>HV6250.3.U5 B37</t>
  </si>
  <si>
    <t>0                      HV 6250300U  5                  B  37</t>
  </si>
  <si>
    <t>Victims / J. L. Barkas.</t>
  </si>
  <si>
    <t>Yager, Jan, 1948-</t>
  </si>
  <si>
    <t>New York : Scribner, c1978.</t>
  </si>
  <si>
    <t>2003-03-08</t>
  </si>
  <si>
    <t>201755665:eng</t>
  </si>
  <si>
    <t>3730089</t>
  </si>
  <si>
    <t>991004503769702656</t>
  </si>
  <si>
    <t>2268902410002656</t>
  </si>
  <si>
    <t>9780684151915</t>
  </si>
  <si>
    <t>32285001907780</t>
  </si>
  <si>
    <t>893500658</t>
  </si>
  <si>
    <t>HV6250.3.U5 C64</t>
  </si>
  <si>
    <t>0                      HV 6250300U  5                  C  64</t>
  </si>
  <si>
    <t>Criminal justice and the victim / William F. McDonald, editor.</t>
  </si>
  <si>
    <t>Beverly Hills, Calif. : Sage Publications, c1976.</t>
  </si>
  <si>
    <t>Sage criminal justice system annuals ; v. 6</t>
  </si>
  <si>
    <t>2003-05-21</t>
  </si>
  <si>
    <t>1990-10-05</t>
  </si>
  <si>
    <t>5224592:eng</t>
  </si>
  <si>
    <t>2511134</t>
  </si>
  <si>
    <t>991001764519702656</t>
  </si>
  <si>
    <t>2267265490002656</t>
  </si>
  <si>
    <t>9780803905085</t>
  </si>
  <si>
    <t>32285000332931</t>
  </si>
  <si>
    <t>893346758</t>
  </si>
  <si>
    <t>HV6250.3.U5 E44 1986</t>
  </si>
  <si>
    <t>0                      HV 6250300U  5                  E  44          1986</t>
  </si>
  <si>
    <t>The politics of victimization : victims, victimology, and human rights / Robert Elias.</t>
  </si>
  <si>
    <t>Elias, Robert, 1950-</t>
  </si>
  <si>
    <t>1995-11-14</t>
  </si>
  <si>
    <t>795382422:eng</t>
  </si>
  <si>
    <t>12663840</t>
  </si>
  <si>
    <t>991000718589702656</t>
  </si>
  <si>
    <t>2269674160002656</t>
  </si>
  <si>
    <t>9780195039801</t>
  </si>
  <si>
    <t>32285002098365</t>
  </si>
  <si>
    <t>893515555</t>
  </si>
  <si>
    <t>HV6250.3.U5 J45 1997</t>
  </si>
  <si>
    <t>0                      HV 6250300U  5                  J  45          1997</t>
  </si>
  <si>
    <t>Hate crimes : new social movements and the politics of violence / Valerie Jenness and Kendal Broad.</t>
  </si>
  <si>
    <t>Jenness, Valerie, 1963-</t>
  </si>
  <si>
    <t>New York : Aldine de Gruyter, c1997.</t>
  </si>
  <si>
    <t>Social problems and social issues</t>
  </si>
  <si>
    <t>600553:eng</t>
  </si>
  <si>
    <t>36543408</t>
  </si>
  <si>
    <t>991002782829702656</t>
  </si>
  <si>
    <t>2257925620002656</t>
  </si>
  <si>
    <t>9780202306018</t>
  </si>
  <si>
    <t>32285003494399</t>
  </si>
  <si>
    <t>893335705</t>
  </si>
  <si>
    <t>HV6250.3.U5 R62 1990</t>
  </si>
  <si>
    <t>0                      HV 6250300U  5                  R  62          1990</t>
  </si>
  <si>
    <t>Helping crime victims : research, policy, and practice / Albert R. Roberts ; with contributions by Arlene Bowers Andrews ... [et al.].</t>
  </si>
  <si>
    <t>Roberts, Albert R.</t>
  </si>
  <si>
    <t>1991-08-13</t>
  </si>
  <si>
    <t>23447379:eng</t>
  </si>
  <si>
    <t>21682686</t>
  </si>
  <si>
    <t>991001717069702656</t>
  </si>
  <si>
    <t>2270597650002656</t>
  </si>
  <si>
    <t>9780803934696</t>
  </si>
  <si>
    <t>32285000700459</t>
  </si>
  <si>
    <t>893684563</t>
  </si>
  <si>
    <t>HV6250.3.U5 W44 1995</t>
  </si>
  <si>
    <t>0                      HV 6250300U  5                  W  44          1995</t>
  </si>
  <si>
    <t>Certainty of justice : reform in the crime victim movement / Frank J. Weed.</t>
  </si>
  <si>
    <t>Weed, Frank, 1942-</t>
  </si>
  <si>
    <t>New York : Aldine de Gruyter, c1995.</t>
  </si>
  <si>
    <t>1996-08-28</t>
  </si>
  <si>
    <t>34391881:eng</t>
  </si>
  <si>
    <t>32131656</t>
  </si>
  <si>
    <t>991002465799702656</t>
  </si>
  <si>
    <t>2260776540002656</t>
  </si>
  <si>
    <t>9780202305172</t>
  </si>
  <si>
    <t>32285002292695</t>
  </si>
  <si>
    <t>893892579</t>
  </si>
  <si>
    <t>HV6250.4.C48 D5613 1991</t>
  </si>
  <si>
    <t>0                      HV 6250400C  48                 D  5613        1991</t>
  </si>
  <si>
    <t>Brazil, war on children / Gilberto Dimenstein ; introduction by Jan Rocha ; [translated by Chris Whitehouse ; edited by Duncan Green].</t>
  </si>
  <si>
    <t>Dimenstein, Gilberto.</t>
  </si>
  <si>
    <t>London : Latin America Bureau ; New York, NY : Distribution in North America by Monthly Review Press, 1991.</t>
  </si>
  <si>
    <t>2006-12-01</t>
  </si>
  <si>
    <t>1995-04-24</t>
  </si>
  <si>
    <t>2542240529:eng</t>
  </si>
  <si>
    <t>26929542</t>
  </si>
  <si>
    <t>991002098269702656</t>
  </si>
  <si>
    <t>2256826070002656</t>
  </si>
  <si>
    <t>9780906156629</t>
  </si>
  <si>
    <t>32285002035433</t>
  </si>
  <si>
    <t>893709865</t>
  </si>
  <si>
    <t>HV6250.4.C48 M67 1992</t>
  </si>
  <si>
    <t>0                      HV 6250400C  48                 M  67          1992</t>
  </si>
  <si>
    <t>Child victims : crime, impact, and criminal justice / Jane Morgan and Lucia Zedner.</t>
  </si>
  <si>
    <t>Morgan, Jane.</t>
  </si>
  <si>
    <t>Oxford : Clarendon Press ; New York : Oxford University Press, 1992.</t>
  </si>
  <si>
    <t>1992-09-28</t>
  </si>
  <si>
    <t>793879828:eng</t>
  </si>
  <si>
    <t>24429937</t>
  </si>
  <si>
    <t>991001933999702656</t>
  </si>
  <si>
    <t>2258460350002656</t>
  </si>
  <si>
    <t>9780198256991</t>
  </si>
  <si>
    <t>32285001289312</t>
  </si>
  <si>
    <t>893791857</t>
  </si>
  <si>
    <t>HV6250.4.H66 S54 2009</t>
  </si>
  <si>
    <t>0                      HV 6250400H  66                 S  54          2009</t>
  </si>
  <si>
    <t>The meaning of Matthew : my son's murder in Laramie, and a world transformed / Judy Shepard with Jon Barrett.</t>
  </si>
  <si>
    <t>Shepard, Judy.</t>
  </si>
  <si>
    <t>New York, N.Y. : Hudson Street Press, c2009.</t>
  </si>
  <si>
    <t>2010-02-11</t>
  </si>
  <si>
    <t>2009-09-16</t>
  </si>
  <si>
    <t>255599827:eng</t>
  </si>
  <si>
    <t>268795387</t>
  </si>
  <si>
    <t>991005334409702656</t>
  </si>
  <si>
    <t>2268831980002656</t>
  </si>
  <si>
    <t>9781594630576</t>
  </si>
  <si>
    <t>32285005544464</t>
  </si>
  <si>
    <t>893320458</t>
  </si>
  <si>
    <t>HV6250.4.H66 V56 1998</t>
  </si>
  <si>
    <t>0                      HV 6250400H  66                 V  56          1998</t>
  </si>
  <si>
    <t>Violence and social injustice against lesbian, gay and bisexual people / Lacey M. Sloan, Nora S. Gustavsson, editors.</t>
  </si>
  <si>
    <t>2001-04-19</t>
  </si>
  <si>
    <t>349989047:eng</t>
  </si>
  <si>
    <t>39627641</t>
  </si>
  <si>
    <t>991003453449702656</t>
  </si>
  <si>
    <t>2263118850002656</t>
  </si>
  <si>
    <t>9780789006509</t>
  </si>
  <si>
    <t>32285004313572</t>
  </si>
  <si>
    <t>893348694</t>
  </si>
  <si>
    <t>HV6250.4.W65 B78 2010</t>
  </si>
  <si>
    <t>0                      HV 6250400W  65                 B  78          2010</t>
  </si>
  <si>
    <t>Pour en finir avec les violences faites aux femmes / Chantal Brunel.</t>
  </si>
  <si>
    <t>Brunel, Chantal.</t>
  </si>
  <si>
    <t>Paris : Cherche midi, c2010.</t>
  </si>
  <si>
    <t xml:space="preserve">fr </t>
  </si>
  <si>
    <t>Documents</t>
  </si>
  <si>
    <t>2010-06-14</t>
  </si>
  <si>
    <t>387697916:fre</t>
  </si>
  <si>
    <t>515403125</t>
  </si>
  <si>
    <t>991005392889702656</t>
  </si>
  <si>
    <t>2271939340002656</t>
  </si>
  <si>
    <t>9782749115412</t>
  </si>
  <si>
    <t>32285005588198</t>
  </si>
  <si>
    <t>893783602</t>
  </si>
  <si>
    <t>HV6250.4.W65 C627 2006</t>
  </si>
  <si>
    <t>0                      HV 6250400W  65                 C  627         2006</t>
  </si>
  <si>
    <t>Color of violence : the Incite! anthology / Incite! Women of Color Against Violence.</t>
  </si>
  <si>
    <t>Cambridge, Mass. : South End Press, c2006.</t>
  </si>
  <si>
    <t>2008-02-13</t>
  </si>
  <si>
    <t>799051134:eng</t>
  </si>
  <si>
    <t>70707902</t>
  </si>
  <si>
    <t>991005173029702656</t>
  </si>
  <si>
    <t>2271841330002656</t>
  </si>
  <si>
    <t>9780896087620</t>
  </si>
  <si>
    <t>32285005392997</t>
  </si>
  <si>
    <t>893694862</t>
  </si>
  <si>
    <t>HV6250.4.W65 F55 1994</t>
  </si>
  <si>
    <t>0                      HV 6250400W  65                 F  55          1994</t>
  </si>
  <si>
    <t>The victimization and exploitation of women and children : a study of physical, mental, and sexual maltreatment in the United States / by R. Barri Flowers.</t>
  </si>
  <si>
    <t>Jefferson, N.C. : McFarland &amp; Co., c1994.</t>
  </si>
  <si>
    <t>2005-04-03</t>
  </si>
  <si>
    <t>1995-05-10</t>
  </si>
  <si>
    <t>476594654:eng</t>
  </si>
  <si>
    <t>30400871</t>
  </si>
  <si>
    <t>991002336699702656</t>
  </si>
  <si>
    <t>2266053670002656</t>
  </si>
  <si>
    <t>9780899509785</t>
  </si>
  <si>
    <t>32285002038825</t>
  </si>
  <si>
    <t>893316700</t>
  </si>
  <si>
    <t>HV6250.4.W65 I57 1976</t>
  </si>
  <si>
    <t>0                      HV 6250400W  65                 I  57          1976</t>
  </si>
  <si>
    <t>Crimes against women : proceedings of the international tribunal / compiled and edited by Diana E. H. Russell, Nicole Van de Ven.</t>
  </si>
  <si>
    <t>International Tribunal on Crimes against Women (1976 : Brussels, Belgium)</t>
  </si>
  <si>
    <t>Millbrae, Calif. : Les Femmes Pub., c1976.</t>
  </si>
  <si>
    <t>2004-08-27</t>
  </si>
  <si>
    <t>2904414:eng</t>
  </si>
  <si>
    <t>2464570</t>
  </si>
  <si>
    <t>991004129809702656</t>
  </si>
  <si>
    <t>2269021790002656</t>
  </si>
  <si>
    <t>9780890879214</t>
  </si>
  <si>
    <t>32285001381390</t>
  </si>
  <si>
    <t>893599467</t>
  </si>
  <si>
    <t>HV6250.4.W65 S73 1985</t>
  </si>
  <si>
    <t>0                      HV 6250400W  65                 S  73          1985</t>
  </si>
  <si>
    <t>Intimate intrusions : women's experience of male violence / Elizabeth A. Stanko.</t>
  </si>
  <si>
    <t>Stanko, Elizabeth Anne, 1950-</t>
  </si>
  <si>
    <t>London ; Boston : Routledge &amp; Kegan Paul, 1985.</t>
  </si>
  <si>
    <t>2007-11-13</t>
  </si>
  <si>
    <t>1990-05-25</t>
  </si>
  <si>
    <t>2913503:eng</t>
  </si>
  <si>
    <t>10753295</t>
  </si>
  <si>
    <t>991000425879702656</t>
  </si>
  <si>
    <t>2267705430002656</t>
  </si>
  <si>
    <t>9780710200693</t>
  </si>
  <si>
    <t>32285000167097</t>
  </si>
  <si>
    <t>893345645</t>
  </si>
  <si>
    <t>HV6250.4.W65 V52</t>
  </si>
  <si>
    <t>0                      HV 6250400W  65                 V  52</t>
  </si>
  <si>
    <t>The Victimization of women / edited by Jane Roberts Chapman and Margaret Gates.</t>
  </si>
  <si>
    <t>Beverly Hills, Calif. : Sage Publications, c1978.</t>
  </si>
  <si>
    <t>Sage yearbooks in women's policy studies ; v. 3</t>
  </si>
  <si>
    <t>2005-11-07</t>
  </si>
  <si>
    <t>351986598:eng</t>
  </si>
  <si>
    <t>3955465</t>
  </si>
  <si>
    <t>991001789959702656</t>
  </si>
  <si>
    <t>2260081610002656</t>
  </si>
  <si>
    <t>9780803909236</t>
  </si>
  <si>
    <t>32285001381382</t>
  </si>
  <si>
    <t>893785394</t>
  </si>
  <si>
    <t>HV6252 .C75 1997</t>
  </si>
  <si>
    <t>0                      HV 6252000C  75          1997</t>
  </si>
  <si>
    <t>Crime and law enforcement in the global village / edited by William F. McDonald.</t>
  </si>
  <si>
    <t>Highland Heights, KY. : Academy of Criminal Justice Sciences, Northern Kentucky University ; Cincinnati, OH : Anderson Pub. Co., 1997.</t>
  </si>
  <si>
    <t>kyu</t>
  </si>
  <si>
    <t>639739:eng</t>
  </si>
  <si>
    <t>36476144</t>
  </si>
  <si>
    <t>991002777879702656</t>
  </si>
  <si>
    <t>2258005040002656</t>
  </si>
  <si>
    <t>9780870841965</t>
  </si>
  <si>
    <t>32285003514592</t>
  </si>
  <si>
    <t>893716899</t>
  </si>
  <si>
    <t>HV6252 .I45 1999</t>
  </si>
  <si>
    <t>0                      HV 6252000I  45          1999</t>
  </si>
  <si>
    <t>The illicit global economy and state power / edited by H. Richard Friman and Peter Andreas.</t>
  </si>
  <si>
    <t>Lanham, MD : Rowman &amp; Littlefield Publishers, c1999.</t>
  </si>
  <si>
    <t>2001-10-24</t>
  </si>
  <si>
    <t>350269355:eng</t>
  </si>
  <si>
    <t>40230588</t>
  </si>
  <si>
    <t>991003638419702656</t>
  </si>
  <si>
    <t>2254922000002656</t>
  </si>
  <si>
    <t>9780847693030</t>
  </si>
  <si>
    <t>32285004399746</t>
  </si>
  <si>
    <t>893692959</t>
  </si>
  <si>
    <t>HV6252 .K47 1997</t>
  </si>
  <si>
    <t>0                      HV 6252000K  47          1997</t>
  </si>
  <si>
    <t>The new war : the web of crime that threatens America's security / John Kerry.</t>
  </si>
  <si>
    <t>Kerry, John, 1943-</t>
  </si>
  <si>
    <t>New York, NY : Simon &amp; Schuster, c1997.</t>
  </si>
  <si>
    <t>2004-03-04</t>
  </si>
  <si>
    <t>1998-07-08</t>
  </si>
  <si>
    <t>34777940:eng</t>
  </si>
  <si>
    <t>36201436</t>
  </si>
  <si>
    <t>991002759889702656</t>
  </si>
  <si>
    <t>2266776600002656</t>
  </si>
  <si>
    <t>9780684818153</t>
  </si>
  <si>
    <t>32285003430369</t>
  </si>
  <si>
    <t>893597835</t>
  </si>
  <si>
    <t>HV6252 .L43 2004</t>
  </si>
  <si>
    <t>0                      HV 6252000L  43          2004</t>
  </si>
  <si>
    <t>The global underworld : transnational crime and the United States / Donald R. Liddick.</t>
  </si>
  <si>
    <t>Liddick, Don.</t>
  </si>
  <si>
    <t>Westport, Conn. : Praeger, 2004.</t>
  </si>
  <si>
    <t>International and comparative criminology</t>
  </si>
  <si>
    <t>2006-02-09</t>
  </si>
  <si>
    <t>850648:eng</t>
  </si>
  <si>
    <t>54365214</t>
  </si>
  <si>
    <t>991004736869702656</t>
  </si>
  <si>
    <t>2258139390002656</t>
  </si>
  <si>
    <t>9780275980740</t>
  </si>
  <si>
    <t>32285005163679</t>
  </si>
  <si>
    <t>893254040</t>
  </si>
  <si>
    <t>HV6295.D65 G84 2000</t>
  </si>
  <si>
    <t>0                      HV 6295000D  65                 G  84          2000</t>
  </si>
  <si>
    <t>Magnicidios en Dominicana : las muertes de Pepillo Salcedo, Ulises Heureaux, Mon Cáceres y Trujillo / Gustavo Guerrero Pichardo.</t>
  </si>
  <si>
    <t>Guerrero Pichardo, Gustavo.</t>
  </si>
  <si>
    <t>Santo Domingo, República Dominicana : Ediciones Librería La Trinitaria, 2000.</t>
  </si>
  <si>
    <t>2001-09-12</t>
  </si>
  <si>
    <t>2001-09-11</t>
  </si>
  <si>
    <t>43826218:spa</t>
  </si>
  <si>
    <t>47807621</t>
  </si>
  <si>
    <t>991003547179702656</t>
  </si>
  <si>
    <t>2268282970002656</t>
  </si>
  <si>
    <t>9789993401384</t>
  </si>
  <si>
    <t>32285004390471</t>
  </si>
  <si>
    <t>893435116</t>
  </si>
  <si>
    <t>HV6301 .M33 1997</t>
  </si>
  <si>
    <t>0                      HV 6301000M  33          1997</t>
  </si>
  <si>
    <t>Money for nothing : politicians, rent extraction, and political extortion / Fred S. McChesney.</t>
  </si>
  <si>
    <t>McChesney, Fred S., 1948-</t>
  </si>
  <si>
    <t>Cambridge, Mass. : Harvard University Press, 1997.</t>
  </si>
  <si>
    <t>2010-01-18</t>
  </si>
  <si>
    <t>837034227:eng</t>
  </si>
  <si>
    <t>35849105</t>
  </si>
  <si>
    <t>991002733079702656</t>
  </si>
  <si>
    <t>2261265590002656</t>
  </si>
  <si>
    <t>9780674583306</t>
  </si>
  <si>
    <t>32285003405940</t>
  </si>
  <si>
    <t>893498480</t>
  </si>
  <si>
    <t>HV6322.3.A7 G7 1992</t>
  </si>
  <si>
    <t>0                      HV 6322300A  7                  G  7           1992</t>
  </si>
  <si>
    <t>Divine violence : spectacle, psychosexuality, &amp; radical Christianity in the Argentine "dirty war" / Frank Graziano.</t>
  </si>
  <si>
    <t>Graziano, Frank, 1955-</t>
  </si>
  <si>
    <t>Boulder, Colo. : Westview Press, 1992.</t>
  </si>
  <si>
    <t>2008-03-10</t>
  </si>
  <si>
    <t>1992-07-09</t>
  </si>
  <si>
    <t>836860565:eng</t>
  </si>
  <si>
    <t>25050733</t>
  </si>
  <si>
    <t>991001976719702656</t>
  </si>
  <si>
    <t>2269006930002656</t>
  </si>
  <si>
    <t>9780813382319</t>
  </si>
  <si>
    <t>32285001158004</t>
  </si>
  <si>
    <t>893809254</t>
  </si>
  <si>
    <t>HV6322.3.A7 M38 1999</t>
  </si>
  <si>
    <t>0                      HV 6322300A  7                  M  38          1999</t>
  </si>
  <si>
    <t>España acusa / Eduardo Martín de Pozuelo y Santiago Tarín.</t>
  </si>
  <si>
    <t>Martín de Pozuelo, Eduardo, 1952-</t>
  </si>
  <si>
    <t>Barcelona : Plaza &amp; Janés, 1999.</t>
  </si>
  <si>
    <t>Así fue</t>
  </si>
  <si>
    <t>2000-09-05</t>
  </si>
  <si>
    <t>26504038:spa</t>
  </si>
  <si>
    <t>41951757</t>
  </si>
  <si>
    <t>991003264729702656</t>
  </si>
  <si>
    <t>2269306090002656</t>
  </si>
  <si>
    <t>9788401012563</t>
  </si>
  <si>
    <t>32285003760104</t>
  </si>
  <si>
    <t>893717482</t>
  </si>
  <si>
    <t>HV6322.7 .R86 1994</t>
  </si>
  <si>
    <t>0                      HV 6322700R  86          1994</t>
  </si>
  <si>
    <t>Death by government / R.J. Rummel ; with a foreword by Irving Louis Horowitz.</t>
  </si>
  <si>
    <t>Rummel, R. J. (Rudolph J.), 1932-2014.</t>
  </si>
  <si>
    <t>New Brunswick, N.J. : Transactions Publishers, c1994.</t>
  </si>
  <si>
    <t>2005-03-14</t>
  </si>
  <si>
    <t>1995-11-09</t>
  </si>
  <si>
    <t>670263:eng</t>
  </si>
  <si>
    <t>28929046</t>
  </si>
  <si>
    <t>991002243479702656</t>
  </si>
  <si>
    <t>2270699140002656</t>
  </si>
  <si>
    <t>9781560001454</t>
  </si>
  <si>
    <t>32285002102514</t>
  </si>
  <si>
    <t>893773382</t>
  </si>
  <si>
    <t>HV635.5 .B47 1997</t>
  </si>
  <si>
    <t>0                      HV 0635500B  47          1997</t>
  </si>
  <si>
    <t>After the hurricane : linking recovery to sustainable development in the Caribbean / Philip R. Berke and Timothy Beatley.</t>
  </si>
  <si>
    <t>Berke, Philip, 1951-</t>
  </si>
  <si>
    <t>Baltimore : Johns Hopkins University Press, 1997.</t>
  </si>
  <si>
    <t>2008-04-22</t>
  </si>
  <si>
    <t>141774893:eng</t>
  </si>
  <si>
    <t>36284080</t>
  </si>
  <si>
    <t>991003260479702656</t>
  </si>
  <si>
    <t>2270948870002656</t>
  </si>
  <si>
    <t>9780801856242</t>
  </si>
  <si>
    <t>32285003764692</t>
  </si>
  <si>
    <t>893598415</t>
  </si>
  <si>
    <t>HV639 .H88 1993</t>
  </si>
  <si>
    <t>0                      HV 0639000H  88          1993</t>
  </si>
  <si>
    <t>Humanitarianism across borders : sustaining civilians in times of war / edited by Thomas G. Weiss, Larry Minear.</t>
  </si>
  <si>
    <t>Boulder, Colo. : Lynne Rienner, 1993.</t>
  </si>
  <si>
    <t>Emerging global issues</t>
  </si>
  <si>
    <t>2003-02-24</t>
  </si>
  <si>
    <t>1993-12-22</t>
  </si>
  <si>
    <t>836788587:eng</t>
  </si>
  <si>
    <t>28218645</t>
  </si>
  <si>
    <t>991002194799702656</t>
  </si>
  <si>
    <t>2268374630002656</t>
  </si>
  <si>
    <t>9781555874285</t>
  </si>
  <si>
    <t>32285001817500</t>
  </si>
  <si>
    <t>893256993</t>
  </si>
  <si>
    <t>HV640 .E35 1995</t>
  </si>
  <si>
    <t>0                      HV 0640000E  35          1995</t>
  </si>
  <si>
    <t>For whom there is no room : scenes from the refugee world / Eileen Egan.</t>
  </si>
  <si>
    <t>Egan, Eileen.</t>
  </si>
  <si>
    <t>New York : Paulist Press, c1995.</t>
  </si>
  <si>
    <t>2009-10-03</t>
  </si>
  <si>
    <t>1999-12-15</t>
  </si>
  <si>
    <t>476661181:eng</t>
  </si>
  <si>
    <t>31328579</t>
  </si>
  <si>
    <t>991002407789702656</t>
  </si>
  <si>
    <t>2256735760002656</t>
  </si>
  <si>
    <t>9780809104734</t>
  </si>
  <si>
    <t>32285003633855</t>
  </si>
  <si>
    <t>893347465</t>
  </si>
  <si>
    <t>HV640 .F63 1998</t>
  </si>
  <si>
    <t>0                      HV 0640000F  63          1998</t>
  </si>
  <si>
    <t>The forsaken people : case studies of the internally displaced / Roberta Cohen and Francis M. Deng, editors.</t>
  </si>
  <si>
    <t>1998-08-06</t>
  </si>
  <si>
    <t>889920208:eng</t>
  </si>
  <si>
    <t>38390596</t>
  </si>
  <si>
    <t>991002906789702656</t>
  </si>
  <si>
    <t>2267693570002656</t>
  </si>
  <si>
    <t>9780815715139</t>
  </si>
  <si>
    <t>32285003449955</t>
  </si>
  <si>
    <t>893717068</t>
  </si>
  <si>
    <t>HV640 .R432 1985</t>
  </si>
  <si>
    <t>0                      HV 0640000R  432         1985</t>
  </si>
  <si>
    <t>Refugees and world politics ; edited by Elizabeth G. Ferris.</t>
  </si>
  <si>
    <t>New York : Praeger, 1985.</t>
  </si>
  <si>
    <t>1995-08-28</t>
  </si>
  <si>
    <t>1992-03-13</t>
  </si>
  <si>
    <t>10173529486:eng</t>
  </si>
  <si>
    <t>11623856</t>
  </si>
  <si>
    <t>991000568399702656</t>
  </si>
  <si>
    <t>2261955740002656</t>
  </si>
  <si>
    <t>9780030720437</t>
  </si>
  <si>
    <t>32285000999739</t>
  </si>
  <si>
    <t>893878179</t>
  </si>
  <si>
    <t>HV640.3 .O45 2005</t>
  </si>
  <si>
    <t>0                      HV 0640300O  45          2005</t>
  </si>
  <si>
    <t>The turbulent decade : confronting the refugee crises of the 1990s / Sadako Ogata ; foreword by Kofi Annan.</t>
  </si>
  <si>
    <t>Ogata, Sadako N.</t>
  </si>
  <si>
    <t>New York : W.W. Norton, c2005.</t>
  </si>
  <si>
    <t>2009-04-01</t>
  </si>
  <si>
    <t>805991693:eng</t>
  </si>
  <si>
    <t>57134404</t>
  </si>
  <si>
    <t>991005307369702656</t>
  </si>
  <si>
    <t>2266106270002656</t>
  </si>
  <si>
    <t>9780393057737</t>
  </si>
  <si>
    <t>32285005512941</t>
  </si>
  <si>
    <t>893902453</t>
  </si>
  <si>
    <t>HV640.4.A35 L36 1999</t>
  </si>
  <si>
    <t>0                      HV 0640400A  35                 L  36          1999</t>
  </si>
  <si>
    <t>Aid to Africa : so much to do, so little done / Carol Lancaster.</t>
  </si>
  <si>
    <t>Lancaster, Carol.</t>
  </si>
  <si>
    <t>Chicago : University of Chicago Press, 1999.</t>
  </si>
  <si>
    <t>2007-04-09</t>
  </si>
  <si>
    <t>1999-08-23</t>
  </si>
  <si>
    <t>906437605:eng</t>
  </si>
  <si>
    <t>39498617</t>
  </si>
  <si>
    <t>991005429129702656</t>
  </si>
  <si>
    <t>2261708250002656</t>
  </si>
  <si>
    <t>9780226468389</t>
  </si>
  <si>
    <t>32285003583340</t>
  </si>
  <si>
    <t>893353918</t>
  </si>
  <si>
    <t>HV640.4.A35 R429 1987</t>
  </si>
  <si>
    <t>0                      HV 0640400A  35                 R  429         1987</t>
  </si>
  <si>
    <t>Refugees and development in Africa / edited by Peter Nobel.</t>
  </si>
  <si>
    <t>Uppsala : Scandinavian Institute of African Studies ; Stockholm, Sweden : Distributed by Almqvist &amp; Wiksell International, 1987.</t>
  </si>
  <si>
    <t xml:space="preserve">sw </t>
  </si>
  <si>
    <t>Seminar proceedings, 0281-0018 ; no. 19</t>
  </si>
  <si>
    <t>5609479875:eng</t>
  </si>
  <si>
    <t>17977909</t>
  </si>
  <si>
    <t>991001287719702656</t>
  </si>
  <si>
    <t>2272293450002656</t>
  </si>
  <si>
    <t>9789171062727</t>
  </si>
  <si>
    <t>32285001289155</t>
  </si>
  <si>
    <t>893522467</t>
  </si>
  <si>
    <t>HV640.4.D65 D53 2000</t>
  </si>
  <si>
    <t>0                      HV 0640400D  65                 D  53          2000</t>
  </si>
  <si>
    <t>Mártires por error / José Díaz.</t>
  </si>
  <si>
    <t>Díaz, José (Physician)</t>
  </si>
  <si>
    <t>Santo Domingo, República Dominicana : [s.n.], 2000.</t>
  </si>
  <si>
    <t>36799472:spa</t>
  </si>
  <si>
    <t>47195146</t>
  </si>
  <si>
    <t>991003625739702656</t>
  </si>
  <si>
    <t>2267005770002656</t>
  </si>
  <si>
    <t>32285004390539</t>
  </si>
  <si>
    <t>893774965</t>
  </si>
  <si>
    <t>HV640.4.E8 B48 2002</t>
  </si>
  <si>
    <t>0                      HV 0640400E  8                  B  48          2002</t>
  </si>
  <si>
    <t>Between sorrow and strength : women refugees of the Nazi period / edited by Sibylle Quack.</t>
  </si>
  <si>
    <t>Cambridge : Cambridge University Press, 2002.</t>
  </si>
  <si>
    <t>2007-07-06</t>
  </si>
  <si>
    <t>2005-05-03</t>
  </si>
  <si>
    <t>836917251:eng</t>
  </si>
  <si>
    <t>49737780</t>
  </si>
  <si>
    <t>991004525719702656</t>
  </si>
  <si>
    <t>2261916460002656</t>
  </si>
  <si>
    <t>9780521522854</t>
  </si>
  <si>
    <t>32285005034615</t>
  </si>
  <si>
    <t>893694038</t>
  </si>
  <si>
    <t>HV640.4.S67 G62 2006</t>
  </si>
  <si>
    <t>0                      HV 0640400S  67                 G  62          2006</t>
  </si>
  <si>
    <t>Gender, conflict and migration / editor, Navnita Chadha Behera.</t>
  </si>
  <si>
    <t>New Delhi ; Thousand Oaks, Calif. ; London : SAGE Publications, 2006.</t>
  </si>
  <si>
    <t xml:space="preserve">ii </t>
  </si>
  <si>
    <t>Women and migration in Asia ; v. 3</t>
  </si>
  <si>
    <t>2007-10-29</t>
  </si>
  <si>
    <t>57277122:eng</t>
  </si>
  <si>
    <t>62679817</t>
  </si>
  <si>
    <t>991005131859702656</t>
  </si>
  <si>
    <t>2267391910002656</t>
  </si>
  <si>
    <t>9780761934547</t>
  </si>
  <si>
    <t>32285005362610</t>
  </si>
  <si>
    <t>893619501</t>
  </si>
  <si>
    <t>HV640.4.U54 C37 1997</t>
  </si>
  <si>
    <t>0                      HV 0640400U  54                 C  37          1997</t>
  </si>
  <si>
    <t>Case studies in diversity : refugees in America in the 1990s / edited by David W. Haines.</t>
  </si>
  <si>
    <t>837019098:eng</t>
  </si>
  <si>
    <t>35646529</t>
  </si>
  <si>
    <t>991003662319702656</t>
  </si>
  <si>
    <t>2259442880002656</t>
  </si>
  <si>
    <t>9780275958046</t>
  </si>
  <si>
    <t>32285004448477</t>
  </si>
  <si>
    <t>893525075</t>
  </si>
  <si>
    <t>HV640.4.U54 M54 1998</t>
  </si>
  <si>
    <t>0                      HV 0640400U  54                 M  54          1998</t>
  </si>
  <si>
    <t>Immigrants &amp; refugees : create your new life in America / Raimonda Mikatavage.</t>
  </si>
  <si>
    <t>Mikatavage, Raimonda, 1962-</t>
  </si>
  <si>
    <t>Hampstead, MD : Melodija Books, 1998.</t>
  </si>
  <si>
    <t>2nd rev. ed.</t>
  </si>
  <si>
    <t>Pioneer living series</t>
  </si>
  <si>
    <t>1998-10-06</t>
  </si>
  <si>
    <t>1151894654:eng</t>
  </si>
  <si>
    <t>39328353</t>
  </si>
  <si>
    <t>991002951049702656</t>
  </si>
  <si>
    <t>2270979500002656</t>
  </si>
  <si>
    <t>9780964721357</t>
  </si>
  <si>
    <t>32285003472437</t>
  </si>
  <si>
    <t>893511400</t>
  </si>
  <si>
    <t>HV640.4.U54 S34 1997</t>
  </si>
  <si>
    <t>0                      HV 0640400U  54                 S  34          1997</t>
  </si>
  <si>
    <t>Strengthening refugee families : designing programs for refugee and other families in need / Daniel Scheinfeld and Lorraine B. Wallach, with Trudi Langendorf.</t>
  </si>
  <si>
    <t>Scheinfeld, Daniel, 1933-</t>
  </si>
  <si>
    <t>Chicago, Ill. : Lyceum Books, c1997.</t>
  </si>
  <si>
    <t>2001-01-08</t>
  </si>
  <si>
    <t>655641:eng</t>
  </si>
  <si>
    <t>36351480</t>
  </si>
  <si>
    <t>991003330469702656</t>
  </si>
  <si>
    <t>2263037120002656</t>
  </si>
  <si>
    <t>9780925065131</t>
  </si>
  <si>
    <t>32285004280961</t>
  </si>
  <si>
    <t>893410182</t>
  </si>
  <si>
    <t>HV640.4.U54 T65 1989</t>
  </si>
  <si>
    <t>0                      HV 0640400U  54                 T  65          1989</t>
  </si>
  <si>
    <t>Alien winds : the reeducation of America's Indochinese refugees / James W. Tollefson.</t>
  </si>
  <si>
    <t>Tollefson, James W.</t>
  </si>
  <si>
    <t>New York : Praeger, 1989.</t>
  </si>
  <si>
    <t>2004-09-24</t>
  </si>
  <si>
    <t>1989-11-07</t>
  </si>
  <si>
    <t>836736756:eng</t>
  </si>
  <si>
    <t>18715915</t>
  </si>
  <si>
    <t>991001386039702656</t>
  </si>
  <si>
    <t>2262826600002656</t>
  </si>
  <si>
    <t>9780275932251</t>
  </si>
  <si>
    <t>32285000012095</t>
  </si>
  <si>
    <t>893244099</t>
  </si>
  <si>
    <t>HV640.5.A6 B8</t>
  </si>
  <si>
    <t>0                      HV 0640500A  6                  B  8</t>
  </si>
  <si>
    <t>The UN and the Palestinian refugees : a study in nonterritorial administration / [by] Edward H. Buehrig.</t>
  </si>
  <si>
    <t>Buehrig, Edward H. (Edward Henry), 1910-1986.</t>
  </si>
  <si>
    <t>Bloomington : Indiana University Press, [1971]</t>
  </si>
  <si>
    <t>Indiana University. International Development Research Center. Studies in development, no. 3</t>
  </si>
  <si>
    <t>2004-03-31</t>
  </si>
  <si>
    <t>1279168:eng</t>
  </si>
  <si>
    <t>209123</t>
  </si>
  <si>
    <t>991001256539702656</t>
  </si>
  <si>
    <t>2270694410002656</t>
  </si>
  <si>
    <t>9780253396037</t>
  </si>
  <si>
    <t>32285001798205</t>
  </si>
  <si>
    <t>893602472</t>
  </si>
  <si>
    <t>HV640.5.A6 M67 1987</t>
  </si>
  <si>
    <t>0                      HV 0640500A  6                  M  67          1987</t>
  </si>
  <si>
    <t>The birth of the Palestinian refugee problem, 1947-1949 / Benny Morris.</t>
  </si>
  <si>
    <t>Morris, Benny, 1948-</t>
  </si>
  <si>
    <t>Cambridge [Cambridgeshire] ; New York : Cambridge University Press, c1987, 1988 printing.</t>
  </si>
  <si>
    <t>Cambridge Middle East library</t>
  </si>
  <si>
    <t>1991-11-19</t>
  </si>
  <si>
    <t>11593787:eng</t>
  </si>
  <si>
    <t>16084062</t>
  </si>
  <si>
    <t>991001079579702656</t>
  </si>
  <si>
    <t>2258643530002656</t>
  </si>
  <si>
    <t>9780521330282</t>
  </si>
  <si>
    <t>32285000841055</t>
  </si>
  <si>
    <t>893872257</t>
  </si>
  <si>
    <t>HV640.5.C9 M35 1996</t>
  </si>
  <si>
    <t>0                      HV 0640500C  9                  M  35          1996</t>
  </si>
  <si>
    <t>From welcomed exiles to illegal immigrants : Cuban migration to the U.S., 1959-1995/ by Felix Roberto Masud-Piloto.</t>
  </si>
  <si>
    <t>Masud-Piloto, Felix Roberto.</t>
  </si>
  <si>
    <t>Lanham, Md. : Rowman &amp; Littlefield, 1996.</t>
  </si>
  <si>
    <t>2010-04-19</t>
  </si>
  <si>
    <t>1996-03-01</t>
  </si>
  <si>
    <t>1027897:eng</t>
  </si>
  <si>
    <t>33277000</t>
  </si>
  <si>
    <t>991002560099702656</t>
  </si>
  <si>
    <t>2258078460002656</t>
  </si>
  <si>
    <t>9780847681488</t>
  </si>
  <si>
    <t>32285002138914</t>
  </si>
  <si>
    <t>893409236</t>
  </si>
  <si>
    <t>HV640.5.S9 R65 1985</t>
  </si>
  <si>
    <t>0                      HV 0640500S  9                  R  65          1985</t>
  </si>
  <si>
    <t>Too many, too long : Sudan's twenty-year refugee dilemma / John R. Rogge.</t>
  </si>
  <si>
    <t>Rogge, John.</t>
  </si>
  <si>
    <t>Totowa, NJ : Rowman &amp; Allanheld, 1985.</t>
  </si>
  <si>
    <t>2005-02-14</t>
  </si>
  <si>
    <t>308814378:eng</t>
  </si>
  <si>
    <t>11849274</t>
  </si>
  <si>
    <t>991000604139702656</t>
  </si>
  <si>
    <t>2272204180002656</t>
  </si>
  <si>
    <t>9780847674121</t>
  </si>
  <si>
    <t>32285001682078</t>
  </si>
  <si>
    <t>893249500</t>
  </si>
  <si>
    <t>HV6404.I2 H55 2004</t>
  </si>
  <si>
    <t>0                      HV 6404000I  2                  H  55          2004</t>
  </si>
  <si>
    <t>The cyanide canary / Joseph Hilldorfer and Robert Dugoni.</t>
  </si>
  <si>
    <t>Hilldorfer, Joseph.</t>
  </si>
  <si>
    <t>New York : Free Press, c2004.</t>
  </si>
  <si>
    <t>2008-03-04</t>
  </si>
  <si>
    <t>2004-10-16</t>
  </si>
  <si>
    <t>943218:eng</t>
  </si>
  <si>
    <t>55474030</t>
  </si>
  <si>
    <t>991004390489702656</t>
  </si>
  <si>
    <t>2266170890002656</t>
  </si>
  <si>
    <t>9780743246521</t>
  </si>
  <si>
    <t>32285005004964</t>
  </si>
  <si>
    <t>893513166</t>
  </si>
  <si>
    <t>HV6430 .B55 B474 2006</t>
  </si>
  <si>
    <t>0                      HV 6430000B  55                 B  474         2006</t>
  </si>
  <si>
    <t>The Osama bin Laden I know : an oral history of al-Qaeda's leader / Peter L. Bergen ; [with a new afterword].</t>
  </si>
  <si>
    <t>Bergen, Peter L., 1962-</t>
  </si>
  <si>
    <t>New York : Free Press, 2006.</t>
  </si>
  <si>
    <t>1st Free Press trade pbk. ed.</t>
  </si>
  <si>
    <t>2008-04-08</t>
  </si>
  <si>
    <t>796420807:eng</t>
  </si>
  <si>
    <t>70826532</t>
  </si>
  <si>
    <t>991004906499702656</t>
  </si>
  <si>
    <t>2258329590002656</t>
  </si>
  <si>
    <t>9780743278928</t>
  </si>
  <si>
    <t>32285005222301</t>
  </si>
  <si>
    <t>893241954</t>
  </si>
  <si>
    <t>HV6430.B55 B47 2001</t>
  </si>
  <si>
    <t>0                      HV 6430000B  55                 B  47          2001</t>
  </si>
  <si>
    <t>Holy war, Inc. : inside the secret world of Osama bin Laden / Peter L. Bergen.</t>
  </si>
  <si>
    <t>New York : Free Press, c2001.</t>
  </si>
  <si>
    <t>2006-05-05</t>
  </si>
  <si>
    <t>2001-12-04</t>
  </si>
  <si>
    <t>8617914:eng</t>
  </si>
  <si>
    <t>48241401</t>
  </si>
  <si>
    <t>991003682249702656</t>
  </si>
  <si>
    <t>2258377060002656</t>
  </si>
  <si>
    <t>9780743205023</t>
  </si>
  <si>
    <t>32285004425848</t>
  </si>
  <si>
    <t>893234444</t>
  </si>
  <si>
    <t>HV6430.B55 B63 2001</t>
  </si>
  <si>
    <t>0                      HV 6430000B  55                 B  63          2001</t>
  </si>
  <si>
    <t>Bin Laden : the man who declared war on America / Yossef Bodansky.</t>
  </si>
  <si>
    <t>Bodansky, Yossef.</t>
  </si>
  <si>
    <t>Rocklin, Calif. : Forum, c2001.</t>
  </si>
  <si>
    <t>2006-04-12</t>
  </si>
  <si>
    <t>37303691:eng</t>
  </si>
  <si>
    <t>48093501</t>
  </si>
  <si>
    <t>991003651339702656</t>
  </si>
  <si>
    <t>2260278740002656</t>
  </si>
  <si>
    <t>9780761535812</t>
  </si>
  <si>
    <t>32285004420708</t>
  </si>
  <si>
    <t>893611275</t>
  </si>
  <si>
    <t>HV6431 .A79 2007</t>
  </si>
  <si>
    <t>0                      HV 6431000A  79          2007</t>
  </si>
  <si>
    <t>Democracy and counterterrorism : lessons from the the past / Robert J. Art, Louise Richardson.</t>
  </si>
  <si>
    <t>Art, Robert J.</t>
  </si>
  <si>
    <t>Washington, D.C. : United States Institute of Peace Press, 2007.</t>
  </si>
  <si>
    <t>2010-09-08</t>
  </si>
  <si>
    <t>2007-09-17</t>
  </si>
  <si>
    <t>9409511031:eng</t>
  </si>
  <si>
    <t>69104294</t>
  </si>
  <si>
    <t>991005112639702656</t>
  </si>
  <si>
    <t>2255440440002656</t>
  </si>
  <si>
    <t>9781929223930</t>
  </si>
  <si>
    <t>32285005325369</t>
  </si>
  <si>
    <t>893870536</t>
  </si>
  <si>
    <t>HV6431 .B44</t>
  </si>
  <si>
    <t>0                      HV 6431000B  44</t>
  </si>
  <si>
    <t>Transnational terror / J. Bowyer Bell.</t>
  </si>
  <si>
    <t>Bell, J. Bowyer, 1931-</t>
  </si>
  <si>
    <t>Washington : American Enterprise Institute for Public Policy Research, 1975.</t>
  </si>
  <si>
    <t>AEI-Hoover policy studies ; 17</t>
  </si>
  <si>
    <t>2005-10-30</t>
  </si>
  <si>
    <t>1999-03-04</t>
  </si>
  <si>
    <t>3237010:eng</t>
  </si>
  <si>
    <t>1887541</t>
  </si>
  <si>
    <t>991003927539702656</t>
  </si>
  <si>
    <t>2263118660002656</t>
  </si>
  <si>
    <t>9780844731872</t>
  </si>
  <si>
    <t>32285003263133</t>
  </si>
  <si>
    <t>893875472</t>
  </si>
  <si>
    <t>HV6431 .B4794 2004</t>
  </si>
  <si>
    <t>0                      HV 6431000B  4794        2004</t>
  </si>
  <si>
    <t>Terror and liberalism / Paul Berman.</t>
  </si>
  <si>
    <t>Berman, Paul, 1949-</t>
  </si>
  <si>
    <t>New York : Norton, c2004.</t>
  </si>
  <si>
    <t>690378:eng</t>
  </si>
  <si>
    <t>55110958</t>
  </si>
  <si>
    <t>991004462079702656</t>
  </si>
  <si>
    <t>2265337790002656</t>
  </si>
  <si>
    <t>9780393325553</t>
  </si>
  <si>
    <t>32285005025860</t>
  </si>
  <si>
    <t>893532417</t>
  </si>
  <si>
    <t>HV6431 .B65 2002</t>
  </si>
  <si>
    <t>0                      HV 6431000B  65          2002</t>
  </si>
  <si>
    <t>The counterterrorism handbook : tactics, procedures, and techniques / Frank Bolz, Jr., Kenneth J. Dudonis, David P. Schulz.</t>
  </si>
  <si>
    <t>Bolz, Frank, 1930-</t>
  </si>
  <si>
    <t>Boca Raton : CRC Press, c2002.</t>
  </si>
  <si>
    <t>CRC series in practical aspects of criminal and forensic investigations</t>
  </si>
  <si>
    <t>2005-03-28</t>
  </si>
  <si>
    <t>4923474126:eng</t>
  </si>
  <si>
    <t>46829127</t>
  </si>
  <si>
    <t>991003653729702656</t>
  </si>
  <si>
    <t>2256585020002656</t>
  </si>
  <si>
    <t>9780849309649</t>
  </si>
  <si>
    <t>32285004412127</t>
  </si>
  <si>
    <t>893810096</t>
  </si>
  <si>
    <t>HV6431 .C48 1986</t>
  </si>
  <si>
    <t>0                      HV 6431000C  48          1986</t>
  </si>
  <si>
    <t>Pirates &amp; emperors : international terrorism in the real world / by Noam Chomsky.</t>
  </si>
  <si>
    <t>Chomsky, Noam.</t>
  </si>
  <si>
    <t>New York : Claremont Research &amp; Publications, c1986.</t>
  </si>
  <si>
    <t>2003-09-05</t>
  </si>
  <si>
    <t>738517:eng</t>
  </si>
  <si>
    <t>15337405</t>
  </si>
  <si>
    <t>991001017689702656</t>
  </si>
  <si>
    <t>2272704740002656</t>
  </si>
  <si>
    <t>9780912439068</t>
  </si>
  <si>
    <t>32285000225853</t>
  </si>
  <si>
    <t>893333982</t>
  </si>
  <si>
    <t>HV6431 .C66 1986</t>
  </si>
  <si>
    <t>0                      HV 6431000C  66          1986</t>
  </si>
  <si>
    <t>Contemporary terrorism / edited by William Gutteridge for the Institute for the Study of Conflict.</t>
  </si>
  <si>
    <t>New York, N.Y. : Facts on File, 1986.</t>
  </si>
  <si>
    <t>370837271:eng</t>
  </si>
  <si>
    <t>12558426</t>
  </si>
  <si>
    <t>991000817709702656</t>
  </si>
  <si>
    <t>2271740180002656</t>
  </si>
  <si>
    <t>9780816014682</t>
  </si>
  <si>
    <t>32285000225879</t>
  </si>
  <si>
    <t>893528414</t>
  </si>
  <si>
    <t>HV6431 .C665 2003</t>
  </si>
  <si>
    <t>0                      HV 6431000C  665         2003</t>
  </si>
  <si>
    <t>Terrorism : a philosophical analysis / by J. Angelo Corlett.</t>
  </si>
  <si>
    <t>Corlett, J. Angelo, 1958-</t>
  </si>
  <si>
    <t>Dordrecht ; Boston : Kluwer Academic Publishers, c2003.</t>
  </si>
  <si>
    <t xml:space="preserve">na </t>
  </si>
  <si>
    <t>Philosophical studies series ; v. 101</t>
  </si>
  <si>
    <t>2006-11-20</t>
  </si>
  <si>
    <t>2005-10-13</t>
  </si>
  <si>
    <t>757159:eng</t>
  </si>
  <si>
    <t>53030926</t>
  </si>
  <si>
    <t>991004668599702656</t>
  </si>
  <si>
    <t>2255358720002656</t>
  </si>
  <si>
    <t>9781402016943</t>
  </si>
  <si>
    <t>32285005089429</t>
  </si>
  <si>
    <t>893869963</t>
  </si>
  <si>
    <t>HV6431 .D46 1991</t>
  </si>
  <si>
    <t>0                      HV 6431000D  46          1991</t>
  </si>
  <si>
    <t>Democratic responses to international terrorism / edited by David A. Charters.</t>
  </si>
  <si>
    <t>Ardsley-on-Hudson, N.Y. : Transnational Publishers, c1991.</t>
  </si>
  <si>
    <t>1992-06-16</t>
  </si>
  <si>
    <t>367440534:eng</t>
  </si>
  <si>
    <t>22308920</t>
  </si>
  <si>
    <t>991001765909702656</t>
  </si>
  <si>
    <t>2259062510002656</t>
  </si>
  <si>
    <t>9780941320665</t>
  </si>
  <si>
    <t>32285001129161</t>
  </si>
  <si>
    <t>893250478</t>
  </si>
  <si>
    <t>HV6431 .D62 1982</t>
  </si>
  <si>
    <t>0                      HV 6431000D  62          1982</t>
  </si>
  <si>
    <t>The terrorists : their weapons, leaders, and tactics / by Christopher Dobson and Ronald Payne.</t>
  </si>
  <si>
    <t>Dobson, Christopher, 1927-</t>
  </si>
  <si>
    <t>New York, N.Y. : Facts on File, c1982.</t>
  </si>
  <si>
    <t>2008-04-16</t>
  </si>
  <si>
    <t>519054:eng</t>
  </si>
  <si>
    <t>8171688</t>
  </si>
  <si>
    <t>991005213919702656</t>
  </si>
  <si>
    <t>2257172550002656</t>
  </si>
  <si>
    <t>9780871966681</t>
  </si>
  <si>
    <t>32285000225911</t>
  </si>
  <si>
    <t>893877136</t>
  </si>
  <si>
    <t>HV6431 .G75 2003</t>
  </si>
  <si>
    <t>0                      HV 6431000G  75          2003</t>
  </si>
  <si>
    <t>Hostage : the history, facts &amp; reasoning behind hostage taking / John C. Griffiths.</t>
  </si>
  <si>
    <t>Griffiths, John Charles.</t>
  </si>
  <si>
    <t>London : Andre Deutsch, 2003.</t>
  </si>
  <si>
    <t>2006-09-08</t>
  </si>
  <si>
    <t>2006-07-24</t>
  </si>
  <si>
    <t>1201707:eng</t>
  </si>
  <si>
    <t>52620343</t>
  </si>
  <si>
    <t>991004852579702656</t>
  </si>
  <si>
    <t>2261494620002656</t>
  </si>
  <si>
    <t>9780233000343</t>
  </si>
  <si>
    <t>32285005196935</t>
  </si>
  <si>
    <t>893789169</t>
  </si>
  <si>
    <t>HV6431 .G757 2003</t>
  </si>
  <si>
    <t>0                      HV 6431000G  757         2003</t>
  </si>
  <si>
    <t>Terrorism in perspective / Pamala L. Griset, Sue Mahan.</t>
  </si>
  <si>
    <t>Griset, Pamala L., 1946-</t>
  </si>
  <si>
    <t>Thousand Oaks : Sage Publications, c2003.</t>
  </si>
  <si>
    <t>946807:eng</t>
  </si>
  <si>
    <t>50348290</t>
  </si>
  <si>
    <t>991004500189702656</t>
  </si>
  <si>
    <t>2260135480002656</t>
  </si>
  <si>
    <t>9780761924043</t>
  </si>
  <si>
    <t>32285005043608</t>
  </si>
  <si>
    <t>893436352</t>
  </si>
  <si>
    <t>HV6431 .G856 2008</t>
  </si>
  <si>
    <t>0                      HV 6431000G  856         2008</t>
  </si>
  <si>
    <t>Understanding terrorism and political violence : the life cycle of birth, growth, transformation, and demise / Dipak K. Gupta.</t>
  </si>
  <si>
    <t>Gupta, Dipak K.</t>
  </si>
  <si>
    <t>London ; New York : Routledge, 2008.</t>
  </si>
  <si>
    <t>Political violence</t>
  </si>
  <si>
    <t>2009-06-16</t>
  </si>
  <si>
    <t>802839025:eng</t>
  </si>
  <si>
    <t>171287624</t>
  </si>
  <si>
    <t>991005320829702656</t>
  </si>
  <si>
    <t>2263295810002656</t>
  </si>
  <si>
    <t>9780415771641</t>
  </si>
  <si>
    <t>32285005535082</t>
  </si>
  <si>
    <t>893808192</t>
  </si>
  <si>
    <t>HV6431 .H364 2007</t>
  </si>
  <si>
    <t>0                      HV 6431000H  364         2007</t>
  </si>
  <si>
    <t>Terrorism as crime : from Oklahoma City to Al-Qaeda and beyond / Mark S. Hamm.</t>
  </si>
  <si>
    <t>Hamm, Mark S.</t>
  </si>
  <si>
    <t>New York : New York University Press, c2007.</t>
  </si>
  <si>
    <t>Alternative criminology series</t>
  </si>
  <si>
    <t>2010-03-28</t>
  </si>
  <si>
    <t>2007-12-04</t>
  </si>
  <si>
    <t>864922612:eng</t>
  </si>
  <si>
    <t>71329875</t>
  </si>
  <si>
    <t>991005148149702656</t>
  </si>
  <si>
    <t>2266787800002656</t>
  </si>
  <si>
    <t>9780814736951</t>
  </si>
  <si>
    <t>32285005369573</t>
  </si>
  <si>
    <t>893332474</t>
  </si>
  <si>
    <t>HV6431 .I477 2008</t>
  </si>
  <si>
    <t>0                      HV 6431000I  477         2008</t>
  </si>
  <si>
    <t>Responding to terrorism : political, philosophical and legal perspectives / Robert Imre, T. Brian Mooney, Benjamin Clarke.</t>
  </si>
  <si>
    <t>Imre, Robert.</t>
  </si>
  <si>
    <t>Aldershot, Hampshire, England ; Burlington, VT : Ashgate, c2008.</t>
  </si>
  <si>
    <t>2009-03-25</t>
  </si>
  <si>
    <t>2009-03-11</t>
  </si>
  <si>
    <t>800625754:eng</t>
  </si>
  <si>
    <t>174138848</t>
  </si>
  <si>
    <t>991005300089702656</t>
  </si>
  <si>
    <t>2266182110002656</t>
  </si>
  <si>
    <t>9780754672777</t>
  </si>
  <si>
    <t>32285005508006</t>
  </si>
  <si>
    <t>893613477</t>
  </si>
  <si>
    <t>HV6431 .I56</t>
  </si>
  <si>
    <t>0                      HV 6431000I  56</t>
  </si>
  <si>
    <t>International terrorism in the contemporary world / edited by Marius H. Livingston with Lee Bruce Kress and Marie G. Wanek. --</t>
  </si>
  <si>
    <t>Westport, Conn. : Greenwood Press, 1978.</t>
  </si>
  <si>
    <t>Contributions in political science, 0147-1066 ; no. 3</t>
  </si>
  <si>
    <t>2007-06-21</t>
  </si>
  <si>
    <t>575317756:eng</t>
  </si>
  <si>
    <t>3630403</t>
  </si>
  <si>
    <t>991004482709702656</t>
  </si>
  <si>
    <t>2258626180002656</t>
  </si>
  <si>
    <t>9780837198842</t>
  </si>
  <si>
    <t>32285000225986</t>
  </si>
  <si>
    <t>893430108</t>
  </si>
  <si>
    <t>HV6431 .I57</t>
  </si>
  <si>
    <t>0                      HV 6431000I  57</t>
  </si>
  <si>
    <t>International terrorism : national, regional, and global perspectives / edited by Yonah Alexander ; foreword by Arthur J. Goldberg.</t>
  </si>
  <si>
    <t>New York : Praeger, 1976.</t>
  </si>
  <si>
    <t>Praeger special studies in international politics and government</t>
  </si>
  <si>
    <t>808857756:eng</t>
  </si>
  <si>
    <t>1979460</t>
  </si>
  <si>
    <t>991003964719702656</t>
  </si>
  <si>
    <t>2265299840002656</t>
  </si>
  <si>
    <t>9780275094805</t>
  </si>
  <si>
    <t>32285003158218</t>
  </si>
  <si>
    <t>893627913</t>
  </si>
  <si>
    <t>HV6431 .I768 2005</t>
  </si>
  <si>
    <t>0                      HV 6431000I  768         2005</t>
  </si>
  <si>
    <t>The Islam/West debate : documents from a global debate on terrorism, U.S. policy, and the Middle East / edited by David Blankenhorn ... [et al.].</t>
  </si>
  <si>
    <t>Lanham, Md. : Rowman &amp; Littlefield, c2005.</t>
  </si>
  <si>
    <t>2006-10-27</t>
  </si>
  <si>
    <t>957087646:eng</t>
  </si>
  <si>
    <t>61261207</t>
  </si>
  <si>
    <t>991004911389702656</t>
  </si>
  <si>
    <t>2266952440002656</t>
  </si>
  <si>
    <t>9780742550063</t>
  </si>
  <si>
    <t>32285005225726</t>
  </si>
  <si>
    <t>893776568</t>
  </si>
  <si>
    <t>HV6431 .J46 2003</t>
  </si>
  <si>
    <t>0                      HV 6431000J  46          2003</t>
  </si>
  <si>
    <t>Images of terror : what we can and can't know about terrorism / Philip Jenkins.</t>
  </si>
  <si>
    <t>Jenkins, Philip, 1952-</t>
  </si>
  <si>
    <t>New York : Aldine de Gruyter, c2003.</t>
  </si>
  <si>
    <t>2008-08-12</t>
  </si>
  <si>
    <t>2004-10-06</t>
  </si>
  <si>
    <t>795427366:eng</t>
  </si>
  <si>
    <t>50448089</t>
  </si>
  <si>
    <t>991004363949702656</t>
  </si>
  <si>
    <t>2271094830002656</t>
  </si>
  <si>
    <t>9780202306780</t>
  </si>
  <si>
    <t>32285005001226</t>
  </si>
  <si>
    <t>893800892</t>
  </si>
  <si>
    <t>HV6431 .L36</t>
  </si>
  <si>
    <t>0                      HV 6431000L  36</t>
  </si>
  <si>
    <t>Terrorism / Walter Laqueur.</t>
  </si>
  <si>
    <t>Laqueur, Walter, 1921-2018.</t>
  </si>
  <si>
    <t>2005-06-15</t>
  </si>
  <si>
    <t>1993-12-21</t>
  </si>
  <si>
    <t>4633335:eng</t>
  </si>
  <si>
    <t>2911047</t>
  </si>
  <si>
    <t>991004281149702656</t>
  </si>
  <si>
    <t>2266344970002656</t>
  </si>
  <si>
    <t>9780316514705</t>
  </si>
  <si>
    <t>32285001826014</t>
  </si>
  <si>
    <t>893337526</t>
  </si>
  <si>
    <t>HV6431 .L66 1990</t>
  </si>
  <si>
    <t>0                      HV 6431000L  66          1990</t>
  </si>
  <si>
    <t>The anatomy of terrorism / David E. Long.</t>
  </si>
  <si>
    <t>Long, David E.</t>
  </si>
  <si>
    <t>New York : Free Press ; Toronto : Collier Macmillan Canada ; New York : Maxwell Macmillan International, c1990.</t>
  </si>
  <si>
    <t>1991-03-14</t>
  </si>
  <si>
    <t>23297134:eng</t>
  </si>
  <si>
    <t>21328981</t>
  </si>
  <si>
    <t>991001674919702656</t>
  </si>
  <si>
    <t>2262557500002656</t>
  </si>
  <si>
    <t>9780029193457</t>
  </si>
  <si>
    <t>32285000511450</t>
  </si>
  <si>
    <t>893420512</t>
  </si>
  <si>
    <t>HV6431 .M378 2004</t>
  </si>
  <si>
    <t>0                      HV 6431000M  378         2004</t>
  </si>
  <si>
    <t>Lockerbie and Libya : a study in international relations / Khalil I. Matar and Robert W. Thabit.</t>
  </si>
  <si>
    <t>Matar, Khalil I., 1960-</t>
  </si>
  <si>
    <t>Jefferson, N.C. : McFarland &amp; Co., c2004.</t>
  </si>
  <si>
    <t>2006-02-05</t>
  </si>
  <si>
    <t>2005-02-28</t>
  </si>
  <si>
    <t>837838284:eng</t>
  </si>
  <si>
    <t>53138488</t>
  </si>
  <si>
    <t>991004463829702656</t>
  </si>
  <si>
    <t>2266375070002656</t>
  </si>
  <si>
    <t>9780786416097</t>
  </si>
  <si>
    <t>32285005027817</t>
  </si>
  <si>
    <t>893430087</t>
  </si>
  <si>
    <t>HV6431 .N484 2004</t>
  </si>
  <si>
    <t>0                      HV 6431000N  484         2004</t>
  </si>
  <si>
    <t>The new era of terrorism : selected readings / editor,Gus Martin.</t>
  </si>
  <si>
    <t>Thousand Oaks, CA : Sage Publications, c2004.</t>
  </si>
  <si>
    <t>2004-11-14</t>
  </si>
  <si>
    <t>799360188:eng</t>
  </si>
  <si>
    <t>53932606</t>
  </si>
  <si>
    <t>991004364329702656</t>
  </si>
  <si>
    <t>2269803470002656</t>
  </si>
  <si>
    <t>9780761988731</t>
  </si>
  <si>
    <t>32285004989793</t>
  </si>
  <si>
    <t>893436198</t>
  </si>
  <si>
    <t>HV6431 .P47 1983</t>
  </si>
  <si>
    <t>0                      HV 6431000P  47          1983</t>
  </si>
  <si>
    <t>Perspectives on terrorism / edited by Lawrence Zelic Freedman and Yonah Alexander.</t>
  </si>
  <si>
    <t>Wilmington, Del. : Scholarly Resources, 1983.</t>
  </si>
  <si>
    <t>deu</t>
  </si>
  <si>
    <t>509622587:eng</t>
  </si>
  <si>
    <t>9198017</t>
  </si>
  <si>
    <t>991000150369702656</t>
  </si>
  <si>
    <t>2263035570002656</t>
  </si>
  <si>
    <t>9780842022019</t>
  </si>
  <si>
    <t>32285000226034</t>
  </si>
  <si>
    <t>893808619</t>
  </si>
  <si>
    <t>HV6431 .R437 2006</t>
  </si>
  <si>
    <t>0                      HV 6431000R  437         2006</t>
  </si>
  <si>
    <t>Transatlantic counter-terrorism cooperation : the new imperative / Wyn Rees.</t>
  </si>
  <si>
    <t>Rees, G. Wyn, 1963-</t>
  </si>
  <si>
    <t>London ; New York : Routledge, 2006.</t>
  </si>
  <si>
    <t>2007-10-30</t>
  </si>
  <si>
    <t>802181502:eng</t>
  </si>
  <si>
    <t>62755559</t>
  </si>
  <si>
    <t>991005125199702656</t>
  </si>
  <si>
    <t>2270522700002656</t>
  </si>
  <si>
    <t>9780415331388</t>
  </si>
  <si>
    <t>32285005363444</t>
  </si>
  <si>
    <t>893719816</t>
  </si>
  <si>
    <t>HV6431 .S26 2005</t>
  </si>
  <si>
    <t>0                      HV 6431000S  26          2005</t>
  </si>
  <si>
    <t>Capitalism is not democracy : avoiding apocalyptical human insecurity in a dystopic era of economic globalization / H. Raymond Samuels II.</t>
  </si>
  <si>
    <t>Samuels, Raymond (H. Raymond)</t>
  </si>
  <si>
    <t>Kanata, Ont. : Agora Pub. Consortium, 2005.</t>
  </si>
  <si>
    <t>2009-02-06</t>
  </si>
  <si>
    <t>2006-05-31</t>
  </si>
  <si>
    <t>46376485:eng</t>
  </si>
  <si>
    <t>56921442</t>
  </si>
  <si>
    <t>991004802529702656</t>
  </si>
  <si>
    <t>2257541870002656</t>
  </si>
  <si>
    <t>9781894934633</t>
  </si>
  <si>
    <t>32285005189971</t>
  </si>
  <si>
    <t>893446400</t>
  </si>
  <si>
    <t>HV6431 .S26 2005 PT. 2</t>
  </si>
  <si>
    <t>0                      HV 6431000S  26          2005                                        PT. 2</t>
  </si>
  <si>
    <t>PT. 2*</t>
  </si>
  <si>
    <t>32285005189989</t>
  </si>
  <si>
    <t>893424207</t>
  </si>
  <si>
    <t>HV6431 .S26 2005 PT. 3</t>
  </si>
  <si>
    <t>0                      HV 6431000S  26          2005                                        PT. 3</t>
  </si>
  <si>
    <t>PT. 3*</t>
  </si>
  <si>
    <t>32285005189997</t>
  </si>
  <si>
    <t>893424206</t>
  </si>
  <si>
    <t>HV6431 .S4 1992</t>
  </si>
  <si>
    <t>0                      HV 6431000S  4           1992</t>
  </si>
  <si>
    <t>Abu Nidal : a gun for hire / Patrick Seale.</t>
  </si>
  <si>
    <t>Seale, Patrick.</t>
  </si>
  <si>
    <t>New York : Random House, c1992.</t>
  </si>
  <si>
    <t>2008-03-28</t>
  </si>
  <si>
    <t>1992-07-28</t>
  </si>
  <si>
    <t>27001805:eng</t>
  </si>
  <si>
    <t>24628222</t>
  </si>
  <si>
    <t>991001948149702656</t>
  </si>
  <si>
    <t>2261575990002656</t>
  </si>
  <si>
    <t>9780679400660</t>
  </si>
  <si>
    <t>32285001195154</t>
  </si>
  <si>
    <t>893232407</t>
  </si>
  <si>
    <t>HV6431 .S4686 2007</t>
  </si>
  <si>
    <t>0                      HV 6431000S  4686        2007</t>
  </si>
  <si>
    <t>When terrorism and counterterrorism clash : the War on Terror and the transformation of terrorist activity / Ivan Sascha Sheehan.</t>
  </si>
  <si>
    <t>Sheehan, Ivan Sascha.</t>
  </si>
  <si>
    <t>Youngstown, N.Y. : Cambria Press, c2007.</t>
  </si>
  <si>
    <t>229827668:eng</t>
  </si>
  <si>
    <t>137331469</t>
  </si>
  <si>
    <t>991005270219702656</t>
  </si>
  <si>
    <t>2261227030002656</t>
  </si>
  <si>
    <t>9781934043707</t>
  </si>
  <si>
    <t>32285005466312</t>
  </si>
  <si>
    <t>893625743</t>
  </si>
  <si>
    <t>HV6431 .S74 1999</t>
  </si>
  <si>
    <t>0                      HV 6431000S  74          1999</t>
  </si>
  <si>
    <t>The ultimate terrorists / Jessica Stern.</t>
  </si>
  <si>
    <t>Stern, Jessica, 1958-</t>
  </si>
  <si>
    <t>Cambridge, MA : Harvard University Press, 1999.</t>
  </si>
  <si>
    <t>2004-05-04</t>
  </si>
  <si>
    <t>1999-08-24</t>
  </si>
  <si>
    <t>14460301:eng</t>
  </si>
  <si>
    <t>39812131</t>
  </si>
  <si>
    <t>991002972519702656</t>
  </si>
  <si>
    <t>2272287190002656</t>
  </si>
  <si>
    <t>9780674617902</t>
  </si>
  <si>
    <t>32285003583852</t>
  </si>
  <si>
    <t>893498788</t>
  </si>
  <si>
    <t>HV6431 .S744 2004</t>
  </si>
  <si>
    <t>0                      HV 6431000S  744         2004</t>
  </si>
  <si>
    <t>Counterterrorism : a reference handbook / Graeme C. S. Steven and Rohan Gunaratna.</t>
  </si>
  <si>
    <t>Steven, Graeme C. S.</t>
  </si>
  <si>
    <t>Santa Barbara, Calif. : ABC-CLIO, c2004.</t>
  </si>
  <si>
    <t>2004-10-05</t>
  </si>
  <si>
    <t>792933218:eng</t>
  </si>
  <si>
    <t>55055170</t>
  </si>
  <si>
    <t>991004382689702656</t>
  </si>
  <si>
    <t>2265164200002656</t>
  </si>
  <si>
    <t>9781851096664</t>
  </si>
  <si>
    <t>32285005001143</t>
  </si>
  <si>
    <t>893331533</t>
  </si>
  <si>
    <t>HV6431 .S86 2001</t>
  </si>
  <si>
    <t>0                      HV 6431000S  86          2001</t>
  </si>
  <si>
    <t>Super terrorism : biological, chemical, and nuclear / Yonah Alexander and Milton Hoenig, editors.</t>
  </si>
  <si>
    <t>Ardsley, NY : Transnational Publishers, c2001.</t>
  </si>
  <si>
    <t>2006-04-02</t>
  </si>
  <si>
    <t>366830465:eng</t>
  </si>
  <si>
    <t>47161164</t>
  </si>
  <si>
    <t>991003676679702656</t>
  </si>
  <si>
    <t>2266746090002656</t>
  </si>
  <si>
    <t>9781571052186</t>
  </si>
  <si>
    <t>32285004428222</t>
  </si>
  <si>
    <t>893881423</t>
  </si>
  <si>
    <t>HV6431 .S863 2002</t>
  </si>
  <si>
    <t>0                      HV 6431000S  863         2002</t>
  </si>
  <si>
    <t>Superterrorism : policy responses / edited by Lawrence Freedman.</t>
  </si>
  <si>
    <t>Malden, Mass. : Blackwell Pub., c2002.</t>
  </si>
  <si>
    <t>2003-08-12</t>
  </si>
  <si>
    <t>798936525:eng</t>
  </si>
  <si>
    <t>50693199</t>
  </si>
  <si>
    <t>991004081029702656</t>
  </si>
  <si>
    <t>2256199620002656</t>
  </si>
  <si>
    <t>9781405105934</t>
  </si>
  <si>
    <t>32285004759246</t>
  </si>
  <si>
    <t>893519224</t>
  </si>
  <si>
    <t>HV6431 .T463 1984</t>
  </si>
  <si>
    <t>0                      HV 6431000T  463         1984</t>
  </si>
  <si>
    <t>Terrorism and the media in the 1980's : the proceedings of a conference held April 14, 1983 / cosponsored by Transnational Communications Center, the Media Institute and Institute for Studies in International Terrorism, State University of New York ; edited by Sarah Midgley and Virginia Rice ; with an introduction by Morris I. Leibman.</t>
  </si>
  <si>
    <t>Washington, D.C. : TCC, The Institute, c1984.</t>
  </si>
  <si>
    <t>3950722:eng</t>
  </si>
  <si>
    <t>11518974</t>
  </si>
  <si>
    <t>991000547109702656</t>
  </si>
  <si>
    <t>2269689210002656</t>
  </si>
  <si>
    <t>9780937790267</t>
  </si>
  <si>
    <t>32285000226117</t>
  </si>
  <si>
    <t>893237405</t>
  </si>
  <si>
    <t>HV6431 .T465 v. 13</t>
  </si>
  <si>
    <t>0                      HV 6431000T  465                                                     v. 13</t>
  </si>
  <si>
    <t>Balancing civil rights and security : American judicial responses since 9/11 / [edited by] Donald J. Musch.</t>
  </si>
  <si>
    <t>V. 13</t>
  </si>
  <si>
    <t>Dobbs Ferry, N.Y. : Oceana Publications, 2003.</t>
  </si>
  <si>
    <t>Terrorism : documents of international &amp; local control. Second series, 1064-9352 ; v. 13</t>
  </si>
  <si>
    <t>341726930:eng</t>
  </si>
  <si>
    <t>52099861</t>
  </si>
  <si>
    <t>991004039209702656</t>
  </si>
  <si>
    <t>2258110540002656</t>
  </si>
  <si>
    <t>9780379215021</t>
  </si>
  <si>
    <t>32285004743430</t>
  </si>
  <si>
    <t>893800517</t>
  </si>
  <si>
    <t>HV6431 .T465 v. 14</t>
  </si>
  <si>
    <t>0                      HV 6431000T  465                                                     v. 14</t>
  </si>
  <si>
    <t>Civil liberties and the Foreign Intelligence Surveillance Act / [edited by] Donald J. Musch.</t>
  </si>
  <si>
    <t>V. 14</t>
  </si>
  <si>
    <t>Terrorism : documents of international &amp; local control. Second series, 1064-9352 ; v. 14</t>
  </si>
  <si>
    <t>2006-03-26</t>
  </si>
  <si>
    <t>2003-10-08</t>
  </si>
  <si>
    <t>11151875:eng</t>
  </si>
  <si>
    <t>53079007</t>
  </si>
  <si>
    <t>991004144989702656</t>
  </si>
  <si>
    <t>2271596350002656</t>
  </si>
  <si>
    <t>9780379215038</t>
  </si>
  <si>
    <t>32285004787395</t>
  </si>
  <si>
    <t>893318851</t>
  </si>
  <si>
    <t>HV6431 .T465 v. 15</t>
  </si>
  <si>
    <t>0                      HV 6431000T  465                                                     v. 15</t>
  </si>
  <si>
    <t>The Lockerbie trial : a documentary history / [edited by] John P. Grant.</t>
  </si>
  <si>
    <t>V. 15</t>
  </si>
  <si>
    <t>Dobbs Ferry, N.Y. : Oceana Publications, c2004.</t>
  </si>
  <si>
    <t>Terrorism, 1064-9352 ; 2nd ser., 15th v.</t>
  </si>
  <si>
    <t>2004-03-23</t>
  </si>
  <si>
    <t>13700513:eng</t>
  </si>
  <si>
    <t>54679090</t>
  </si>
  <si>
    <t>991004266629702656</t>
  </si>
  <si>
    <t>2267353650002656</t>
  </si>
  <si>
    <t>9780379215120</t>
  </si>
  <si>
    <t>32285004896196</t>
  </si>
  <si>
    <t>893411319</t>
  </si>
  <si>
    <t>HV6431 .T465 v. 16</t>
  </si>
  <si>
    <t>0                      HV 6431000T  465                                                     v. 16</t>
  </si>
  <si>
    <t>International terrorism agreements : documents and commentary / [compiled and with commentary by] Donald J. Musch.</t>
  </si>
  <si>
    <t>V. 16</t>
  </si>
  <si>
    <t>Terrorism, 1064-9352 ; 2nd ser., 16th v.</t>
  </si>
  <si>
    <t>2004-12-07</t>
  </si>
  <si>
    <t>196099377:eng</t>
  </si>
  <si>
    <t>56952324</t>
  </si>
  <si>
    <t>991004426159702656</t>
  </si>
  <si>
    <t>2260767850002656</t>
  </si>
  <si>
    <t>9780379215359</t>
  </si>
  <si>
    <t>32285005015978</t>
  </si>
  <si>
    <t>893599823</t>
  </si>
  <si>
    <t>HV6431 .T465 v. 17</t>
  </si>
  <si>
    <t>0                      HV 6431000T  465                                                     v. 17</t>
  </si>
  <si>
    <t>The 9/11 Commission : proceedings and analysis / [edited by] James R. Holbein.</t>
  </si>
  <si>
    <t>V. 17 BK. 1</t>
  </si>
  <si>
    <t>Dobbs Ferry, N.Y. : Oceana Publications, c2005.</t>
  </si>
  <si>
    <t>Terrorism, Documents of International and Local Control, 1064-9352 ; 2nd ser., v. 17</t>
  </si>
  <si>
    <t>2005-03-07</t>
  </si>
  <si>
    <t>899375:eng</t>
  </si>
  <si>
    <t>57593107</t>
  </si>
  <si>
    <t>991004478169702656</t>
  </si>
  <si>
    <t>2271524680002656</t>
  </si>
  <si>
    <t>9780379215274</t>
  </si>
  <si>
    <t>32285005027445</t>
  </si>
  <si>
    <t>893706466</t>
  </si>
  <si>
    <t>V. 17 BK. 2</t>
  </si>
  <si>
    <t>32285005027452</t>
  </si>
  <si>
    <t>893693991</t>
  </si>
  <si>
    <t>V. 17 BK. 3</t>
  </si>
  <si>
    <t>32285005027460</t>
  </si>
  <si>
    <t>893706468</t>
  </si>
  <si>
    <t>V. 17 BK. 4</t>
  </si>
  <si>
    <t>32285005027478</t>
  </si>
  <si>
    <t>893706467</t>
  </si>
  <si>
    <t>HV6431 .T465 v. 20</t>
  </si>
  <si>
    <t>0                      HV 6431000T  465                                                     v. 20</t>
  </si>
  <si>
    <t>National security and the legal process / Philip D. O'Neill, Jr.</t>
  </si>
  <si>
    <t>V. 20 SUPP.</t>
  </si>
  <si>
    <t>O'Neill, Philip D., Jr., 1951-</t>
  </si>
  <si>
    <t>New York : Oceana, c2008.</t>
  </si>
  <si>
    <t>Terrorism: documents of international and local control ; 2nd ser., [v. 20]</t>
  </si>
  <si>
    <t>2008-08-19</t>
  </si>
  <si>
    <t>2008-08-18</t>
  </si>
  <si>
    <t>9845931660:eng</t>
  </si>
  <si>
    <t>192045714</t>
  </si>
  <si>
    <t>991005205279702656</t>
  </si>
  <si>
    <t>2265355600002656</t>
  </si>
  <si>
    <t>9780195372861</t>
  </si>
  <si>
    <t>32285005402697</t>
  </si>
  <si>
    <t>893254643</t>
  </si>
  <si>
    <t>V. 20</t>
  </si>
  <si>
    <t>32285005402689</t>
  </si>
  <si>
    <t>893248541</t>
  </si>
  <si>
    <t>HV6431 .T465 v. 9-12</t>
  </si>
  <si>
    <t>0                      HV 6431000T  465                                                     v. 9-12</t>
  </si>
  <si>
    <t>Legal aspects of terrorism in the United States / Yonah Alexander and Edgar H. Brenner.</t>
  </si>
  <si>
    <t>V. 12</t>
  </si>
  <si>
    <t>Alexander, Yonah.</t>
  </si>
  <si>
    <t>Dobbs Ferry, N.Y. : Oceana Pub., Inc., c2000.</t>
  </si>
  <si>
    <t>Terrorism : documents of international and local control, 1064-9352 ; 2nd ser., v. 9-12</t>
  </si>
  <si>
    <t>2001-01-11</t>
  </si>
  <si>
    <t>4575229732:eng</t>
  </si>
  <si>
    <t>45430181</t>
  </si>
  <si>
    <t>991003358039702656</t>
  </si>
  <si>
    <t>2255533110002656</t>
  </si>
  <si>
    <t>9780379214284</t>
  </si>
  <si>
    <t>32285004282785</t>
  </si>
  <si>
    <t>893887407</t>
  </si>
  <si>
    <t>V. 11</t>
  </si>
  <si>
    <t>32285004282777</t>
  </si>
  <si>
    <t>893899916</t>
  </si>
  <si>
    <t>V. 10</t>
  </si>
  <si>
    <t>32285004282769</t>
  </si>
  <si>
    <t>893899917</t>
  </si>
  <si>
    <t>V. 9</t>
  </si>
  <si>
    <t>32285004282751</t>
  </si>
  <si>
    <t>893881098</t>
  </si>
  <si>
    <t>HV6431 .T465 v.2</t>
  </si>
  <si>
    <t>0                      HV 6431000T  465                                                     v.2</t>
  </si>
  <si>
    <t>Terrorism &amp; political violence : limits &amp; possibilities of legal control / [edited by] Henry H. Han.</t>
  </si>
  <si>
    <t>V. 2</t>
  </si>
  <si>
    <t>New York : Oceana Publications, c1993.</t>
  </si>
  <si>
    <t>Terrorism : documents of international &amp; local control ; 2nd ser., 2nd v.</t>
  </si>
  <si>
    <t>2003-02-16</t>
  </si>
  <si>
    <t>1993-11-05</t>
  </si>
  <si>
    <t>55575490:eng</t>
  </si>
  <si>
    <t>25629666</t>
  </si>
  <si>
    <t>991002013749702656</t>
  </si>
  <si>
    <t>2259845610002656</t>
  </si>
  <si>
    <t>9780379009064</t>
  </si>
  <si>
    <t>32285001802197</t>
  </si>
  <si>
    <t>893615587</t>
  </si>
  <si>
    <t>HV6431 .T465 v.3</t>
  </si>
  <si>
    <t>0                      HV 6431000T  465                                                     v.3</t>
  </si>
  <si>
    <t>Terrorism in war, the law of war crimes / Howard S. Levie.</t>
  </si>
  <si>
    <t>V. 3</t>
  </si>
  <si>
    <t>Levie, Howard S. (Howard Sidney), 1907-2009.</t>
  </si>
  <si>
    <t>Dobbs Ferry, NY : Oceana Publications, 1993.</t>
  </si>
  <si>
    <t>Terrorism : documents of international &amp; local control ; 2nd ser., 3rd v.</t>
  </si>
  <si>
    <t>1998-01-24</t>
  </si>
  <si>
    <t>1998-04-28</t>
  </si>
  <si>
    <t>1993-11-17</t>
  </si>
  <si>
    <t>889885986:eng</t>
  </si>
  <si>
    <t>28214135</t>
  </si>
  <si>
    <t>991001688989702656</t>
  </si>
  <si>
    <t>2265995580002656</t>
  </si>
  <si>
    <t>9780379201482</t>
  </si>
  <si>
    <t>32285001802205</t>
  </si>
  <si>
    <t>893426763</t>
  </si>
  <si>
    <t>HV6431 .T465 v.5-8</t>
  </si>
  <si>
    <t>0                      HV 6431000T  465                                                     v.5-8</t>
  </si>
  <si>
    <t>Cyber terrorism and information warfare / Yonah Alexander and Michael S. Swetnam ; Yonah Alexander, Donald J. Musch, general editors.</t>
  </si>
  <si>
    <t>V. 6</t>
  </si>
  <si>
    <t>Dobbs Ferry, NY : Oceana Publ. Inc., 1999.</t>
  </si>
  <si>
    <t>Terrorism. Second series, 1064-9352 ; 5-8</t>
  </si>
  <si>
    <t>2009-09-17</t>
  </si>
  <si>
    <t>2000-01-06</t>
  </si>
  <si>
    <t>10567311731:eng</t>
  </si>
  <si>
    <t>43097470</t>
  </si>
  <si>
    <t>991003051559702656</t>
  </si>
  <si>
    <t>2268046320002656</t>
  </si>
  <si>
    <t>9780379214161</t>
  </si>
  <si>
    <t>32285003638649</t>
  </si>
  <si>
    <t>893227627</t>
  </si>
  <si>
    <t>32285003638664</t>
  </si>
  <si>
    <t>893251976</t>
  </si>
  <si>
    <t>V. 7</t>
  </si>
  <si>
    <t>32285003638656</t>
  </si>
  <si>
    <t>893262614</t>
  </si>
  <si>
    <t>V. 5</t>
  </si>
  <si>
    <t>2001-02-23</t>
  </si>
  <si>
    <t>32285003638631</t>
  </si>
  <si>
    <t>893251977</t>
  </si>
  <si>
    <t>HV6431 .T49 1978a</t>
  </si>
  <si>
    <t>0                      HV 6431000T  49          1978a</t>
  </si>
  <si>
    <t>The Terrorism reader : a historical anthology / edited by Walter Laqueur. --</t>
  </si>
  <si>
    <t>Philadelphia : Temple University Press, c1978.</t>
  </si>
  <si>
    <t>815113231:eng</t>
  </si>
  <si>
    <t>3826299</t>
  </si>
  <si>
    <t>991004625839702656</t>
  </si>
  <si>
    <t>2259734000002656</t>
  </si>
  <si>
    <t>9780877221197</t>
  </si>
  <si>
    <t>32285001181584</t>
  </si>
  <si>
    <t>893500782</t>
  </si>
  <si>
    <t>HV6431 .T499 2004</t>
  </si>
  <si>
    <t>0                      HV 6431000T  499         2004</t>
  </si>
  <si>
    <t>Terrorism : the philosophical issues / edited by Igor Primoratz.</t>
  </si>
  <si>
    <t>Houndmills, Basingstoke, Hampshire ; New York : Palgrave Macmillan, 2004.</t>
  </si>
  <si>
    <t>2005-03-29</t>
  </si>
  <si>
    <t>861215898:eng</t>
  </si>
  <si>
    <t>55131272</t>
  </si>
  <si>
    <t>991004480519702656</t>
  </si>
  <si>
    <t>2268356840002656</t>
  </si>
  <si>
    <t>9781403918161</t>
  </si>
  <si>
    <t>32285005045181</t>
  </si>
  <si>
    <t>893888765</t>
  </si>
  <si>
    <t>HV6431 .T5</t>
  </si>
  <si>
    <t>0                      HV 6431000T  5</t>
  </si>
  <si>
    <t>Terrorism : theory and practice / edited by Yonah Alexander, David Carlson, Paul Wilkinson.</t>
  </si>
  <si>
    <t>Boulder, Colo. : Westview Press, [1979]</t>
  </si>
  <si>
    <t>Westview special studies in national and international terrorism</t>
  </si>
  <si>
    <t>3943327159:eng</t>
  </si>
  <si>
    <t>4135635</t>
  </si>
  <si>
    <t>991004593219702656</t>
  </si>
  <si>
    <t>2255199960002656</t>
  </si>
  <si>
    <t>9780891580898</t>
  </si>
  <si>
    <t>32285000225978</t>
  </si>
  <si>
    <t>893807252</t>
  </si>
  <si>
    <t>HV6431 .V56 1991</t>
  </si>
  <si>
    <t>0                      HV 6431000V  56          1991</t>
  </si>
  <si>
    <t>Violence, terrorism, and justice / edited by R.G. Frey &amp; Christopher W. Morris.</t>
  </si>
  <si>
    <t>Cambridge [England] ; New York : Cambridge University Press, 1991.</t>
  </si>
  <si>
    <t>Cambridge studies in philosophy and public policy</t>
  </si>
  <si>
    <t>1992-03-01</t>
  </si>
  <si>
    <t>350146710:eng</t>
  </si>
  <si>
    <t>23144327</t>
  </si>
  <si>
    <t>991001843149702656</t>
  </si>
  <si>
    <t>2264313910002656</t>
  </si>
  <si>
    <t>9780521409506</t>
  </si>
  <si>
    <t>32285000937465</t>
  </si>
  <si>
    <t>893261961</t>
  </si>
  <si>
    <t>HV6431 .W365 1989</t>
  </si>
  <si>
    <t>0                      HV 6431000W  365         1989</t>
  </si>
  <si>
    <t>Political terrorism : theory, tactics, and counter-measures / Grant Wardlaw.</t>
  </si>
  <si>
    <t>Wardlaw, Grant.</t>
  </si>
  <si>
    <t>Cambridge [Cambridgeshire] ; New York : Cambridge University Press, 1989.</t>
  </si>
  <si>
    <t>2nd ed., rev. and extended.</t>
  </si>
  <si>
    <t>1990-08-17</t>
  </si>
  <si>
    <t>12199200:eng</t>
  </si>
  <si>
    <t>18191739</t>
  </si>
  <si>
    <t>991001317919702656</t>
  </si>
  <si>
    <t>2269058090002656</t>
  </si>
  <si>
    <t>9780521368414</t>
  </si>
  <si>
    <t>32285000244144</t>
  </si>
  <si>
    <t>893315702</t>
  </si>
  <si>
    <t>HV6431 .W564 2001</t>
  </si>
  <si>
    <t>0                      HV 6431000W  564         2001</t>
  </si>
  <si>
    <t>Terrorism versus democracy : the liberal state response / Paul Wilkinson.</t>
  </si>
  <si>
    <t>Wilkinson, Paul, 1937-2011.</t>
  </si>
  <si>
    <t>London ; Portland, OR : Frank Cass, 2001.</t>
  </si>
  <si>
    <t>Cass series on political violence, 1365-0580 ; 9</t>
  </si>
  <si>
    <t>2002-04-30</t>
  </si>
  <si>
    <t>795321620:eng</t>
  </si>
  <si>
    <t>45172297</t>
  </si>
  <si>
    <t>991003760819702656</t>
  </si>
  <si>
    <t>2258905550002656</t>
  </si>
  <si>
    <t>9780714651392</t>
  </si>
  <si>
    <t>32285004485057</t>
  </si>
  <si>
    <t>893875131</t>
  </si>
  <si>
    <t>HV6431 .W64 2009</t>
  </si>
  <si>
    <t>0                      HV 6431000W  64          2009</t>
  </si>
  <si>
    <t>The world's most threatening terrorist networks and criminal gangs / edited by Michael T. Kindt, Jerrold M. Post, and Barry R. Schneider.</t>
  </si>
  <si>
    <t>New York : Palgrave Macmillan, 2009.</t>
  </si>
  <si>
    <t>2010-08-02</t>
  </si>
  <si>
    <t>2010-07-31</t>
  </si>
  <si>
    <t>1011713228:eng</t>
  </si>
  <si>
    <t>289095901</t>
  </si>
  <si>
    <t>991000024039702656</t>
  </si>
  <si>
    <t>2258242120002656</t>
  </si>
  <si>
    <t>9780230618091</t>
  </si>
  <si>
    <t>32285005591531</t>
  </si>
  <si>
    <t>893802420</t>
  </si>
  <si>
    <t>HV6431 .Y33 1993</t>
  </si>
  <si>
    <t>0                      HV 6431000Y  33          1993</t>
  </si>
  <si>
    <t>Tracking the Jackal : the search for Carlos, the world's most wanted man / David Yallop.</t>
  </si>
  <si>
    <t>Yallop, David A.</t>
  </si>
  <si>
    <t>New York : Random House, c1993.</t>
  </si>
  <si>
    <t>1994-02-08</t>
  </si>
  <si>
    <t>346788:eng</t>
  </si>
  <si>
    <t>27974606</t>
  </si>
  <si>
    <t>991002172959702656</t>
  </si>
  <si>
    <t>2264171600002656</t>
  </si>
  <si>
    <t>9780679425595</t>
  </si>
  <si>
    <t>32285001840692</t>
  </si>
  <si>
    <t>893316472</t>
  </si>
  <si>
    <t>HV6431 .Z85 1996</t>
  </si>
  <si>
    <t>0                      HV 6431000Z  85          1996</t>
  </si>
  <si>
    <t>Terror and taboo : the follies, fables, and faces of terrorism / Joseba Zulaika and William A. Douglass.</t>
  </si>
  <si>
    <t>Zulaika, Joseba.</t>
  </si>
  <si>
    <t>New York : Routledge, 1996.</t>
  </si>
  <si>
    <t>2008-12-16</t>
  </si>
  <si>
    <t>1996-08-20</t>
  </si>
  <si>
    <t>38725409:eng</t>
  </si>
  <si>
    <t>33664912</t>
  </si>
  <si>
    <t>991002576529702656</t>
  </si>
  <si>
    <t>2257374870002656</t>
  </si>
  <si>
    <t>9780415917582</t>
  </si>
  <si>
    <t>32285002290947</t>
  </si>
  <si>
    <t>893886462</t>
  </si>
  <si>
    <t>HV6432 .A37 2001</t>
  </si>
  <si>
    <t>0                      HV 6432000A  37          2001</t>
  </si>
  <si>
    <t>After 9/11 : solutions for a saner world / [edited by Don Hazen ... et. al]</t>
  </si>
  <si>
    <t>San Francisco, CA : AlterNet.org, 2001.</t>
  </si>
  <si>
    <t>2004-04-24</t>
  </si>
  <si>
    <t>2002-04-16</t>
  </si>
  <si>
    <t>2219888519:eng</t>
  </si>
  <si>
    <t>49092706</t>
  </si>
  <si>
    <t>991003754099702656</t>
  </si>
  <si>
    <t>2268448640002656</t>
  </si>
  <si>
    <t>9780963368713</t>
  </si>
  <si>
    <t>32285004480199</t>
  </si>
  <si>
    <t>893336889</t>
  </si>
  <si>
    <t>HV6432 .A43 2001</t>
  </si>
  <si>
    <t>0                      HV 6432000A  43          2001</t>
  </si>
  <si>
    <t>The age of terror : America and the world after September 11 / edited by Strobe Talbott and Nayan Chanda.</t>
  </si>
  <si>
    <t>New York : Basic Books : Yale Center for the Study of Globalization, c2001.</t>
  </si>
  <si>
    <t>2010-10-02</t>
  </si>
  <si>
    <t>2002-01-29</t>
  </si>
  <si>
    <t>795455861:eng</t>
  </si>
  <si>
    <t>48557566</t>
  </si>
  <si>
    <t>991003710299702656</t>
  </si>
  <si>
    <t>2268404100002656</t>
  </si>
  <si>
    <t>9780465083565</t>
  </si>
  <si>
    <t>32285004451216</t>
  </si>
  <si>
    <t>893887782</t>
  </si>
  <si>
    <t>HV6432 .A435 2002</t>
  </si>
  <si>
    <t>0                      HV 6432000A  435         2002</t>
  </si>
  <si>
    <t>Terrorism and business : the impact of September 11, 2001 / Dean C. Alexander and Yonah Alexander.</t>
  </si>
  <si>
    <t>Alexander, Dean C., 1965-</t>
  </si>
  <si>
    <t>Ardsley, NY : Transnational Publishers, c2002.</t>
  </si>
  <si>
    <t>2004-11-21</t>
  </si>
  <si>
    <t>2003-07-24</t>
  </si>
  <si>
    <t>309176030:eng</t>
  </si>
  <si>
    <t>48834861</t>
  </si>
  <si>
    <t>991004075939702656</t>
  </si>
  <si>
    <t>2267939770002656</t>
  </si>
  <si>
    <t>9781571052469</t>
  </si>
  <si>
    <t>32285004756663</t>
  </si>
  <si>
    <t>893775578</t>
  </si>
  <si>
    <t>HV6432 .A45 2004</t>
  </si>
  <si>
    <t>0                      HV 6432000A  45          2004</t>
  </si>
  <si>
    <t>Nuclear terrorism : the ultimate preventable catastrophe / Graham Allison.</t>
  </si>
  <si>
    <t>Allison, Graham T.</t>
  </si>
  <si>
    <t>New York : Times Books/Henry Holt, 2004.</t>
  </si>
  <si>
    <t>2007-12-10</t>
  </si>
  <si>
    <t>2004-08-26</t>
  </si>
  <si>
    <t>3943721614:eng</t>
  </si>
  <si>
    <t>54865179</t>
  </si>
  <si>
    <t>991004344459702656</t>
  </si>
  <si>
    <t>2256066020002656</t>
  </si>
  <si>
    <t>9780805076516</t>
  </si>
  <si>
    <t>32285004983390</t>
  </si>
  <si>
    <t>893325256</t>
  </si>
  <si>
    <t>HV6432 .A76 1997</t>
  </si>
  <si>
    <t>0                      HV 6432000A  76          1997</t>
  </si>
  <si>
    <t>Ecoterror : the violent agenda to save nature : the world of the Unabomber / Ron Arnold.</t>
  </si>
  <si>
    <t>Arnold, Ron.</t>
  </si>
  <si>
    <t>Bellevue, Wash. : Free Enterprise Press : Distributed by Merril Press, 1997.</t>
  </si>
  <si>
    <t>2007-05-16</t>
  </si>
  <si>
    <t>436041475:eng</t>
  </si>
  <si>
    <t>36330925</t>
  </si>
  <si>
    <t>991005081249702656</t>
  </si>
  <si>
    <t>2272183960002656</t>
  </si>
  <si>
    <t>9780939571185</t>
  </si>
  <si>
    <t>32285005313373</t>
  </si>
  <si>
    <t>893701002</t>
  </si>
  <si>
    <t>HV6432 .B38 1992</t>
  </si>
  <si>
    <t>0                      HV 6432000B  38          1992</t>
  </si>
  <si>
    <t>Rads : the 1970 bombing of the Army Math Research Center at the University of Wisconsin and its aftermath / Tom Bates.</t>
  </si>
  <si>
    <t>Bates, Tom, 1944-1999.</t>
  </si>
  <si>
    <t>New York : HarperCollins Publishers, c1992.</t>
  </si>
  <si>
    <t>1995-01-18</t>
  </si>
  <si>
    <t>776699315:eng</t>
  </si>
  <si>
    <t>25877034</t>
  </si>
  <si>
    <t>991002033199702656</t>
  </si>
  <si>
    <t>2268427480002656</t>
  </si>
  <si>
    <t>9780060167547</t>
  </si>
  <si>
    <t>32285001993616</t>
  </si>
  <si>
    <t>893414748</t>
  </si>
  <si>
    <t>HV6432 .C363 2007</t>
  </si>
  <si>
    <t>0                      HV 6432000C  363         2007</t>
  </si>
  <si>
    <t>The state and terrorism : national security and the mobilization of power / Joseph H. Campos II.</t>
  </si>
  <si>
    <t>Campos, Joseph H.</t>
  </si>
  <si>
    <t>Aldershot, Hants, England ; Burlington, VT : Ashgate, c2007.</t>
  </si>
  <si>
    <t>Homeland security series</t>
  </si>
  <si>
    <t>800854678:eng</t>
  </si>
  <si>
    <t>85833385</t>
  </si>
  <si>
    <t>991005270269702656</t>
  </si>
  <si>
    <t>2266216620002656</t>
  </si>
  <si>
    <t>9780754671923</t>
  </si>
  <si>
    <t>32285005461537</t>
  </si>
  <si>
    <t>893808111</t>
  </si>
  <si>
    <t>HV6432 .C53 2004</t>
  </si>
  <si>
    <t>0                      HV 6432000C  53          2004</t>
  </si>
  <si>
    <t>Against all enemies : inside America's war on terror / Richard A. Clarke.</t>
  </si>
  <si>
    <t>Clarke, Richard A. (Richard Alan), 1951-</t>
  </si>
  <si>
    <t>2004-05-10</t>
  </si>
  <si>
    <t>875899517:eng</t>
  </si>
  <si>
    <t>54534078</t>
  </si>
  <si>
    <t>991004289659702656</t>
  </si>
  <si>
    <t>2254774140002656</t>
  </si>
  <si>
    <t>9780743260244</t>
  </si>
  <si>
    <t>32285004904248</t>
  </si>
  <si>
    <t>893775858</t>
  </si>
  <si>
    <t>HV6432 .C62 2007</t>
  </si>
  <si>
    <t>0                      HV 6432000C  62          2007</t>
  </si>
  <si>
    <t>Less safe, less free : why America is losing the War on Terror / David Cole and Jules Lobel.</t>
  </si>
  <si>
    <t>Cole, David, 1958-</t>
  </si>
  <si>
    <t>New York : New Press : Distributed by Norton, 2007.</t>
  </si>
  <si>
    <t>796485518:eng</t>
  </si>
  <si>
    <t>79003580</t>
  </si>
  <si>
    <t>991005270249702656</t>
  </si>
  <si>
    <t>2269141960002656</t>
  </si>
  <si>
    <t>9781595581334</t>
  </si>
  <si>
    <t>32285005461628</t>
  </si>
  <si>
    <t>893320353</t>
  </si>
  <si>
    <t>HV6432 .C63 2003</t>
  </si>
  <si>
    <t>0                      HV 6432000C  63          2003</t>
  </si>
  <si>
    <t>The anthrax letters : a medical detective story / Leonard A. Cole.</t>
  </si>
  <si>
    <t>Cole, Leonard A., 1933-</t>
  </si>
  <si>
    <t>Washington, D.C. : Joseph Henry Press, c2003.</t>
  </si>
  <si>
    <t>2004-01-06</t>
  </si>
  <si>
    <t>793907002:eng</t>
  </si>
  <si>
    <t>52575719</t>
  </si>
  <si>
    <t>991004185789702656</t>
  </si>
  <si>
    <t>2258154670002656</t>
  </si>
  <si>
    <t>9780309088817</t>
  </si>
  <si>
    <t>32285004849138</t>
  </si>
  <si>
    <t>893349714</t>
  </si>
  <si>
    <t>HV6432 .E98 2004</t>
  </si>
  <si>
    <t>0                      HV 6432000E  98          2004</t>
  </si>
  <si>
    <t>This man's army : a soldier's story from the front lines of the war on terrorism / Andrew Exum.</t>
  </si>
  <si>
    <t>Exum, Andrew.</t>
  </si>
  <si>
    <t>New York : Gotham books, c2004.</t>
  </si>
  <si>
    <t>2004-06-23</t>
  </si>
  <si>
    <t>801480311:eng</t>
  </si>
  <si>
    <t>55495392</t>
  </si>
  <si>
    <t>991004286499702656</t>
  </si>
  <si>
    <t>2263142450002656</t>
  </si>
  <si>
    <t>9781592400638</t>
  </si>
  <si>
    <t>32285004920715</t>
  </si>
  <si>
    <t>893875915</t>
  </si>
  <si>
    <t>HV6432 .F746 2003</t>
  </si>
  <si>
    <t>0                      HV 6432000F  746         2003</t>
  </si>
  <si>
    <t>Terrorism, Afghanistan, and America's new way of war / Norman Friedman.</t>
  </si>
  <si>
    <t>Friedman, Norman, 1946-</t>
  </si>
  <si>
    <t>Annapolis, Md. : Naval Institute Press, c2003.</t>
  </si>
  <si>
    <t>807961:eng</t>
  </si>
  <si>
    <t>51446753</t>
  </si>
  <si>
    <t>991004461959702656</t>
  </si>
  <si>
    <t>2264017950002656</t>
  </si>
  <si>
    <t>9781591142904</t>
  </si>
  <si>
    <t>32285005026165</t>
  </si>
  <si>
    <t>893606055</t>
  </si>
  <si>
    <t>HV6432 .F75 2002</t>
  </si>
  <si>
    <t>0                      HV 6432000F  75          2002</t>
  </si>
  <si>
    <t>Longitudes and attitudes : exploring the world after September 11 / Thomas L. Friedman.</t>
  </si>
  <si>
    <t>Friedman, Thomas L.</t>
  </si>
  <si>
    <t>New York : Farrar, Straus, Giroux, 2002.</t>
  </si>
  <si>
    <t>2006-09-05</t>
  </si>
  <si>
    <t>2002-09-11</t>
  </si>
  <si>
    <t>1007925:eng</t>
  </si>
  <si>
    <t>49952298</t>
  </si>
  <si>
    <t>991003885879702656</t>
  </si>
  <si>
    <t>2264691940002656</t>
  </si>
  <si>
    <t>9780374190668</t>
  </si>
  <si>
    <t>32285004648290</t>
  </si>
  <si>
    <t>893423088</t>
  </si>
  <si>
    <t>HV6432 .H35 2002</t>
  </si>
  <si>
    <t>0                      HV 6432000H  35          2002</t>
  </si>
  <si>
    <t>Firehouse / David Halberstam.</t>
  </si>
  <si>
    <t>Halberstam, David.</t>
  </si>
  <si>
    <t>New York : Hyperion, c2002.</t>
  </si>
  <si>
    <t>2002-07-08</t>
  </si>
  <si>
    <t>2002-06-27</t>
  </si>
  <si>
    <t>1151661137:eng</t>
  </si>
  <si>
    <t>49763062</t>
  </si>
  <si>
    <t>991003819589702656</t>
  </si>
  <si>
    <t>2255786790002656</t>
  </si>
  <si>
    <t>9781401300050</t>
  </si>
  <si>
    <t>32285004495957</t>
  </si>
  <si>
    <t>893441788</t>
  </si>
  <si>
    <t>HV6432 .H355 2002</t>
  </si>
  <si>
    <t>0                      HV 6432000H  355         2002</t>
  </si>
  <si>
    <t>Two hours that shook the world : September 11, 2001 : causes and consequences / Fred Halliday.</t>
  </si>
  <si>
    <t>Halliday, Fred.</t>
  </si>
  <si>
    <t>London : Saqi, 2002.</t>
  </si>
  <si>
    <t>2003-10-12</t>
  </si>
  <si>
    <t>2002-10-10</t>
  </si>
  <si>
    <t>9054954:eng</t>
  </si>
  <si>
    <t>48194650</t>
  </si>
  <si>
    <t>991003885089702656</t>
  </si>
  <si>
    <t>2268384500002656</t>
  </si>
  <si>
    <t>9780863563829</t>
  </si>
  <si>
    <t>32285004654421</t>
  </si>
  <si>
    <t>893894279</t>
  </si>
  <si>
    <t>HV6432 .H365 1997</t>
  </si>
  <si>
    <t>0                      HV 6432000H  365         1997</t>
  </si>
  <si>
    <t>Apocalypse in Oklahoma : Waco and Ruby Ridge revenged / Mark S. Hamm.</t>
  </si>
  <si>
    <t>Boston : Northeastern University Press, c1997.</t>
  </si>
  <si>
    <t>1999-11-09</t>
  </si>
  <si>
    <t>933572774:eng</t>
  </si>
  <si>
    <t>36112185</t>
  </si>
  <si>
    <t>991002752119702656</t>
  </si>
  <si>
    <t>2268126050002656</t>
  </si>
  <si>
    <t>9781555533007</t>
  </si>
  <si>
    <t>32285003619672</t>
  </si>
  <si>
    <t>893873935</t>
  </si>
  <si>
    <t>HV6432 .H494 2003</t>
  </si>
  <si>
    <t>0                      HV 6432000H  494         2003</t>
  </si>
  <si>
    <t>Terrorism, freedom, and security : winning without war / Philip B. Heymann.</t>
  </si>
  <si>
    <t>Heymann, Philip B.</t>
  </si>
  <si>
    <t>Cambridge, Mass. : MIT Press, c2003.</t>
  </si>
  <si>
    <t>BCSIA studies in international security</t>
  </si>
  <si>
    <t>2004-05-11</t>
  </si>
  <si>
    <t>795484534:eng</t>
  </si>
  <si>
    <t>52418129</t>
  </si>
  <si>
    <t>991004258529702656</t>
  </si>
  <si>
    <t>2263187340002656</t>
  </si>
  <si>
    <t>9780262083270</t>
  </si>
  <si>
    <t>32285004905153</t>
  </si>
  <si>
    <t>893429847</t>
  </si>
  <si>
    <t>HV6432 .H637 1988</t>
  </si>
  <si>
    <t>0                      HV 6432000H  637         1988</t>
  </si>
  <si>
    <t>Recent trends and future prospects of terrorism in the United States / Bruce Hoffman.</t>
  </si>
  <si>
    <t>Hoffman, Bruce, 1954-</t>
  </si>
  <si>
    <t>Santa Monica, CA : Rand, [1988]</t>
  </si>
  <si>
    <t>1992-04-27</t>
  </si>
  <si>
    <t>15818705:eng</t>
  </si>
  <si>
    <t>17676629</t>
  </si>
  <si>
    <t>991001251039702656</t>
  </si>
  <si>
    <t>2260542180002656</t>
  </si>
  <si>
    <t>9780833008763</t>
  </si>
  <si>
    <t>32285001089191</t>
  </si>
  <si>
    <t>893328005</t>
  </si>
  <si>
    <t>HV6432 .H69 2001</t>
  </si>
  <si>
    <t>0                      HV 6432000H  69          2001</t>
  </si>
  <si>
    <t>How did this happen? : terrorism and the new war / edited by James F. Hoge, Jr., and Gideon Rose.</t>
  </si>
  <si>
    <t>New York : PublicAffairs, c2001.</t>
  </si>
  <si>
    <t>PublicAffairs reports</t>
  </si>
  <si>
    <t>2006-09-13</t>
  </si>
  <si>
    <t>2002-07-10</t>
  </si>
  <si>
    <t>353293288:eng</t>
  </si>
  <si>
    <t>48434415</t>
  </si>
  <si>
    <t>991003821159702656</t>
  </si>
  <si>
    <t>2263008180002656</t>
  </si>
  <si>
    <t>9781586481308</t>
  </si>
  <si>
    <t>32285004497367</t>
  </si>
  <si>
    <t>893318448</t>
  </si>
  <si>
    <t>HV6432 .J33 2005</t>
  </si>
  <si>
    <t>0                      HV 6432000J  33          2005</t>
  </si>
  <si>
    <t>Writing the war on terrorism : language, politics, and counter-terrorism / Richard Jackson.</t>
  </si>
  <si>
    <t>Jackson, Richard, 1967-</t>
  </si>
  <si>
    <t>Manchester ; New York : Manchester University Press ; New York : Distributed exclusively in the USA by Palgrave, 2005.</t>
  </si>
  <si>
    <t>New approaches to conflict analysis</t>
  </si>
  <si>
    <t>2006-04-18</t>
  </si>
  <si>
    <t>796034229:eng</t>
  </si>
  <si>
    <t>57529172</t>
  </si>
  <si>
    <t>991004765669702656</t>
  </si>
  <si>
    <t>2266241240002656</t>
  </si>
  <si>
    <t>9780719071201</t>
  </si>
  <si>
    <t>32285005064182</t>
  </si>
  <si>
    <t>893706817</t>
  </si>
  <si>
    <t>HV6432 .M54 2003</t>
  </si>
  <si>
    <t>0                      HV 6432000M  54          2003</t>
  </si>
  <si>
    <t>The cell : inside the 9/11 plot, and why the FBI and CIA failed to stop it / John Miller and Michael Stone, with Chris Mitchell.</t>
  </si>
  <si>
    <t>Miller, John, 1958-</t>
  </si>
  <si>
    <t>New York : Hyperion, c2003.</t>
  </si>
  <si>
    <t>2006-09-29</t>
  </si>
  <si>
    <t>2003-07-16</t>
  </si>
  <si>
    <t>772458:eng</t>
  </si>
  <si>
    <t>52307018</t>
  </si>
  <si>
    <t>991003843319702656</t>
  </si>
  <si>
    <t>2261735700002656</t>
  </si>
  <si>
    <t>9780786887828</t>
  </si>
  <si>
    <t>32285004756176</t>
  </si>
  <si>
    <t>893416860</t>
  </si>
  <si>
    <t>HV6432 .M546 2004</t>
  </si>
  <si>
    <t>0                      HV 6432000M  546         2004</t>
  </si>
  <si>
    <t>Shadow war : the untold story of how Bush is winning the war on terror / Rich Miniter.</t>
  </si>
  <si>
    <t>Miniter, Richard.</t>
  </si>
  <si>
    <t>Washington, D.C. : Regnery Pub. ; Lanham, MD : Distributed to the trade by National Book Network, c2004.</t>
  </si>
  <si>
    <t>2010-06-30</t>
  </si>
  <si>
    <t>2004-11-09</t>
  </si>
  <si>
    <t>3901577506:eng</t>
  </si>
  <si>
    <t>56370472</t>
  </si>
  <si>
    <t>991004413029702656</t>
  </si>
  <si>
    <t>2272491970002656</t>
  </si>
  <si>
    <t>9780895260529</t>
  </si>
  <si>
    <t>32285005009815</t>
  </si>
  <si>
    <t>893800945</t>
  </si>
  <si>
    <t>HV6432 .M66 2003</t>
  </si>
  <si>
    <t>0                      HV 6432000M  66          2003</t>
  </si>
  <si>
    <t>The hunt for Bin Laden : Task Force Dagger / Robin Moore.</t>
  </si>
  <si>
    <t>Moore, Robin, 1925-2008.</t>
  </si>
  <si>
    <t>New York : Random House, c2003.</t>
  </si>
  <si>
    <t>2010-06-28</t>
  </si>
  <si>
    <t>2003-06-23</t>
  </si>
  <si>
    <t>799108295:eng</t>
  </si>
  <si>
    <t>51783389</t>
  </si>
  <si>
    <t>991004074289702656</t>
  </si>
  <si>
    <t>2266205140002656</t>
  </si>
  <si>
    <t>9780375508615</t>
  </si>
  <si>
    <t>32285004753868</t>
  </si>
  <si>
    <t>893417192</t>
  </si>
  <si>
    <t>HV6432 .N34 2005</t>
  </si>
  <si>
    <t>0                      HV 6432000N  34          2005</t>
  </si>
  <si>
    <t>Blind spot : the secret history of American counterterrorism / Timothy Naftali.</t>
  </si>
  <si>
    <t>Naftali, Timothy J.</t>
  </si>
  <si>
    <t>New York : Basic Books, c2005.</t>
  </si>
  <si>
    <t>2005-07-05</t>
  </si>
  <si>
    <t>796459703:eng</t>
  </si>
  <si>
    <t>57613597</t>
  </si>
  <si>
    <t>991004586799702656</t>
  </si>
  <si>
    <t>2269357440002656</t>
  </si>
  <si>
    <t>9780465092819</t>
  </si>
  <si>
    <t>32285005094742</t>
  </si>
  <si>
    <t>893331797</t>
  </si>
  <si>
    <t>HV6432 .P76 2002</t>
  </si>
  <si>
    <t>0                      HV 6432000P  76          2002</t>
  </si>
  <si>
    <t>Protecting the American homeland : a preliminary analysis / Michael E. O'Hanlon ... [et al.].</t>
  </si>
  <si>
    <t>Washington, D.C. : Brookings Institution Press, c2002.</t>
  </si>
  <si>
    <t>2002-08-20</t>
  </si>
  <si>
    <t>1073290330:eng</t>
  </si>
  <si>
    <t>49725736</t>
  </si>
  <si>
    <t>991003863039702656</t>
  </si>
  <si>
    <t>2265730800002656</t>
  </si>
  <si>
    <t>9780815706519</t>
  </si>
  <si>
    <t>32285004644067</t>
  </si>
  <si>
    <t>893349293</t>
  </si>
  <si>
    <t>HV6432 .R54 2003</t>
  </si>
  <si>
    <t>0                      HV 6432000R  54          2003</t>
  </si>
  <si>
    <t>Rights vs. public safety after 9/11 : America in the age of terrorism / edited by Amitai Etzioni and Jason H. Marsh.</t>
  </si>
  <si>
    <t>Lanham, Md. : Rowman &amp; Littlefield, c2003.</t>
  </si>
  <si>
    <t>Rights and responsibilities</t>
  </si>
  <si>
    <t>2007-03-29</t>
  </si>
  <si>
    <t>799739238:eng</t>
  </si>
  <si>
    <t>50410126</t>
  </si>
  <si>
    <t>991004462199702656</t>
  </si>
  <si>
    <t>2262228040002656</t>
  </si>
  <si>
    <t>9780742527546</t>
  </si>
  <si>
    <t>32285005027650</t>
  </si>
  <si>
    <t>893612380</t>
  </si>
  <si>
    <t>HV6432 .R59 2007</t>
  </si>
  <si>
    <t>0                      HV 6432000R  59          2007</t>
  </si>
  <si>
    <t>Terrorism and global security / Ann E. Robertson ; foreword by James O. Ellis III.</t>
  </si>
  <si>
    <t>Robertson, Ann E.</t>
  </si>
  <si>
    <t>New York NY : Facts On File, c2007.</t>
  </si>
  <si>
    <t>Global issues</t>
  </si>
  <si>
    <t>2009-04-14</t>
  </si>
  <si>
    <t>58279212:eng</t>
  </si>
  <si>
    <t>71329827</t>
  </si>
  <si>
    <t>991005306829702656</t>
  </si>
  <si>
    <t>2266777980002656</t>
  </si>
  <si>
    <t>9780816067664</t>
  </si>
  <si>
    <t>32285005514889</t>
  </si>
  <si>
    <t>893877269</t>
  </si>
  <si>
    <t>HV6432 .R87 2002</t>
  </si>
  <si>
    <t>0                      HV 6432000R  87          2002</t>
  </si>
  <si>
    <t>A fury for God : the Islamist attack on America / Malise Ruthven.</t>
  </si>
  <si>
    <t>Ruthven, Malise.</t>
  </si>
  <si>
    <t>London ; New York : Granta, 2002.</t>
  </si>
  <si>
    <t>796413865:eng</t>
  </si>
  <si>
    <t>48836908</t>
  </si>
  <si>
    <t>991003884659702656</t>
  </si>
  <si>
    <t>2266819560002656</t>
  </si>
  <si>
    <t>9781862075405</t>
  </si>
  <si>
    <t>32285004756374</t>
  </si>
  <si>
    <t>893875325</t>
  </si>
  <si>
    <t>HV6432 .S52 2003</t>
  </si>
  <si>
    <t>0                      HV 6432000S  52          2003</t>
  </si>
  <si>
    <t>Middletown, America : one town's passage from trauma to hope / Gail Sheehy.</t>
  </si>
  <si>
    <t>Sheehy, Gail.</t>
  </si>
  <si>
    <t>2003-09-22</t>
  </si>
  <si>
    <t>687403:eng</t>
  </si>
  <si>
    <t>52058206</t>
  </si>
  <si>
    <t>991004120669702656</t>
  </si>
  <si>
    <t>2255078840002656</t>
  </si>
  <si>
    <t>9780375508622</t>
  </si>
  <si>
    <t>32285004784111</t>
  </si>
  <si>
    <t>893693548</t>
  </si>
  <si>
    <t>HV6432 .S64 2002</t>
  </si>
  <si>
    <t>0                      HV 6432000S  64          2002</t>
  </si>
  <si>
    <t>Report from ground zero / Dennis Smith.</t>
  </si>
  <si>
    <t>Smith, Dennis, 1940-</t>
  </si>
  <si>
    <t>New York : Viking, 2002.</t>
  </si>
  <si>
    <t>2006-09-12</t>
  </si>
  <si>
    <t>2002-04-09</t>
  </si>
  <si>
    <t>10068415636:eng</t>
  </si>
  <si>
    <t>49285562</t>
  </si>
  <si>
    <t>991003769469702656</t>
  </si>
  <si>
    <t>2256723990002656</t>
  </si>
  <si>
    <t>9780670031160</t>
  </si>
  <si>
    <t>32285004478300</t>
  </si>
  <si>
    <t>893441710</t>
  </si>
  <si>
    <t>HV6432 .S87 2006</t>
  </si>
  <si>
    <t>0                      HV 6432000S  87          2006</t>
  </si>
  <si>
    <t>The one percent doctrine : deep inside America's pursuit of its enemies since 9/11 / Ron Suskind.</t>
  </si>
  <si>
    <t>Suskind, Ron.</t>
  </si>
  <si>
    <t>New York : Simon &amp; Schuster, c2006.</t>
  </si>
  <si>
    <t>2006-07-18</t>
  </si>
  <si>
    <t>9349999367:eng</t>
  </si>
  <si>
    <t>70055568</t>
  </si>
  <si>
    <t>991004848899702656</t>
  </si>
  <si>
    <t>2270747730002656</t>
  </si>
  <si>
    <t>9780743271097</t>
  </si>
  <si>
    <t>32285005195408</t>
  </si>
  <si>
    <t>893446422</t>
  </si>
  <si>
    <t>HV6432 .S874 2008</t>
  </si>
  <si>
    <t>0                      HV 6432000S  874         2008</t>
  </si>
  <si>
    <t>The way of the world : a story of truth and hope in an age of extremism / Ron Suskind.</t>
  </si>
  <si>
    <t>New York : Harper, c2008.</t>
  </si>
  <si>
    <t>2008-10-09</t>
  </si>
  <si>
    <t>2008-09-24</t>
  </si>
  <si>
    <t>793893583:eng</t>
  </si>
  <si>
    <t>232118567</t>
  </si>
  <si>
    <t>991005259279702656</t>
  </si>
  <si>
    <t>2268806250002656</t>
  </si>
  <si>
    <t>9780061430626</t>
  </si>
  <si>
    <t>32285005460158</t>
  </si>
  <si>
    <t>893808090</t>
  </si>
  <si>
    <t>HV6432 .T43 2007</t>
  </si>
  <si>
    <t>0                      HV 6432000T  43          2007</t>
  </si>
  <si>
    <t>The jihad next door : the Lackawanna six and rough justice in an age of terror / Dina Temple-Raston.</t>
  </si>
  <si>
    <t>Temple-Raston, Dina.</t>
  </si>
  <si>
    <t>New York : PublicAffairs, c2007.</t>
  </si>
  <si>
    <t>2010-07-19</t>
  </si>
  <si>
    <t>2007-10-31</t>
  </si>
  <si>
    <t>1167339542:eng</t>
  </si>
  <si>
    <t>170613498</t>
  </si>
  <si>
    <t>991005133119702656</t>
  </si>
  <si>
    <t>2259934080002656</t>
  </si>
  <si>
    <t>9781586484033</t>
  </si>
  <si>
    <t>32285005363261</t>
  </si>
  <si>
    <t>893248422</t>
  </si>
  <si>
    <t>HV6432 .T4736 2003</t>
  </si>
  <si>
    <t>0                      HV 6432000T  4736        2003</t>
  </si>
  <si>
    <t>Terrorist hunter : the extraordinary story of a woman who went undercover to infiltrate the radical Islamic groups operating in America / Anonymous.</t>
  </si>
  <si>
    <t>New York : Ecco, c2003.</t>
  </si>
  <si>
    <t>2005-11-12</t>
  </si>
  <si>
    <t>131907897:eng</t>
  </si>
  <si>
    <t>51855504</t>
  </si>
  <si>
    <t>991004076699702656</t>
  </si>
  <si>
    <t>2272781800002656</t>
  </si>
  <si>
    <t>9780060528195</t>
  </si>
  <si>
    <t>32285004755954</t>
  </si>
  <si>
    <t>893800559</t>
  </si>
  <si>
    <t>HV6432 .U5 2002</t>
  </si>
  <si>
    <t>0                      HV 6432000U  5           2002</t>
  </si>
  <si>
    <t>Understanding September 11 / Craig Calhoun, Paul Price, and Ashley Timmer, editors.</t>
  </si>
  <si>
    <t>New York : New Press, c2002.</t>
  </si>
  <si>
    <t>2003-07-15</t>
  </si>
  <si>
    <t>350148908:eng</t>
  </si>
  <si>
    <t>50079920</t>
  </si>
  <si>
    <t>991003849009702656</t>
  </si>
  <si>
    <t>2269913550002656</t>
  </si>
  <si>
    <t>9781565847743</t>
  </si>
  <si>
    <t>32285004755756</t>
  </si>
  <si>
    <t>893775262</t>
  </si>
  <si>
    <t>HV6432 .U53 2005</t>
  </si>
  <si>
    <t>0                      HV 6432000U  53          2005</t>
  </si>
  <si>
    <t>Understanding the war on terror / [edited by James F. Hoge, Jr. &amp; Gideon Rose]</t>
  </si>
  <si>
    <t>New York : Foreign Affairs/Council on Foreign Relations : distributed by W.W. Norton, c2005.</t>
  </si>
  <si>
    <t>2007-09-25</t>
  </si>
  <si>
    <t>2005-10-04</t>
  </si>
  <si>
    <t>367935929:eng</t>
  </si>
  <si>
    <t>60342408</t>
  </si>
  <si>
    <t>991004637619702656</t>
  </si>
  <si>
    <t>2255177850002656</t>
  </si>
  <si>
    <t>9780876093474</t>
  </si>
  <si>
    <t>32285005087142</t>
  </si>
  <si>
    <t>893606277</t>
  </si>
  <si>
    <t>HV6432 .W46 2002</t>
  </si>
  <si>
    <t>0                      HV 6432000W  46          2002</t>
  </si>
  <si>
    <t>What we saw / CBS News ; with an introduction by Dan Rather.</t>
  </si>
  <si>
    <t>New York : Simon &amp; Schuster, c2002.</t>
  </si>
  <si>
    <t>2004-12-11</t>
  </si>
  <si>
    <t>2003-04-21</t>
  </si>
  <si>
    <t>56828490:eng</t>
  </si>
  <si>
    <t>50028610</t>
  </si>
  <si>
    <t>991003898949702656</t>
  </si>
  <si>
    <t>2267423170002656</t>
  </si>
  <si>
    <t>9780743241908</t>
  </si>
  <si>
    <t>32285004736822</t>
  </si>
  <si>
    <t>893506128</t>
  </si>
  <si>
    <t>HV6432 .Y66 2006</t>
  </si>
  <si>
    <t>0                      HV 6432000Y  66          2006</t>
  </si>
  <si>
    <t>War by other means : an insider's account of the war on terror / John Yoo.</t>
  </si>
  <si>
    <t>Yoo, John.</t>
  </si>
  <si>
    <t>New York : Atlantic Monthly Press : Distributed by Publishers Group West, c2006.</t>
  </si>
  <si>
    <t>2007-01-17</t>
  </si>
  <si>
    <t>197478978:eng</t>
  </si>
  <si>
    <t>70176955</t>
  </si>
  <si>
    <t>991005004749702656</t>
  </si>
  <si>
    <t>2271808040002656</t>
  </si>
  <si>
    <t>9780871139450</t>
  </si>
  <si>
    <t>32285005270904</t>
  </si>
  <si>
    <t>893430708</t>
  </si>
  <si>
    <t>HV6432.4 .B35 2005</t>
  </si>
  <si>
    <t>0                      HV 6432400B  35          2005</t>
  </si>
  <si>
    <t>U.S. homeland security : a reference handbook / Howard Ball.</t>
  </si>
  <si>
    <t>Ball, Howard, 1937-</t>
  </si>
  <si>
    <t>Santa Barbara, Calif. : ABC-CLIO, [2005].</t>
  </si>
  <si>
    <t>2005-10-27</t>
  </si>
  <si>
    <t>1091874:eng</t>
  </si>
  <si>
    <t>61179567</t>
  </si>
  <si>
    <t>991004680679702656</t>
  </si>
  <si>
    <t>2265404620002656</t>
  </si>
  <si>
    <t>9781851098033</t>
  </si>
  <si>
    <t>32285004937347</t>
  </si>
  <si>
    <t>893706705</t>
  </si>
  <si>
    <t>HV6432.5 .E447 2002</t>
  </si>
  <si>
    <t>0                      HV 6432500E  447         2002</t>
  </si>
  <si>
    <t>American jihad : the terrorists living among us / Steven Emerson.</t>
  </si>
  <si>
    <t>Emerson, Steven.</t>
  </si>
  <si>
    <t>New York : The Free Press, c2002.</t>
  </si>
  <si>
    <t>2005-04-01</t>
  </si>
  <si>
    <t>1083393872:eng</t>
  </si>
  <si>
    <t>48811726</t>
  </si>
  <si>
    <t>991003722969702656</t>
  </si>
  <si>
    <t>2268543730002656</t>
  </si>
  <si>
    <t>9780743233248</t>
  </si>
  <si>
    <t>32285004458856</t>
  </si>
  <si>
    <t>893781315</t>
  </si>
  <si>
    <t>HV6432.5.U62 H593 2005</t>
  </si>
  <si>
    <t>0                      HV 6432500U  62                 H  593         2005</t>
  </si>
  <si>
    <t>Lightning out of Lebanon : Hezbollah terrorists on American soil / Tom Diaz and Barbara Newman.</t>
  </si>
  <si>
    <t>Diaz, Tom.</t>
  </si>
  <si>
    <t>New York : Presidio Press/Ballantine Books, 2005.</t>
  </si>
  <si>
    <t>3058822:eng</t>
  </si>
  <si>
    <t>56329532</t>
  </si>
  <si>
    <t>991004458629702656</t>
  </si>
  <si>
    <t>2264364660002656</t>
  </si>
  <si>
    <t>9780345475688</t>
  </si>
  <si>
    <t>32285005045090</t>
  </si>
  <si>
    <t>893430079</t>
  </si>
  <si>
    <t>HV6432.7 .A24 2001</t>
  </si>
  <si>
    <t>0                      HV 6432700A  24          2001</t>
  </si>
  <si>
    <t>Coincidencia macabra : el número 11 en las tragedias de World Trade Center y el Pentágono-- y otras marcas electrizantes / [Carlos Acevedo].</t>
  </si>
  <si>
    <t>Acevedo, Carlos.</t>
  </si>
  <si>
    <t>Santo Domingo, D.N. : [s.n.], 2001.</t>
  </si>
  <si>
    <t>2003-12-10</t>
  </si>
  <si>
    <t>2003-12-09</t>
  </si>
  <si>
    <t>1812558613:spa</t>
  </si>
  <si>
    <t>53688385</t>
  </si>
  <si>
    <t>991004202749702656</t>
  </si>
  <si>
    <t>2264590340002656</t>
  </si>
  <si>
    <t>32285004887419</t>
  </si>
  <si>
    <t>893436014</t>
  </si>
  <si>
    <t>HV6432.7 .B413 2006</t>
  </si>
  <si>
    <t>0                      HV 6432700B  413         2006</t>
  </si>
  <si>
    <t>Compassion and courage in the aftermath of traumatic loss : stones in my heart forever / Kathryn Bedard.</t>
  </si>
  <si>
    <t>Bedard, Kathryn.</t>
  </si>
  <si>
    <t>5513743150:eng</t>
  </si>
  <si>
    <t>60766957</t>
  </si>
  <si>
    <t>991004924449702656</t>
  </si>
  <si>
    <t>2272003510002656</t>
  </si>
  <si>
    <t>9780789027412</t>
  </si>
  <si>
    <t>32285005228266</t>
  </si>
  <si>
    <t>893507372</t>
  </si>
  <si>
    <t>HV6432.7 .B425 2005</t>
  </si>
  <si>
    <t>0                      HV 6432700B  425         2005</t>
  </si>
  <si>
    <t>The next attack : the failure of the war on terror and a strategy for getting it right / Daniel Benjamin and Steven Simon.</t>
  </si>
  <si>
    <t>Benjamin, Daniel, 1961-</t>
  </si>
  <si>
    <t>New York : Times Books, 2005.</t>
  </si>
  <si>
    <t>2006-02-21</t>
  </si>
  <si>
    <t>2006-02-02</t>
  </si>
  <si>
    <t>46523145:eng</t>
  </si>
  <si>
    <t>61162386</t>
  </si>
  <si>
    <t>991004731109702656</t>
  </si>
  <si>
    <t>2269137470002656</t>
  </si>
  <si>
    <t>9780805079418</t>
  </si>
  <si>
    <t>32285005159420</t>
  </si>
  <si>
    <t>893722574</t>
  </si>
  <si>
    <t>HV6432.7 .C36 2002</t>
  </si>
  <si>
    <t>0                      HV 6432700C  36          2002</t>
  </si>
  <si>
    <t>Canada and September 11 : impact and responses / edited by Karim-Aly Kassam, George Melnyk and Lynne Perras.</t>
  </si>
  <si>
    <t>Calgary : Detselig Enterprises, c2002.</t>
  </si>
  <si>
    <t>abc</t>
  </si>
  <si>
    <t>2004-10-27</t>
  </si>
  <si>
    <t>475596634:eng</t>
  </si>
  <si>
    <t>50143151</t>
  </si>
  <si>
    <t>991004241179702656</t>
  </si>
  <si>
    <t>2270704740002656</t>
  </si>
  <si>
    <t>9781550592405</t>
  </si>
  <si>
    <t>32285005007090</t>
  </si>
  <si>
    <t>893904770</t>
  </si>
  <si>
    <t>HV6432.7 .C38 2008</t>
  </si>
  <si>
    <t>0                      HV 6432700C  38          2008</t>
  </si>
  <si>
    <t>The alchemy of loss : a young widow's transformation / Abigail Carter.</t>
  </si>
  <si>
    <t>Carter, Abigail.</t>
  </si>
  <si>
    <t>Toronto : McClelland &amp; Stewart, 2008.</t>
  </si>
  <si>
    <t>2008-09-30</t>
  </si>
  <si>
    <t>866287315:eng</t>
  </si>
  <si>
    <t>175282612</t>
  </si>
  <si>
    <t>991005260129702656</t>
  </si>
  <si>
    <t>2262995020002656</t>
  </si>
  <si>
    <t>9780771019050</t>
  </si>
  <si>
    <t>32285005461107</t>
  </si>
  <si>
    <t>893877219</t>
  </si>
  <si>
    <t>HV6432.7 .F75 2006</t>
  </si>
  <si>
    <t>0                      HV 6432700F  75          2006</t>
  </si>
  <si>
    <t>Watching the world change : the stories behind the images of 9/11 / David Friend.</t>
  </si>
  <si>
    <t>Friend, David, 1955-</t>
  </si>
  <si>
    <t>New York : Farrar, Straus and Giroux, 2006.</t>
  </si>
  <si>
    <t>198134938:eng</t>
  </si>
  <si>
    <t>62679830</t>
  </si>
  <si>
    <t>991004860639702656</t>
  </si>
  <si>
    <t>2267400130002656</t>
  </si>
  <si>
    <t>9780374299330</t>
  </si>
  <si>
    <t>32285005221519</t>
  </si>
  <si>
    <t>893619165</t>
  </si>
  <si>
    <t>HV6432.7 .H39 2004</t>
  </si>
  <si>
    <t>0                      HV 6432700H  39          2004</t>
  </si>
  <si>
    <t>The connection : how al Qaeda's collaboration with Saddam Hussein has endangered America / Stephen F. Hayes.</t>
  </si>
  <si>
    <t>Hayes, Stephen F.</t>
  </si>
  <si>
    <t>New York, NY : HarperCollins, c2004.</t>
  </si>
  <si>
    <t>2004-09-10</t>
  </si>
  <si>
    <t>2004-07-14</t>
  </si>
  <si>
    <t>799327084:eng</t>
  </si>
  <si>
    <t>55593184</t>
  </si>
  <si>
    <t>991004318419702656</t>
  </si>
  <si>
    <t>2258511800002656</t>
  </si>
  <si>
    <t>9780060746735</t>
  </si>
  <si>
    <t>32285004922729</t>
  </si>
  <si>
    <t>893628093</t>
  </si>
  <si>
    <t>HV6432.7 .M87 2007</t>
  </si>
  <si>
    <t>0                      HV 6432700M  87          2007</t>
  </si>
  <si>
    <t>Reclaiming the sky : 9/11 and the untold story of the men and women who kept America flying / Tom Murphy.</t>
  </si>
  <si>
    <t>Murphy, Tom (Tom Aloysius), 1949-</t>
  </si>
  <si>
    <t>New York : American Management Association, c2007.</t>
  </si>
  <si>
    <t>199175533:eng</t>
  </si>
  <si>
    <t>69331631</t>
  </si>
  <si>
    <t>991004933649702656</t>
  </si>
  <si>
    <t>2257810530002656</t>
  </si>
  <si>
    <t>9780814409091</t>
  </si>
  <si>
    <t>32285005226070</t>
  </si>
  <si>
    <t>893350521</t>
  </si>
  <si>
    <t>HV6433.35 .C53 2008</t>
  </si>
  <si>
    <t>0                      HV 6433350C  53          2008</t>
  </si>
  <si>
    <t>Bracing for armageddon? : the science and politics of bioterrorism in America / William R. Clark.</t>
  </si>
  <si>
    <t>Clark, William R., 1938-</t>
  </si>
  <si>
    <t>New York, NY : Oxford University Press, 2008.</t>
  </si>
  <si>
    <t>2009-10-06</t>
  </si>
  <si>
    <t>307204730:eng</t>
  </si>
  <si>
    <t>173683729</t>
  </si>
  <si>
    <t>991005334319702656</t>
  </si>
  <si>
    <t>2268939120002656</t>
  </si>
  <si>
    <t>9780195336214</t>
  </si>
  <si>
    <t>32285005546816</t>
  </si>
  <si>
    <t>893332796</t>
  </si>
  <si>
    <t>HV6433.35 .J64 2008</t>
  </si>
  <si>
    <t>0                      HV 6433350J  64          2008</t>
  </si>
  <si>
    <t>Bioterror : anthrax, influenza, and the future of public health security / R. William Johnstone.</t>
  </si>
  <si>
    <t>Johnstone, R. William, 1953-</t>
  </si>
  <si>
    <t>Westport, Conn. : Praeger Security International, 2008.</t>
  </si>
  <si>
    <t>800985835:eng</t>
  </si>
  <si>
    <t>226357714</t>
  </si>
  <si>
    <t>991005333479702656</t>
  </si>
  <si>
    <t>2256180980002656</t>
  </si>
  <si>
    <t>9780275993269</t>
  </si>
  <si>
    <t>32285005546964</t>
  </si>
  <si>
    <t>893418755</t>
  </si>
  <si>
    <t>HV6433.86 .C37 2008</t>
  </si>
  <si>
    <t>0                      HV 6433860C  37          2008</t>
  </si>
  <si>
    <t>Nuclear insecurity : understanding the threat from rogue nations and terrorists / Jack Caravelli.</t>
  </si>
  <si>
    <t>Caravelli, Jack, 1952-</t>
  </si>
  <si>
    <t>2008-10-15</t>
  </si>
  <si>
    <t>801746184:eng</t>
  </si>
  <si>
    <t>155757047</t>
  </si>
  <si>
    <t>991005270239702656</t>
  </si>
  <si>
    <t>2268845250002656</t>
  </si>
  <si>
    <t>9780275997465</t>
  </si>
  <si>
    <t>32285005463954</t>
  </si>
  <si>
    <t>893889950</t>
  </si>
  <si>
    <t>HV6433.A7 M37 1999</t>
  </si>
  <si>
    <t>0                      HV 6433000A  7                  M  37          1999</t>
  </si>
  <si>
    <t>God's assassins : state terrorism in Argentina in the 1970s / Patricia Marchak ; in collaboration with William Marchak.</t>
  </si>
  <si>
    <t>Marchak, M. Patricia.</t>
  </si>
  <si>
    <t>Montreal : McGill-Queen's University Press, c1999.</t>
  </si>
  <si>
    <t>quc</t>
  </si>
  <si>
    <t>2000-02-07</t>
  </si>
  <si>
    <t>838545159:eng</t>
  </si>
  <si>
    <t>41978162</t>
  </si>
  <si>
    <t>991003038899702656</t>
  </si>
  <si>
    <t>2272782540002656</t>
  </si>
  <si>
    <t>9780773520134</t>
  </si>
  <si>
    <t>32285003658910</t>
  </si>
  <si>
    <t>893793256</t>
  </si>
  <si>
    <t>HV6433.A7 S57 1985</t>
  </si>
  <si>
    <t>0                      HV 6433000A  7                  S  57          1985</t>
  </si>
  <si>
    <t>The disappeared and the Mothers of the Plaza : the story of the 11,000 Argentinians who vanished / John Simpson and Jana Bennett.</t>
  </si>
  <si>
    <t>Simpson, John, 1944-</t>
  </si>
  <si>
    <t>New York, N.Y. : St. Martin's Press, 1985.</t>
  </si>
  <si>
    <t>370856558:eng</t>
  </si>
  <si>
    <t>12107704</t>
  </si>
  <si>
    <t>991000643069702656</t>
  </si>
  <si>
    <t>2268239480002656</t>
  </si>
  <si>
    <t>9780312212292</t>
  </si>
  <si>
    <t>32285000226158</t>
  </si>
  <si>
    <t>893595746</t>
  </si>
  <si>
    <t>HV6433.G7 I74 1986</t>
  </si>
  <si>
    <t>0                      HV 6433000G  7                  I  74          1986</t>
  </si>
  <si>
    <t>Ireland's terrorist dilemma / edited by Yonah Alexander, Alan O'Day.</t>
  </si>
  <si>
    <t>Dordrecht, The Netherlands ; Boston : M. Nijhoff ; Hingham, MA, USA : Distributors for the U.S. and Canada, Kluwer Academic, 1986.</t>
  </si>
  <si>
    <t>International studies on terrorism ; 2</t>
  </si>
  <si>
    <t>368300982:eng</t>
  </si>
  <si>
    <t>13159095</t>
  </si>
  <si>
    <t>991000792139702656</t>
  </si>
  <si>
    <t>2267646580002656</t>
  </si>
  <si>
    <t>9780898389128</t>
  </si>
  <si>
    <t>32285000226166</t>
  </si>
  <si>
    <t>893237607</t>
  </si>
  <si>
    <t>HV6433.G7 I75 1989</t>
  </si>
  <si>
    <t>0                      HV 6433000G  7                  I  75          1989</t>
  </si>
  <si>
    <t>Ireland's terrorist trauma : interdisciplinary perspectives / edited by Yonah Alexander, Alan O'Day.</t>
  </si>
  <si>
    <t>New York : St. Martin's Press, 1989.</t>
  </si>
  <si>
    <t>2007-05-01</t>
  </si>
  <si>
    <t>836888978:eng</t>
  </si>
  <si>
    <t>19388525</t>
  </si>
  <si>
    <t>991001456949702656</t>
  </si>
  <si>
    <t>2258775750002656</t>
  </si>
  <si>
    <t>9780312025083</t>
  </si>
  <si>
    <t>32285000226174</t>
  </si>
  <si>
    <t>893891585</t>
  </si>
  <si>
    <t>HV6433.I4 U63 2009</t>
  </si>
  <si>
    <t>0                      HV 6433000I  4                  U  63          2009</t>
  </si>
  <si>
    <t>India's fragile borderlands : the dynamics of terrorism in north east India / Archana Upadhyay.</t>
  </si>
  <si>
    <t>Upadhyay, Archana.</t>
  </si>
  <si>
    <t>London ; New York : I.B. Tauris, 2009.</t>
  </si>
  <si>
    <t>Library of international relations ; 39</t>
  </si>
  <si>
    <t>802577450:eng</t>
  </si>
  <si>
    <t>417146323</t>
  </si>
  <si>
    <t>991000381329702656</t>
  </si>
  <si>
    <t>2268175890002656</t>
  </si>
  <si>
    <t>9781845115869</t>
  </si>
  <si>
    <t>32285005651210</t>
  </si>
  <si>
    <t>893777886</t>
  </si>
  <si>
    <t>HV6433.I72 H34 2007</t>
  </si>
  <si>
    <t>0                      HV 6433000I  72                 H  34          2007</t>
  </si>
  <si>
    <t>Suicide bombers in Iraq : the strategy and ideology of martyrdom / Mohammed M. Hafez.</t>
  </si>
  <si>
    <t>Hafez, Mohammed M., 1970-</t>
  </si>
  <si>
    <t>141168165:eng</t>
  </si>
  <si>
    <t>124036176</t>
  </si>
  <si>
    <t>991005112769702656</t>
  </si>
  <si>
    <t>2262262130002656</t>
  </si>
  <si>
    <t>9781601270047</t>
  </si>
  <si>
    <t>32285005325336</t>
  </si>
  <si>
    <t>893242227</t>
  </si>
  <si>
    <t>HV6433.I73 I75 1991</t>
  </si>
  <si>
    <t>0                      HV 6433000I  73                 I  75          1991</t>
  </si>
  <si>
    <t>The Irish terrorism experience / edited by Yonah Alexander and Alan O'Day.</t>
  </si>
  <si>
    <t>Aldershot, Hants, England ; Brookfield, Vt., USA : Dartmouth, c1991.</t>
  </si>
  <si>
    <t>1992-10-19</t>
  </si>
  <si>
    <t>350325762:eng</t>
  </si>
  <si>
    <t>23384185</t>
  </si>
  <si>
    <t>991001861389702656</t>
  </si>
  <si>
    <t>2267783240002656</t>
  </si>
  <si>
    <t>9781855212107</t>
  </si>
  <si>
    <t>32285001319846</t>
  </si>
  <si>
    <t>893497490</t>
  </si>
  <si>
    <t>HV6433.I742 R39 2006</t>
  </si>
  <si>
    <t>0                      HV 6433000I  742                R  39          2006</t>
  </si>
  <si>
    <t>Jihad and international security / Jalil Roshandel and Sharon Chadha.</t>
  </si>
  <si>
    <t>Rawshandil, Jalīl, 1944 or 1945-</t>
  </si>
  <si>
    <t>New York : Palgrave Macmillan, 2006.</t>
  </si>
  <si>
    <t>2008-05-01</t>
  </si>
  <si>
    <t>49055442:eng</t>
  </si>
  <si>
    <t>65205159</t>
  </si>
  <si>
    <t>991005124439702656</t>
  </si>
  <si>
    <t>2255564360002656</t>
  </si>
  <si>
    <t>9781403971913</t>
  </si>
  <si>
    <t>32285005363220</t>
  </si>
  <si>
    <t>893344682</t>
  </si>
  <si>
    <t>HV6433.I75 P473 2009</t>
  </si>
  <si>
    <t>0                      HV 6433000I  75                 P  473         2009</t>
  </si>
  <si>
    <t>Jewish terrorism in Israel / Ami Pedahzur &amp; Arie Perliger.</t>
  </si>
  <si>
    <t>Pedahzur, Ami.</t>
  </si>
  <si>
    <t>New York : Columbia University Press, c2009.</t>
  </si>
  <si>
    <t>Columbia studies in terrorism and irregular warfare</t>
  </si>
  <si>
    <t>2010-04-28</t>
  </si>
  <si>
    <t>194622645:eng</t>
  </si>
  <si>
    <t>317068141</t>
  </si>
  <si>
    <t>991005388709702656</t>
  </si>
  <si>
    <t>2258773280002656</t>
  </si>
  <si>
    <t>9780231154468</t>
  </si>
  <si>
    <t>32285005568323</t>
  </si>
  <si>
    <t>893714017</t>
  </si>
  <si>
    <t>HV6433.J25 C37 2004</t>
  </si>
  <si>
    <t>0                      HV 6433000J  25                 C  37          2004</t>
  </si>
  <si>
    <t>Caribbean security in the age of terror : challenge and change / edited by Ivelaw Lloyd Griffith.</t>
  </si>
  <si>
    <t>Kingston, Jamaica : Ian Randle Publishers, 2004.</t>
  </si>
  <si>
    <t xml:space="preserve">jm </t>
  </si>
  <si>
    <t>890891136:eng</t>
  </si>
  <si>
    <t>55233553</t>
  </si>
  <si>
    <t>991004742519702656</t>
  </si>
  <si>
    <t>2254784070002656</t>
  </si>
  <si>
    <t>9780975352908</t>
  </si>
  <si>
    <t>32285005184402</t>
  </si>
  <si>
    <t>893229778</t>
  </si>
  <si>
    <t>HV6433.M5 C53 2002</t>
  </si>
  <si>
    <t>0                      HV 6433000M  5                  C  53          2002</t>
  </si>
  <si>
    <t>Serenade of suffering : a portrait of Middle East terrorism, 1968-1993 / Richard J. Chasdi.</t>
  </si>
  <si>
    <t>Chasdi, Richard J.</t>
  </si>
  <si>
    <t>Lanham, Md. ; Oxford : Lexington, 2002.</t>
  </si>
  <si>
    <t>2006-04-14</t>
  </si>
  <si>
    <t>2003-10-27</t>
  </si>
  <si>
    <t>2714165:eng</t>
  </si>
  <si>
    <t>49394359</t>
  </si>
  <si>
    <t>991004157009702656</t>
  </si>
  <si>
    <t>2256524080002656</t>
  </si>
  <si>
    <t>9780739103531</t>
  </si>
  <si>
    <t>32285004790423</t>
  </si>
  <si>
    <t>893605694</t>
  </si>
  <si>
    <t>HV6433.M5 C534 2002</t>
  </si>
  <si>
    <t>0                      HV 6433000M  5                  C  534         2002</t>
  </si>
  <si>
    <t>Tapestry of terror : a portrait of Middle East terrorism, 1994-1999 / Richard J. Chasdi.</t>
  </si>
  <si>
    <t>Chasdi, Richard J., 1958-</t>
  </si>
  <si>
    <t>Lanham, MD : Lexington Books, c2002.</t>
  </si>
  <si>
    <t>2008-02-12</t>
  </si>
  <si>
    <t>367308811:eng</t>
  </si>
  <si>
    <t>49044380</t>
  </si>
  <si>
    <t>991004159339702656</t>
  </si>
  <si>
    <t>2265195050002656</t>
  </si>
  <si>
    <t>9780739103548</t>
  </si>
  <si>
    <t>32285004794789</t>
  </si>
  <si>
    <t>893775700</t>
  </si>
  <si>
    <t>HV6433.M5 E57 2008</t>
  </si>
  <si>
    <t>0                      HV 6433000M  5                  E  57          2008</t>
  </si>
  <si>
    <t>Middle Eastern terrorism : from Black September to September 11 / Mark Ensalaco.</t>
  </si>
  <si>
    <t>Ensalaco, Mark.</t>
  </si>
  <si>
    <t>Philadelphia, Pa. : University of Pennsylvania Press, c2008.</t>
  </si>
  <si>
    <t>2008-10-16</t>
  </si>
  <si>
    <t>319945716:eng</t>
  </si>
  <si>
    <t>154800556</t>
  </si>
  <si>
    <t>991005270329702656</t>
  </si>
  <si>
    <t>2263723340002656</t>
  </si>
  <si>
    <t>9780812240467</t>
  </si>
  <si>
    <t>32285005461578</t>
  </si>
  <si>
    <t>893520748</t>
  </si>
  <si>
    <t>HV6433.M52 Q35 2002</t>
  </si>
  <si>
    <t>0                      HV 6433000M  52                 Q  35          2002</t>
  </si>
  <si>
    <t>Al Qaeda : brotherhood of terror / Paul L. Williams.</t>
  </si>
  <si>
    <t>Williams, Paul L., 1944-</t>
  </si>
  <si>
    <t>[Parsippany, NJ?] : Alpha, c2002.</t>
  </si>
  <si>
    <t>230499562:eng</t>
  </si>
  <si>
    <t>49315209</t>
  </si>
  <si>
    <t>991004074029702656</t>
  </si>
  <si>
    <t>2266400570002656</t>
  </si>
  <si>
    <t>9780028643526</t>
  </si>
  <si>
    <t>32285004753678</t>
  </si>
  <si>
    <t>893429619</t>
  </si>
  <si>
    <t>HV6433.R9 H34 2007</t>
  </si>
  <si>
    <t>0                      HV 6433000R  9                  H  34          2007</t>
  </si>
  <si>
    <t>Russia's Islamic threat / Gordon M. Hahn.</t>
  </si>
  <si>
    <t>Hahn, Gordon M.</t>
  </si>
  <si>
    <t>New Haven : Yale University Press, c2007.</t>
  </si>
  <si>
    <t>2010-06-01</t>
  </si>
  <si>
    <t>58308775:eng</t>
  </si>
  <si>
    <t>71368884</t>
  </si>
  <si>
    <t>991005176069702656</t>
  </si>
  <si>
    <t>2254724950002656</t>
  </si>
  <si>
    <t>9780300120776</t>
  </si>
  <si>
    <t>32285005393219</t>
  </si>
  <si>
    <t>893701140</t>
  </si>
  <si>
    <t>HV6439.E8 E865 2005</t>
  </si>
  <si>
    <t>0                      HV 6439000E  8                  E  865         2005</t>
  </si>
  <si>
    <t>European street gangs and troublesome youth groups / edited by Scott H. Decker and Frank M. Weerman.</t>
  </si>
  <si>
    <t>Lanham, Md. : AltaMira Press, c2005.</t>
  </si>
  <si>
    <t>Violence prevention and policy series</t>
  </si>
  <si>
    <t>2007-01-08</t>
  </si>
  <si>
    <t>351568099:eng</t>
  </si>
  <si>
    <t>61500013</t>
  </si>
  <si>
    <t>991004992009702656</t>
  </si>
  <si>
    <t>2260035020002656</t>
  </si>
  <si>
    <t>9780759107922</t>
  </si>
  <si>
    <t>32285005268908</t>
  </si>
  <si>
    <t>893344488</t>
  </si>
  <si>
    <t>HV6439.U5 C68 1992</t>
  </si>
  <si>
    <t>0                      HV 6439000U  5                  C  68          1992</t>
  </si>
  <si>
    <t>Juvenile gangs / by Herbert C. Covey, Scott Menard, Robert J. Franzese.</t>
  </si>
  <si>
    <t>Covey, Herbert C.</t>
  </si>
  <si>
    <t>1993-03-16</t>
  </si>
  <si>
    <t>20663082:eng</t>
  </si>
  <si>
    <t>25410277</t>
  </si>
  <si>
    <t>991001999439702656</t>
  </si>
  <si>
    <t>2254940280002656</t>
  </si>
  <si>
    <t>9780398057985</t>
  </si>
  <si>
    <t>32285001497576</t>
  </si>
  <si>
    <t>893346987</t>
  </si>
  <si>
    <t>HV6439.U5 H47 1998</t>
  </si>
  <si>
    <t>0                      HV 6439000U  5                  H  47          1998</t>
  </si>
  <si>
    <t>Peace in the streets : breaking the cycle of gang violence / Arturo Hernandez.</t>
  </si>
  <si>
    <t>Hernandez, Arturo, 1959-</t>
  </si>
  <si>
    <t>Washington, DC : Child Welfare League of America, c1998.</t>
  </si>
  <si>
    <t>2009-04-27</t>
  </si>
  <si>
    <t>1998-07-15</t>
  </si>
  <si>
    <t>474848220:eng</t>
  </si>
  <si>
    <t>37976378</t>
  </si>
  <si>
    <t>991002881649702656</t>
  </si>
  <si>
    <t>2261611480002656</t>
  </si>
  <si>
    <t>9780878686926</t>
  </si>
  <si>
    <t>32285003432076</t>
  </si>
  <si>
    <t>893239625</t>
  </si>
  <si>
    <t>HV6439.U5 K58 1995</t>
  </si>
  <si>
    <t>0                      HV 6439000U  5                  K  58          1995</t>
  </si>
  <si>
    <t>The American street gang : its nature, prevalence, and control / Malcolm W. Klein.</t>
  </si>
  <si>
    <t>Klein, Malcolm W.</t>
  </si>
  <si>
    <t>New York : Oxford University Press, 1995.</t>
  </si>
  <si>
    <t>Studies in crime and public policy</t>
  </si>
  <si>
    <t>2009-11-28</t>
  </si>
  <si>
    <t>1996-01-16</t>
  </si>
  <si>
    <t>2000-03-16</t>
  </si>
  <si>
    <t>836929472:eng</t>
  </si>
  <si>
    <t>30972498</t>
  </si>
  <si>
    <t>991001663699702656</t>
  </si>
  <si>
    <t>2263355840002656</t>
  </si>
  <si>
    <t>9780195095340</t>
  </si>
  <si>
    <t>32285002116936</t>
  </si>
  <si>
    <t>893879057</t>
  </si>
  <si>
    <t>HV6439.U5 K66 1994</t>
  </si>
  <si>
    <t>0                      HV 6439000U  5                  K  66          1994</t>
  </si>
  <si>
    <t>An introduction to gangs / George W. Knox ; foreword by Malcolm W. Klein.</t>
  </si>
  <si>
    <t>Knox, George W., 1950-</t>
  </si>
  <si>
    <t>Bristol, IN : Wyndham Hall Press, c1994.</t>
  </si>
  <si>
    <t>New rev. ed.</t>
  </si>
  <si>
    <t>2003-10-01</t>
  </si>
  <si>
    <t>1995-10-27</t>
  </si>
  <si>
    <t>27305363:eng</t>
  </si>
  <si>
    <t>32083445</t>
  </si>
  <si>
    <t>991002461549702656</t>
  </si>
  <si>
    <t>2269477090002656</t>
  </si>
  <si>
    <t>9781556052484</t>
  </si>
  <si>
    <t>32285002097847</t>
  </si>
  <si>
    <t>893322970</t>
  </si>
  <si>
    <t>HV6439.U5 M66 1991</t>
  </si>
  <si>
    <t>0                      HV 6439000U  5                  M  66          1991</t>
  </si>
  <si>
    <t>Going down to the barrio : homeboys and homegirls in change / Joan W. Moore.</t>
  </si>
  <si>
    <t>Moore, Joan W.</t>
  </si>
  <si>
    <t>1992-01-28</t>
  </si>
  <si>
    <t>476115094:eng</t>
  </si>
  <si>
    <t>23180002</t>
  </si>
  <si>
    <t>991001847229702656</t>
  </si>
  <si>
    <t>2263530090002656</t>
  </si>
  <si>
    <t>9780877228554</t>
  </si>
  <si>
    <t>32285000867126</t>
  </si>
  <si>
    <t>893590686</t>
  </si>
  <si>
    <t>HV6439.U5 W5 1973</t>
  </si>
  <si>
    <t>0                      HV 6439000U  5                  W  5           1973</t>
  </si>
  <si>
    <t>Street corner society : the social structure of an Italian slum / William Foote Whyte.</t>
  </si>
  <si>
    <t>Whyte, William Foote, 1914-2000.</t>
  </si>
  <si>
    <t>Chicago : The University of Chicago Press, 1973.</t>
  </si>
  <si>
    <t>2008-09-21</t>
  </si>
  <si>
    <t>206817776:eng</t>
  </si>
  <si>
    <t>2778850</t>
  </si>
  <si>
    <t>991003272869702656</t>
  </si>
  <si>
    <t>2256010140002656</t>
  </si>
  <si>
    <t>32285003770186</t>
  </si>
  <si>
    <t>893780791</t>
  </si>
  <si>
    <t>HV6439.U7 C26 1994</t>
  </si>
  <si>
    <t>0                      HV 6439000U  7                  C  26          1994</t>
  </si>
  <si>
    <t>Gangbangs and drive-bys : grounded culture and juvenile gang violence / William B. Sanders.</t>
  </si>
  <si>
    <t>Sanders, William B., 1944-</t>
  </si>
  <si>
    <t>New York : Aldine de Gruyter, c1994.</t>
  </si>
  <si>
    <t>1994-12-15</t>
  </si>
  <si>
    <t>138940371:eng</t>
  </si>
  <si>
    <t>29636589</t>
  </si>
  <si>
    <t>991002285939702656</t>
  </si>
  <si>
    <t>2255206010002656</t>
  </si>
  <si>
    <t>9780202305363</t>
  </si>
  <si>
    <t>32285001977569</t>
  </si>
  <si>
    <t>893510543</t>
  </si>
  <si>
    <t>HV6439.U7 D68 1993</t>
  </si>
  <si>
    <t>0                      HV 6439000U  7                  D  68          1993</t>
  </si>
  <si>
    <t>Girls, gangs, women, and drugs / Carl S. Taylor.</t>
  </si>
  <si>
    <t>Taylor, Carl S.</t>
  </si>
  <si>
    <t>East Lansing, Mich. : Michigan State University Press, 1993.</t>
  </si>
  <si>
    <t>miu</t>
  </si>
  <si>
    <t>2009-04-26</t>
  </si>
  <si>
    <t>1993-10-08</t>
  </si>
  <si>
    <t>30955358:eng</t>
  </si>
  <si>
    <t>28292691</t>
  </si>
  <si>
    <t>991002199619702656</t>
  </si>
  <si>
    <t>2257290490002656</t>
  </si>
  <si>
    <t>9780870133206</t>
  </si>
  <si>
    <t>32285001785103</t>
  </si>
  <si>
    <t>893341150</t>
  </si>
  <si>
    <t>HV6439.U7 I63 1997</t>
  </si>
  <si>
    <t>0                      HV 6439000U  7                  I  63          1997</t>
  </si>
  <si>
    <t>Female gang participation : the role of African-American women in the informal drug economy and gang activities / Deborah Burris-Kitchen.</t>
  </si>
  <si>
    <t>Burris-Kitchen, Deborah.</t>
  </si>
  <si>
    <t>Lewiston, N.Y. : Edwin Mellen Press, c1997.</t>
  </si>
  <si>
    <t>Women's studies ; v. 17</t>
  </si>
  <si>
    <t>1997-11-18</t>
  </si>
  <si>
    <t>836958227:eng</t>
  </si>
  <si>
    <t>36930779</t>
  </si>
  <si>
    <t>991002811649702656</t>
  </si>
  <si>
    <t>2271878180002656</t>
  </si>
  <si>
    <t>9780773486171</t>
  </si>
  <si>
    <t>32285003271375</t>
  </si>
  <si>
    <t>893323409</t>
  </si>
  <si>
    <t>HV6439.U7 N435 1984</t>
  </si>
  <si>
    <t>0                      HV 6439000U  7                  N  435         1984</t>
  </si>
  <si>
    <t>The girls in the gang : a report from New York City / Anne Campbell.</t>
  </si>
  <si>
    <t>Campbell, Anne.</t>
  </si>
  <si>
    <t>Oxford [Oxfordshire] ; New York, NY : B. Blackwell, 1984.</t>
  </si>
  <si>
    <t>2002-03-28</t>
  </si>
  <si>
    <t>1990-04-09</t>
  </si>
  <si>
    <t>151229482:eng</t>
  </si>
  <si>
    <t>10998754</t>
  </si>
  <si>
    <t>991000473029702656</t>
  </si>
  <si>
    <t>2261363520002656</t>
  </si>
  <si>
    <t>9780631133742</t>
  </si>
  <si>
    <t>32285000112762</t>
  </si>
  <si>
    <t>893896905</t>
  </si>
  <si>
    <t>HV6441 .O74 1986</t>
  </si>
  <si>
    <t>0                      HV 6441000O  74          1986</t>
  </si>
  <si>
    <t>Organized crime : a global perspective / edited by Robert J. Kelly.</t>
  </si>
  <si>
    <t>Totowa, N.J. : Rowman &amp; Littlefield, 1986.</t>
  </si>
  <si>
    <t>1992-04-09</t>
  </si>
  <si>
    <t>5827118:eng</t>
  </si>
  <si>
    <t>12749766</t>
  </si>
  <si>
    <t>991000732789702656</t>
  </si>
  <si>
    <t>2265488090002656</t>
  </si>
  <si>
    <t>9780865980853</t>
  </si>
  <si>
    <t>32285001058436</t>
  </si>
  <si>
    <t>893243525</t>
  </si>
  <si>
    <t>HV6441 .R9 1995</t>
  </si>
  <si>
    <t>0                      HV 6441000R  9           1995</t>
  </si>
  <si>
    <t>Organized crime : a reference handbook / Patrick J. Ryan.</t>
  </si>
  <si>
    <t>Ryan, Patrick J., 1941-</t>
  </si>
  <si>
    <t>Santa Barbara, Calif. : ABC-CLIO, 1995.</t>
  </si>
  <si>
    <t>1995-12-27</t>
  </si>
  <si>
    <t>799394033:eng</t>
  </si>
  <si>
    <t>32236071</t>
  </si>
  <si>
    <t>991002648809702656</t>
  </si>
  <si>
    <t>2266392830002656</t>
  </si>
  <si>
    <t>9780874367461</t>
  </si>
  <si>
    <t>32285002112141</t>
  </si>
  <si>
    <t>893591605</t>
  </si>
  <si>
    <t>HV6446 .A34 1996</t>
  </si>
  <si>
    <t>0                      HV 6446000A  34          1996</t>
  </si>
  <si>
    <t>Organized crime in America / Jay S. Albanese.</t>
  </si>
  <si>
    <t>Albanese, Jay S.</t>
  </si>
  <si>
    <t>Cincinnati : Anderson Pub. Co., c1996.</t>
  </si>
  <si>
    <t>2260832317:eng</t>
  </si>
  <si>
    <t>33983292</t>
  </si>
  <si>
    <t>991002594639702656</t>
  </si>
  <si>
    <t>2261964830002656</t>
  </si>
  <si>
    <t>9780870840289</t>
  </si>
  <si>
    <t>32285003514626</t>
  </si>
  <si>
    <t>893610029</t>
  </si>
  <si>
    <t>HV6446 .D37 1993</t>
  </si>
  <si>
    <t>0                      HV 6446000D  37          1993</t>
  </si>
  <si>
    <t>Mafia dynasty : the rise and fall of the Gambino crime family / John H. Davis.</t>
  </si>
  <si>
    <t>Davis, John H., 1929-2012.</t>
  </si>
  <si>
    <t>New York : HarperCollins Publishers, c1993.</t>
  </si>
  <si>
    <t>194783881:eng</t>
  </si>
  <si>
    <t>26356720</t>
  </si>
  <si>
    <t>991002059419702656</t>
  </si>
  <si>
    <t>2268398890002656</t>
  </si>
  <si>
    <t>9780060163570</t>
  </si>
  <si>
    <t>32285001499523</t>
  </si>
  <si>
    <t>893516845</t>
  </si>
  <si>
    <t>HV6446 .F56 1998</t>
  </si>
  <si>
    <t>0                      HV 6446000F  56          1998</t>
  </si>
  <si>
    <t>Russian mafia in America : immigration, culture, and crime / James O. Finckenauer, Elin J. Waring.</t>
  </si>
  <si>
    <t>Finckenauer, James O.</t>
  </si>
  <si>
    <t>2005-11-18</t>
  </si>
  <si>
    <t>815112688:eng</t>
  </si>
  <si>
    <t>39007246</t>
  </si>
  <si>
    <t>991002933489702656</t>
  </si>
  <si>
    <t>2267914860002656</t>
  </si>
  <si>
    <t>9781555533748</t>
  </si>
  <si>
    <t>32285003618948</t>
  </si>
  <si>
    <t>893445455</t>
  </si>
  <si>
    <t>HV6446 .F68 1989</t>
  </si>
  <si>
    <t>0                      HV 6446000F  68          1989</t>
  </si>
  <si>
    <t>Blood and power : organized crime in twentieth-century America / Stephen Fox.</t>
  </si>
  <si>
    <t>Fox, Stephen R.</t>
  </si>
  <si>
    <t>New York : W. Morrow, 1989.</t>
  </si>
  <si>
    <t>1997-01-20</t>
  </si>
  <si>
    <t>21427553:eng</t>
  </si>
  <si>
    <t>19325336</t>
  </si>
  <si>
    <t>991001451549702656</t>
  </si>
  <si>
    <t>2265479970002656</t>
  </si>
  <si>
    <t>9780688043506</t>
  </si>
  <si>
    <t>32285002397817</t>
  </si>
  <si>
    <t>893420328</t>
  </si>
  <si>
    <t>HV6452.N7 B76 2005</t>
  </si>
  <si>
    <t>0                      HV 6452000N  7                  B  76          2005</t>
  </si>
  <si>
    <t>Queens reigns supreme : Fat Cat, 50 Cent and the rise of the hip-hop hustler / Ethan Brown.</t>
  </si>
  <si>
    <t>Brown, Ethan, 1972-</t>
  </si>
  <si>
    <t>New York : Anchor Books, 2005.</t>
  </si>
  <si>
    <t>859154849:eng</t>
  </si>
  <si>
    <t>61529851</t>
  </si>
  <si>
    <t>991004688579702656</t>
  </si>
  <si>
    <t>2268254460002656</t>
  </si>
  <si>
    <t>9781400095230</t>
  </si>
  <si>
    <t>32285005187959</t>
  </si>
  <si>
    <t>893526395</t>
  </si>
  <si>
    <t>HV6452.P4 M34258 2004</t>
  </si>
  <si>
    <t>0                      HV 6452000P  4                  M  34258       2004</t>
  </si>
  <si>
    <t>The last gangster : from cop to wiseguy to FBI informant : big Ron Previte and the fall of the American mob / George Anastasia.</t>
  </si>
  <si>
    <t>Anastasia, George.</t>
  </si>
  <si>
    <t>New York: ReganBooks, c2004.</t>
  </si>
  <si>
    <t>649645:eng</t>
  </si>
  <si>
    <t>53814470</t>
  </si>
  <si>
    <t>991004284949702656</t>
  </si>
  <si>
    <t>2271845310002656</t>
  </si>
  <si>
    <t>9780060544225</t>
  </si>
  <si>
    <t>32285004899885</t>
  </si>
  <si>
    <t>893901049</t>
  </si>
  <si>
    <t>HV6452.P4 M6 1964a</t>
  </si>
  <si>
    <t>0                      HV 6452000P  4                  M  6           1964a</t>
  </si>
  <si>
    <t>The Molly Maguires / Wayne G. Broehl, Jr.</t>
  </si>
  <si>
    <t>Broehl, Wayne G., Jr.</t>
  </si>
  <si>
    <t>Cambridge, Mass. : Harvard University Press, 1965, c1964.</t>
  </si>
  <si>
    <t>2009-08-04</t>
  </si>
  <si>
    <t>536319:eng</t>
  </si>
  <si>
    <t>9495889</t>
  </si>
  <si>
    <t>991000206449702656</t>
  </si>
  <si>
    <t>2272058570002656</t>
  </si>
  <si>
    <t>32285003158234</t>
  </si>
  <si>
    <t>893595395</t>
  </si>
  <si>
    <t>HV6453.I83 M3766 1995</t>
  </si>
  <si>
    <t>0                      HV 6453000I  83                 M  3766        1995</t>
  </si>
  <si>
    <t>Excellent cadavers : the mafia and the death of the first Italian Republic / Alexander Stille.</t>
  </si>
  <si>
    <t>Stille, Alexander.</t>
  </si>
  <si>
    <t>New York : Pantheon Books, c1995.</t>
  </si>
  <si>
    <t>2008-10-02</t>
  </si>
  <si>
    <t>1995-07-12</t>
  </si>
  <si>
    <t>2686553:eng</t>
  </si>
  <si>
    <t>31206630</t>
  </si>
  <si>
    <t>991002400759702656</t>
  </si>
  <si>
    <t>2258196080002656</t>
  </si>
  <si>
    <t>9780679425793</t>
  </si>
  <si>
    <t>32285002054046</t>
  </si>
  <si>
    <t>893786086</t>
  </si>
  <si>
    <t>HV6453.N7 B47 1998</t>
  </si>
  <si>
    <t>0                      HV 6453000N  7                  B  47          1998</t>
  </si>
  <si>
    <t>Beyond the mafia : organized crime in the Americas / edited by Sue Mahan with Katherine O'Neil.</t>
  </si>
  <si>
    <t>Thousand Oaks, Calif. : Sage Publications, c1998.</t>
  </si>
  <si>
    <t>2005-11-04</t>
  </si>
  <si>
    <t>1998-08-24</t>
  </si>
  <si>
    <t>796439442:eng</t>
  </si>
  <si>
    <t>39007126</t>
  </si>
  <si>
    <t>991002933349702656</t>
  </si>
  <si>
    <t>2267918300002656</t>
  </si>
  <si>
    <t>9780761913580</t>
  </si>
  <si>
    <t>32285003461257</t>
  </si>
  <si>
    <t>893352604</t>
  </si>
  <si>
    <t>HV6453.R8 R87 1997</t>
  </si>
  <si>
    <t>0                      HV 6453000R  8                  R  87          1997</t>
  </si>
  <si>
    <t>Russian organized crime : the new threat? / edited by Phil Williams.</t>
  </si>
  <si>
    <t>London ; Portland, Or. : F. Cass, c1997.</t>
  </si>
  <si>
    <t>2009-03-24</t>
  </si>
  <si>
    <t>2004-08-16</t>
  </si>
  <si>
    <t>56176759:eng</t>
  </si>
  <si>
    <t>36178501</t>
  </si>
  <si>
    <t>991004347639702656</t>
  </si>
  <si>
    <t>2262875970002656</t>
  </si>
  <si>
    <t>9780714643120</t>
  </si>
  <si>
    <t>32285004981535</t>
  </si>
  <si>
    <t>893331481</t>
  </si>
  <si>
    <t>HV6453.R8 V37 2001</t>
  </si>
  <si>
    <t>0                      HV 6453000R  8                  V  37          2001</t>
  </si>
  <si>
    <t>The Russian mafia : private protection in a new market economy / Federico Varese.</t>
  </si>
  <si>
    <t>Varese, Federico.</t>
  </si>
  <si>
    <t>Oxford, England ; New York : Oxford University Press, 2001.</t>
  </si>
  <si>
    <t>15832115:eng</t>
  </si>
  <si>
    <t>45715859</t>
  </si>
  <si>
    <t>991003632789702656</t>
  </si>
  <si>
    <t>2263203410002656</t>
  </si>
  <si>
    <t>9780198297369</t>
  </si>
  <si>
    <t>32285004416763</t>
  </si>
  <si>
    <t>893627678</t>
  </si>
  <si>
    <t>HV6457 .W45 1969</t>
  </si>
  <si>
    <t>0                      HV 6457000W  45          1969</t>
  </si>
  <si>
    <t>Rope and faggot.</t>
  </si>
  <si>
    <t>White, Walter, 1893-1955.</t>
  </si>
  <si>
    <t>New York, Arno Press, 1969.</t>
  </si>
  <si>
    <t>The American Negro, his history and literature</t>
  </si>
  <si>
    <t>9657930456:eng</t>
  </si>
  <si>
    <t>6092</t>
  </si>
  <si>
    <t>991005438539702656</t>
  </si>
  <si>
    <t>2265143440002656</t>
  </si>
  <si>
    <t>32285003158267</t>
  </si>
  <si>
    <t>893332979</t>
  </si>
  <si>
    <t>HV6459 .G7</t>
  </si>
  <si>
    <t>0                      HV 6459000G  7</t>
  </si>
  <si>
    <t>The anti-lynching movement, 1883-1932 / by Donald L. Grant.</t>
  </si>
  <si>
    <t>Grant, Donald L. (Donald Lee), 1919-1988.</t>
  </si>
  <si>
    <t>San Francisco : R and E Research Associates, 1975.</t>
  </si>
  <si>
    <t>2009-04-24</t>
  </si>
  <si>
    <t>1992-11-23</t>
  </si>
  <si>
    <t>3974116:eng</t>
  </si>
  <si>
    <t>2212761</t>
  </si>
  <si>
    <t>991004050679702656</t>
  </si>
  <si>
    <t>2255584190002656</t>
  </si>
  <si>
    <t>9780882473482</t>
  </si>
  <si>
    <t>32285001408193</t>
  </si>
  <si>
    <t>893411053</t>
  </si>
  <si>
    <t>HV6471.G9 G63 2006</t>
  </si>
  <si>
    <t>0                      HV 6471000G  9                  G  63          2006</t>
  </si>
  <si>
    <t>Popular injustice : violence, community, and law in Latin America / Angelina Snodgrass Godoy.</t>
  </si>
  <si>
    <t>Godoy, Angelina Snodgrass.</t>
  </si>
  <si>
    <t>Stanford, Calif. : Stanford University Press, 2006.</t>
  </si>
  <si>
    <t>219131419:eng</t>
  </si>
  <si>
    <t>61758575</t>
  </si>
  <si>
    <t>991004958059702656</t>
  </si>
  <si>
    <t>2271846450002656</t>
  </si>
  <si>
    <t>9780804753487</t>
  </si>
  <si>
    <t>32285005238901</t>
  </si>
  <si>
    <t>893526700</t>
  </si>
  <si>
    <t>HV6477 .U68 1984</t>
  </si>
  <si>
    <t>0                      HV 6477000U  68          1984</t>
  </si>
  <si>
    <t>A social history of 20th century urban riots / James N. Upton ; forward by William E. Nelson, Jr. ; preface by Randell B. Ripley.</t>
  </si>
  <si>
    <t>Upton, James N.</t>
  </si>
  <si>
    <t>Bristol, IN : Wyndam Hall Press, c1984.</t>
  </si>
  <si>
    <t>Anthroscience minigraph series</t>
  </si>
  <si>
    <t>4637551:eng</t>
  </si>
  <si>
    <t>13313084</t>
  </si>
  <si>
    <t>991000599819702656</t>
  </si>
  <si>
    <t>2267171450002656</t>
  </si>
  <si>
    <t>9780932269201</t>
  </si>
  <si>
    <t>32285000058999</t>
  </si>
  <si>
    <t>893778060</t>
  </si>
  <si>
    <t>HV6489.C2 Q44 2005</t>
  </si>
  <si>
    <t>0                      HV 6489000C  2                  Q  44          2005</t>
  </si>
  <si>
    <t>Under and alone : the true story of the undercover agent who infiltrated America's most violent outlaw motorcycle gang / William Queen.</t>
  </si>
  <si>
    <t>Queen, William.</t>
  </si>
  <si>
    <t>New York : Random House, c2005.</t>
  </si>
  <si>
    <t>934881:eng</t>
  </si>
  <si>
    <t>56085716</t>
  </si>
  <si>
    <t>991004531219702656</t>
  </si>
  <si>
    <t>2266561460002656</t>
  </si>
  <si>
    <t>9781400060849</t>
  </si>
  <si>
    <t>32285005035067</t>
  </si>
  <si>
    <t>893782344</t>
  </si>
  <si>
    <t>HV6493 .S3</t>
  </si>
  <si>
    <t>0                      HV 6493000S  3</t>
  </si>
  <si>
    <t>Crimes without victims; deviant behavior and public policy: abortion, homosexuality, drug addiction [by] Edwin M. Schur.</t>
  </si>
  <si>
    <t>Schur, Edwin M.</t>
  </si>
  <si>
    <t>Englewood Cliffs, N.J., Prentice-Hall [1965]</t>
  </si>
  <si>
    <t>A Spectrum book, S-111</t>
  </si>
  <si>
    <t>2005-12-12</t>
  </si>
  <si>
    <t>869770012:eng</t>
  </si>
  <si>
    <t>265058</t>
  </si>
  <si>
    <t>991002084579702656</t>
  </si>
  <si>
    <t>2265238010002656</t>
  </si>
  <si>
    <t>32285003158283</t>
  </si>
  <si>
    <t>893523176</t>
  </si>
  <si>
    <t>HV6493 .W4</t>
  </si>
  <si>
    <t>0                      HV 6493000W  4</t>
  </si>
  <si>
    <t>A sign for Cain; an exploration of human violence.</t>
  </si>
  <si>
    <t>Wertham, Fredric, 1895-1981.</t>
  </si>
  <si>
    <t>New York, Macmillan [1966]</t>
  </si>
  <si>
    <t>2006-03-15</t>
  </si>
  <si>
    <t>1151011762:eng</t>
  </si>
  <si>
    <t>374471</t>
  </si>
  <si>
    <t>991002573959702656</t>
  </si>
  <si>
    <t>2262406220002656</t>
  </si>
  <si>
    <t>32285003158291</t>
  </si>
  <si>
    <t>893323103</t>
  </si>
  <si>
    <t>HV6515 .W4</t>
  </si>
  <si>
    <t>0                      HV 6515000W  4</t>
  </si>
  <si>
    <t>The show of violence.</t>
  </si>
  <si>
    <t>Garden City, N. Y. Doubleday, 1949.</t>
  </si>
  <si>
    <t>1949</t>
  </si>
  <si>
    <t>1135104:eng</t>
  </si>
  <si>
    <t>374723</t>
  </si>
  <si>
    <t>991002575419702656</t>
  </si>
  <si>
    <t>2262267750002656</t>
  </si>
  <si>
    <t>32285003158309</t>
  </si>
  <si>
    <t>893716629</t>
  </si>
  <si>
    <t>HV6529 .L86 1976</t>
  </si>
  <si>
    <t>0                      HV 6529000L  86          1976</t>
  </si>
  <si>
    <t>Murder and madness / Donald T. Lunde.</t>
  </si>
  <si>
    <t>San Francisco : San Francisco Book Co., 1976.</t>
  </si>
  <si>
    <t>The Portable Stanford series</t>
  </si>
  <si>
    <t>2002-09-16</t>
  </si>
  <si>
    <t>558282:eng</t>
  </si>
  <si>
    <t>1991309</t>
  </si>
  <si>
    <t>991003969559702656</t>
  </si>
  <si>
    <t>2263933710002656</t>
  </si>
  <si>
    <t>9780913374320</t>
  </si>
  <si>
    <t>32285001032753</t>
  </si>
  <si>
    <t>893263037</t>
  </si>
  <si>
    <t>HV6534.B6 L37 1995</t>
  </si>
  <si>
    <t>0                      HV 6534000B  6                  L  37          1995</t>
  </si>
  <si>
    <t>The stalking of Kristin : a father investigates the murder of his daughter / George Lardner, Jr.</t>
  </si>
  <si>
    <t>Lardner, George.</t>
  </si>
  <si>
    <t>New York : Atlantic Monthly Press, 1995.</t>
  </si>
  <si>
    <t>1995-11-27</t>
  </si>
  <si>
    <t>1995-12-14</t>
  </si>
  <si>
    <t>34257348:eng</t>
  </si>
  <si>
    <t>32274506</t>
  </si>
  <si>
    <t>991001666479702656</t>
  </si>
  <si>
    <t>2260390390002656</t>
  </si>
  <si>
    <t>9780871136138</t>
  </si>
  <si>
    <t>32285002105772</t>
  </si>
  <si>
    <t>893250378</t>
  </si>
  <si>
    <t>HV6534.G765 L48 2004</t>
  </si>
  <si>
    <t>0                      HV 6534000G  765                L  48          2004</t>
  </si>
  <si>
    <t>Conviction : solving the Moxley murder : a reporter and a detective's twenty-year search for justice / Leonard Levitt.</t>
  </si>
  <si>
    <t>Levitt, Leonard, 1941-</t>
  </si>
  <si>
    <t>New York, NY : ReganBooks, c2004.</t>
  </si>
  <si>
    <t>2005-06-02</t>
  </si>
  <si>
    <t>14327588:eng</t>
  </si>
  <si>
    <t>55981652</t>
  </si>
  <si>
    <t>991004557309702656</t>
  </si>
  <si>
    <t>2262152570002656</t>
  </si>
  <si>
    <t>9780060544300</t>
  </si>
  <si>
    <t>32285005092480</t>
  </si>
  <si>
    <t>893247717</t>
  </si>
  <si>
    <t>HV6534.M775 D55 2005</t>
  </si>
  <si>
    <t>0                      HV 6534000M  775                D  55          2005</t>
  </si>
  <si>
    <t>Stone cold guilty : the People v. Scott Lee Peterson / Loretta Dillon.</t>
  </si>
  <si>
    <t>Dillon, Loretta.</t>
  </si>
  <si>
    <t>[United States? : s. n., 2005]</t>
  </si>
  <si>
    <t>xxu</t>
  </si>
  <si>
    <t>2006-12-20</t>
  </si>
  <si>
    <t>2006-03-27</t>
  </si>
  <si>
    <t>4471870612:eng</t>
  </si>
  <si>
    <t>62199420</t>
  </si>
  <si>
    <t>991004769549702656</t>
  </si>
  <si>
    <t>2255892330002656</t>
  </si>
  <si>
    <t>9781411634534</t>
  </si>
  <si>
    <t>32285005167852</t>
  </si>
  <si>
    <t>893612756</t>
  </si>
  <si>
    <t>HV6534.O23 R59 1995</t>
  </si>
  <si>
    <t>0                      HV 6534000O  23                 R  59          1995</t>
  </si>
  <si>
    <t>Drive-by / Gary Rivlin.</t>
  </si>
  <si>
    <t>Rivlin, Gary.</t>
  </si>
  <si>
    <t>New York : H. Holt, 1995.</t>
  </si>
  <si>
    <t>2006-11-17</t>
  </si>
  <si>
    <t>3769477694:eng</t>
  </si>
  <si>
    <t>32089083</t>
  </si>
  <si>
    <t>991002462739702656</t>
  </si>
  <si>
    <t>2255303200002656</t>
  </si>
  <si>
    <t>9780805029215</t>
  </si>
  <si>
    <t>32285002106655</t>
  </si>
  <si>
    <t>893245212</t>
  </si>
  <si>
    <t>HV6534.P55 L394 2009</t>
  </si>
  <si>
    <t>0                      HV 6534000P  55                 L  394         2009</t>
  </si>
  <si>
    <t>Evening's empire : the story of my father's murder / Zachary Lazar.</t>
  </si>
  <si>
    <t>Lazar, Zachary.</t>
  </si>
  <si>
    <t>New York : Little, Brown and Co., 2009.</t>
  </si>
  <si>
    <t>842594279:eng</t>
  </si>
  <si>
    <t>318879232</t>
  </si>
  <si>
    <t>991005341219702656</t>
  </si>
  <si>
    <t>2260783560002656</t>
  </si>
  <si>
    <t>9780316037686</t>
  </si>
  <si>
    <t>32285005553135</t>
  </si>
  <si>
    <t>893688980</t>
  </si>
  <si>
    <t>HV6534.T78 F56 2003</t>
  </si>
  <si>
    <t>0                      HV 6534000T  78                 F  56          2003</t>
  </si>
  <si>
    <t>Invisible Eden : a story of love and murder on Cape Cod / Maria Flook.</t>
  </si>
  <si>
    <t>Flook, Maria.</t>
  </si>
  <si>
    <t>New York : Broadway Books, 2003.</t>
  </si>
  <si>
    <t>867083522:eng</t>
  </si>
  <si>
    <t>51726839</t>
  </si>
  <si>
    <t>991004111459702656</t>
  </si>
  <si>
    <t>2269552020002656</t>
  </si>
  <si>
    <t>9780767913744</t>
  </si>
  <si>
    <t>32285004782685</t>
  </si>
  <si>
    <t>893343473</t>
  </si>
  <si>
    <t>HV6535.C33 L82 1967</t>
  </si>
  <si>
    <t>0                      HV 6535000C  33                 L  82          1967</t>
  </si>
  <si>
    <t>The Donnellys must die.</t>
  </si>
  <si>
    <t>Miller, Orlo, 1911-1993.</t>
  </si>
  <si>
    <t>Toronto, Macmillan of Canada [1967]</t>
  </si>
  <si>
    <t>Laurentian library, 4</t>
  </si>
  <si>
    <t>2005-03-21</t>
  </si>
  <si>
    <t>1997-08-25</t>
  </si>
  <si>
    <t>5620903562:eng</t>
  </si>
  <si>
    <t>463640</t>
  </si>
  <si>
    <t>991002818269702656</t>
  </si>
  <si>
    <t>2261046310002656</t>
  </si>
  <si>
    <t>32285003158333</t>
  </si>
  <si>
    <t>893704562</t>
  </si>
  <si>
    <t>HV6535.D65 M335 2005</t>
  </si>
  <si>
    <t>0                      HV 6535000D  65                 M  335         2005</t>
  </si>
  <si>
    <t>Dead man in paradise / J.B. MacKinnon.</t>
  </si>
  <si>
    <t>MacKinnon, J. B. (James Bernard), 1970-</t>
  </si>
  <si>
    <t>Vancouver, BC : Douglas &amp; McIntyre, c2005.</t>
  </si>
  <si>
    <t>bcc</t>
  </si>
  <si>
    <t>2007-01-11</t>
  </si>
  <si>
    <t>2006-07-17</t>
  </si>
  <si>
    <t>576662:eng</t>
  </si>
  <si>
    <t>61128009</t>
  </si>
  <si>
    <t>991004858759702656</t>
  </si>
  <si>
    <t>2264154490002656</t>
  </si>
  <si>
    <t>9781553651383</t>
  </si>
  <si>
    <t>32285005194930</t>
  </si>
  <si>
    <t>893520129</t>
  </si>
  <si>
    <t>HV6535.G4 A68</t>
  </si>
  <si>
    <t>0                      HV 6535000G  4                  A  68</t>
  </si>
  <si>
    <t>Victorian studies in scarlet [by] Richard D. Altick.</t>
  </si>
  <si>
    <t>Altick, Richard D. (Richard Daniel), 1915-2008.</t>
  </si>
  <si>
    <t>New York, Norton [1970]</t>
  </si>
  <si>
    <t>119996174:eng</t>
  </si>
  <si>
    <t>96130</t>
  </si>
  <si>
    <t>991000586569702656</t>
  </si>
  <si>
    <t>2271241390002656</t>
  </si>
  <si>
    <t>9780393086058</t>
  </si>
  <si>
    <t>32285003158341</t>
  </si>
  <si>
    <t>893871800</t>
  </si>
  <si>
    <t>HV6535.G6 L65 1987</t>
  </si>
  <si>
    <t>0                      HV 6535000G  6                  L  65          1987</t>
  </si>
  <si>
    <t>Jack the Ripper : 100 years of investigation / Terence Sharkey.</t>
  </si>
  <si>
    <t>Sharkey, Terence.</t>
  </si>
  <si>
    <t>London : Ward Lock, 1987.</t>
  </si>
  <si>
    <t>2008-04-13</t>
  </si>
  <si>
    <t>836704500:eng</t>
  </si>
  <si>
    <t>19779859</t>
  </si>
  <si>
    <t>991001109859702656</t>
  </si>
  <si>
    <t>2269225800002656</t>
  </si>
  <si>
    <t>9780706365962</t>
  </si>
  <si>
    <t>32285001181675</t>
  </si>
  <si>
    <t>893878627</t>
  </si>
  <si>
    <t>HV6535.G6 L658 1975</t>
  </si>
  <si>
    <t>0                      HV 6535000G  6                  L  658         1975</t>
  </si>
  <si>
    <t>The complete Jack the Ripper / Donald Rumbelow ; Introd. by Colin Wilson.</t>
  </si>
  <si>
    <t>Rumbelow, Donald.</t>
  </si>
  <si>
    <t>Boston : New York Graphic Society, [1975]</t>
  </si>
  <si>
    <t>1992-04-07</t>
  </si>
  <si>
    <t>485148:eng</t>
  </si>
  <si>
    <t>1229537</t>
  </si>
  <si>
    <t>991003634929702656</t>
  </si>
  <si>
    <t>2268285020002656</t>
  </si>
  <si>
    <t>9780821206614</t>
  </si>
  <si>
    <t>32285001051639</t>
  </si>
  <si>
    <t>893874986</t>
  </si>
  <si>
    <t>HV6535.G6 L659 1988</t>
  </si>
  <si>
    <t>0                      HV 6535000G  6                  L  659         1988</t>
  </si>
  <si>
    <t>Jack the Ripper : one hundred years of mystery / Peter Underwood.</t>
  </si>
  <si>
    <t>Underwood, Peter, 1923-2014.</t>
  </si>
  <si>
    <t>London : Javelin, 1988.</t>
  </si>
  <si>
    <t>19297805:eng</t>
  </si>
  <si>
    <t>18749915</t>
  </si>
  <si>
    <t>991001390729702656</t>
  </si>
  <si>
    <t>2262064130002656</t>
  </si>
  <si>
    <t>9780713720617</t>
  </si>
  <si>
    <t>32285001181691</t>
  </si>
  <si>
    <t>893809052</t>
  </si>
  <si>
    <t>HV6535.M43 M483 2006</t>
  </si>
  <si>
    <t>0                      HV 6535000M  43                 M  483         2006</t>
  </si>
  <si>
    <t>Betrayed : the assassination of Digna Ochoa / Linda Diebel.</t>
  </si>
  <si>
    <t>Diebel, Linda.</t>
  </si>
  <si>
    <t>New York, NY : Carroll &amp; Graf, 2006.</t>
  </si>
  <si>
    <t>1st Carroll &amp; Graf ed.</t>
  </si>
  <si>
    <t>2006-02-23</t>
  </si>
  <si>
    <t>19935233:eng</t>
  </si>
  <si>
    <t>63045440</t>
  </si>
  <si>
    <t>991004742989702656</t>
  </si>
  <si>
    <t>2268392040002656</t>
  </si>
  <si>
    <t>9780786717538</t>
  </si>
  <si>
    <t>32285005160717</t>
  </si>
  <si>
    <t>893694263</t>
  </si>
  <si>
    <t>HV6537 .I43</t>
  </si>
  <si>
    <t>0                      HV 6537000I  43</t>
  </si>
  <si>
    <t>Infanticide and the value of life / edited by Marvin Kohl. --</t>
  </si>
  <si>
    <t>Buffalo, N.Y. : Prometheus Books, 1978.</t>
  </si>
  <si>
    <t>1992-04-14</t>
  </si>
  <si>
    <t>540275:eng</t>
  </si>
  <si>
    <t>4445384</t>
  </si>
  <si>
    <t>991004639179702656</t>
  </si>
  <si>
    <t>2269655720002656</t>
  </si>
  <si>
    <t>9780879751005</t>
  </si>
  <si>
    <t>32285001036713</t>
  </si>
  <si>
    <t>893628273</t>
  </si>
  <si>
    <t>HV6541.U6 I53 1982</t>
  </si>
  <si>
    <t>0                      HV 6541000U  6                  I  53          1982</t>
  </si>
  <si>
    <t>Infanticide and the handicapped newborn / edited by Dennis J. Horan, and Melinda Delahoyde.</t>
  </si>
  <si>
    <t>Provo, Utah : Brigham Young University Press, 1982.</t>
  </si>
  <si>
    <t>utu</t>
  </si>
  <si>
    <t>2002-03-21</t>
  </si>
  <si>
    <t>469668275:eng</t>
  </si>
  <si>
    <t>8171206</t>
  </si>
  <si>
    <t>991005213519702656</t>
  </si>
  <si>
    <t>2257167140002656</t>
  </si>
  <si>
    <t>9780842520539</t>
  </si>
  <si>
    <t>32285000123827</t>
  </si>
  <si>
    <t>893801924</t>
  </si>
  <si>
    <t>HV6543 .D76 1992</t>
  </si>
  <si>
    <t>0                      HV 6543000D  76          1992</t>
  </si>
  <si>
    <t>A noble death : suicide and martyrdom among Christians and Jews in antiquity / Arthur J. Droge, James D. Tabor.</t>
  </si>
  <si>
    <t>Droge, Arthur J., 1953-</t>
  </si>
  <si>
    <t>San Francisco : HarperSanFrancisco, c1992.</t>
  </si>
  <si>
    <t>2003-04-29</t>
  </si>
  <si>
    <t>1992-06-12</t>
  </si>
  <si>
    <t>364280817:eng</t>
  </si>
  <si>
    <t>23767319</t>
  </si>
  <si>
    <t>991001886389702656</t>
  </si>
  <si>
    <t>2269102320002656</t>
  </si>
  <si>
    <t>9780060620950</t>
  </si>
  <si>
    <t>32285001128825</t>
  </si>
  <si>
    <t>893596805</t>
  </si>
  <si>
    <t>HV6545 .A84 1978b</t>
  </si>
  <si>
    <t>0                      HV 6545000A  84          1978b</t>
  </si>
  <si>
    <t>Discovering suicide : studies in the social organization of sudden death / J. Maxwell Atkinson.</t>
  </si>
  <si>
    <t>Atkinson, J. Maxwell (John Maxwell)</t>
  </si>
  <si>
    <t>Pittsburgh, Pa. : University of Pittsburgh Press, 1978.</t>
  </si>
  <si>
    <t>1994-12-08</t>
  </si>
  <si>
    <t>806973215:eng</t>
  </si>
  <si>
    <t>3223851</t>
  </si>
  <si>
    <t>991004381969702656</t>
  </si>
  <si>
    <t>2259034810002656</t>
  </si>
  <si>
    <t>9780822911302</t>
  </si>
  <si>
    <t>32285001980951</t>
  </si>
  <si>
    <t>893775954</t>
  </si>
  <si>
    <t>HV6545 .B26</t>
  </si>
  <si>
    <t>0                      HV 6545000B  26</t>
  </si>
  <si>
    <t>Ethical issues in suicide / Margaret Pabst Battin.</t>
  </si>
  <si>
    <t>Battin, M. Pabst.</t>
  </si>
  <si>
    <t>Englewood Cliffs, N.J. : Prentice-Hall, c1982.</t>
  </si>
  <si>
    <t>Prentice-Hall series in the philosophy of medicine</t>
  </si>
  <si>
    <t>2002-12-11</t>
  </si>
  <si>
    <t>30306192:eng</t>
  </si>
  <si>
    <t>7925709</t>
  </si>
  <si>
    <t>991005178289702656</t>
  </si>
  <si>
    <t>2270128650002656</t>
  </si>
  <si>
    <t>9780132901550</t>
  </si>
  <si>
    <t>32285000900968</t>
  </si>
  <si>
    <t>893350859</t>
  </si>
  <si>
    <t>HV6545 .C47</t>
  </si>
  <si>
    <t>0                      HV 6545000C  47</t>
  </si>
  <si>
    <t>Suicide.</t>
  </si>
  <si>
    <t>Choron, Jacques.</t>
  </si>
  <si>
    <t>New York : Scribner, [1972]</t>
  </si>
  <si>
    <t>2006-11-15</t>
  </si>
  <si>
    <t>1384636:eng</t>
  </si>
  <si>
    <t>240892</t>
  </si>
  <si>
    <t>991001906819702656</t>
  </si>
  <si>
    <t>2272293280002656</t>
  </si>
  <si>
    <t>9780684125770</t>
  </si>
  <si>
    <t>32285001061000</t>
  </si>
  <si>
    <t>893340813</t>
  </si>
  <si>
    <t>HV6545 .C6 1969</t>
  </si>
  <si>
    <t>0                      HV 6545000C  6           1969</t>
  </si>
  <si>
    <t>Identifying suicide potential : conference proceedings / edited and with commentaries by Dorothy B. Anderson and Lenora J. McClean.</t>
  </si>
  <si>
    <t>Conference on Identifying Suicide Potential (1969 : Columbia University. Teachers College)</t>
  </si>
  <si>
    <t>New York : Behavioral Publications, [1971]</t>
  </si>
  <si>
    <t>Social problems series</t>
  </si>
  <si>
    <t>2005-06-07</t>
  </si>
  <si>
    <t>1992-02-26</t>
  </si>
  <si>
    <t>3943335119:eng</t>
  </si>
  <si>
    <t>163910</t>
  </si>
  <si>
    <t>991000932649702656</t>
  </si>
  <si>
    <t>2272260780002656</t>
  </si>
  <si>
    <t>9780877050247</t>
  </si>
  <si>
    <t>32285000975143</t>
  </si>
  <si>
    <t>893502945</t>
  </si>
  <si>
    <t>HV6545 .D6</t>
  </si>
  <si>
    <t>0                      HV 6545000D  6</t>
  </si>
  <si>
    <t>The social meanings of suicide / by Jack D. Douglas.</t>
  </si>
  <si>
    <t>Douglas, Jack D.</t>
  </si>
  <si>
    <t>Princeton. N.J. : Princeton University Press, 1967.</t>
  </si>
  <si>
    <t>2000-11-30</t>
  </si>
  <si>
    <t>1992-03-11</t>
  </si>
  <si>
    <t>441016:eng</t>
  </si>
  <si>
    <t>328277</t>
  </si>
  <si>
    <t>991002380649702656</t>
  </si>
  <si>
    <t>2271483110002656</t>
  </si>
  <si>
    <t>32285000996651</t>
  </si>
  <si>
    <t>893773548</t>
  </si>
  <si>
    <t>HV6545 .D812</t>
  </si>
  <si>
    <t>0                      HV 6545000D  812</t>
  </si>
  <si>
    <t>Suicide, a study in sociology / translated by John A. Spaulding and George Simpson. Edited, with an introd., by George Simpson.</t>
  </si>
  <si>
    <t>Durkheim, Émile, 1858-1917.</t>
  </si>
  <si>
    <t>Glencoe, Ill. : Free Press, [1951]</t>
  </si>
  <si>
    <t>1951</t>
  </si>
  <si>
    <t>1991-10-07</t>
  </si>
  <si>
    <t>3943353589:eng</t>
  </si>
  <si>
    <t>265046</t>
  </si>
  <si>
    <t>991001800339702656</t>
  </si>
  <si>
    <t>2265238620002656</t>
  </si>
  <si>
    <t>32285000763697</t>
  </si>
  <si>
    <t>893715736</t>
  </si>
  <si>
    <t>HV6545 .F34</t>
  </si>
  <si>
    <t>0                      HV 6545000F  34</t>
  </si>
  <si>
    <t>Theory of suicide / [by] Maurice L. Farber.</t>
  </si>
  <si>
    <t>Farber, Maurice L., 1912-</t>
  </si>
  <si>
    <t>New York : Funk &amp; Wagnalls, [1968, c1968]</t>
  </si>
  <si>
    <t>1998-11-30</t>
  </si>
  <si>
    <t>1992-01-20</t>
  </si>
  <si>
    <t>477165:eng</t>
  </si>
  <si>
    <t>166248</t>
  </si>
  <si>
    <t>991000941339702656</t>
  </si>
  <si>
    <t>2271294810002656</t>
  </si>
  <si>
    <t>32285000915768</t>
  </si>
  <si>
    <t>893327737</t>
  </si>
  <si>
    <t>HV6545 .G5</t>
  </si>
  <si>
    <t>0                      HV 6545000G  5</t>
  </si>
  <si>
    <t>Status integration and suicide : a sociological study / by Jack P. Gibbs and Walter T. Martin.</t>
  </si>
  <si>
    <t>Gibbs, Jack P.</t>
  </si>
  <si>
    <t>Eugene, Or. : University of Oregon Books, 1964.</t>
  </si>
  <si>
    <t>2009-11-02</t>
  </si>
  <si>
    <t>1391802:eng</t>
  </si>
  <si>
    <t>14611010</t>
  </si>
  <si>
    <t>991001913969702656</t>
  </si>
  <si>
    <t>2270643230002656</t>
  </si>
  <si>
    <t>32285000332923</t>
  </si>
  <si>
    <t>893522962</t>
  </si>
  <si>
    <t>HV6545 .G53</t>
  </si>
  <si>
    <t>0                      HV 6545000G  53</t>
  </si>
  <si>
    <t>Suicide / Jack P. Gibbs, editor.</t>
  </si>
  <si>
    <t>Gibbs, Jack P., compiler.</t>
  </si>
  <si>
    <t>New York : Harper &amp; Row, [1968]</t>
  </si>
  <si>
    <t>1997-11-08</t>
  </si>
  <si>
    <t>1472650:eng</t>
  </si>
  <si>
    <t>377257</t>
  </si>
  <si>
    <t>991002601449702656</t>
  </si>
  <si>
    <t>2260826110002656</t>
  </si>
  <si>
    <t>32285000332915</t>
  </si>
  <si>
    <t>893691779</t>
  </si>
  <si>
    <t>HV6545 .O74</t>
  </si>
  <si>
    <t>0                      HV 6545000O  74</t>
  </si>
  <si>
    <t>Organizing the community to prevent suicide / edited by Jack Zusman and David L. Davidson. Foreword by Harvey L. P. Resnik.</t>
  </si>
  <si>
    <t>Springfield, Ill. : Thomas, [1971]</t>
  </si>
  <si>
    <t>1994-10-04</t>
  </si>
  <si>
    <t>422739567:eng</t>
  </si>
  <si>
    <t>298347</t>
  </si>
  <si>
    <t>991002248809702656</t>
  </si>
  <si>
    <t>2264977000002656</t>
  </si>
  <si>
    <t>32285000975135</t>
  </si>
  <si>
    <t>893609636</t>
  </si>
  <si>
    <t>HV6545 .S35</t>
  </si>
  <si>
    <t>0                      HV 6545000S  35</t>
  </si>
  <si>
    <t>Clues to suicide / edited by Edwin S. Shneidman [and] Norman L. Farberow. Foreword by Karl A. Menninger.</t>
  </si>
  <si>
    <t>Shneidman, Edwin S., editor.</t>
  </si>
  <si>
    <t>New York : Blakiston Division, 1957.</t>
  </si>
  <si>
    <t>1957</t>
  </si>
  <si>
    <t>1992-03-17</t>
  </si>
  <si>
    <t>570315:eng</t>
  </si>
  <si>
    <t>328304</t>
  </si>
  <si>
    <t>991001767249702656</t>
  </si>
  <si>
    <t>2271479600002656</t>
  </si>
  <si>
    <t>32285001022754</t>
  </si>
  <si>
    <t>893797822</t>
  </si>
  <si>
    <t>HV6545 .S36</t>
  </si>
  <si>
    <t>0                      HV 6545000S  36</t>
  </si>
  <si>
    <t>Essays in self-destruction / Edwin S. Shneidman, editor.</t>
  </si>
  <si>
    <t>Shneidman, Edwin S.</t>
  </si>
  <si>
    <t>New York : Science House, [1967]</t>
  </si>
  <si>
    <t>2001-01-24</t>
  </si>
  <si>
    <t>355215412:eng</t>
  </si>
  <si>
    <t>265031</t>
  </si>
  <si>
    <t>991001767209702656</t>
  </si>
  <si>
    <t>2265228720002656</t>
  </si>
  <si>
    <t>32285001181725</t>
  </si>
  <si>
    <t>893250479</t>
  </si>
  <si>
    <t>HV6545 .S38</t>
  </si>
  <si>
    <t>0                      HV 6545000S  38</t>
  </si>
  <si>
    <t>The psychology of suicide / [by] Edwin S. Shneidman, Norman L. Farberow [and] Robert E. Litman.</t>
  </si>
  <si>
    <t>New York : Science House, 1970.</t>
  </si>
  <si>
    <t>2006-11-03</t>
  </si>
  <si>
    <t>583054:eng</t>
  </si>
  <si>
    <t>117281</t>
  </si>
  <si>
    <t>991000659999702656</t>
  </si>
  <si>
    <t>2261097600002656</t>
  </si>
  <si>
    <t>9780876680278</t>
  </si>
  <si>
    <t>32285000332907</t>
  </si>
  <si>
    <t>893702317</t>
  </si>
  <si>
    <t>HV6545 .S797 1989</t>
  </si>
  <si>
    <t>0                      HV 6545000S  797         1989</t>
  </si>
  <si>
    <t>Suicide across the life span : premature exits / Judith M. Stillion, Eugene E. McDowell, Jacque H. May.</t>
  </si>
  <si>
    <t>Stillion, Judith M., 1937-</t>
  </si>
  <si>
    <t>New York : Hemisphere Pub. Corp., c1989.</t>
  </si>
  <si>
    <t>Series in death education, aging, and health care, 0275-3510</t>
  </si>
  <si>
    <t>1990-07-26</t>
  </si>
  <si>
    <t>353648958:eng</t>
  </si>
  <si>
    <t>19554386</t>
  </si>
  <si>
    <t>991001472699702656</t>
  </si>
  <si>
    <t>2271095860002656</t>
  </si>
  <si>
    <t>9780891169512</t>
  </si>
  <si>
    <t>32285000240746</t>
  </si>
  <si>
    <t>893321988</t>
  </si>
  <si>
    <t>HV6545 .S83</t>
  </si>
  <si>
    <t>0                      HV 6545000S  83</t>
  </si>
  <si>
    <t>Suicide in different cultures / edited by Norman L. Farberow.</t>
  </si>
  <si>
    <t>Baltimore : University Park Press, [1975]</t>
  </si>
  <si>
    <t>2467834:eng</t>
  </si>
  <si>
    <t>1659668</t>
  </si>
  <si>
    <t>991001800419702656</t>
  </si>
  <si>
    <t>2256727540002656</t>
  </si>
  <si>
    <t>9780839108436</t>
  </si>
  <si>
    <t>32285000332899</t>
  </si>
  <si>
    <t>893709556</t>
  </si>
  <si>
    <t>HV6545 .S844</t>
  </si>
  <si>
    <t>0                      HV 6545000S  844</t>
  </si>
  <si>
    <t>The Suicide syndrome / edited by Richard Farmer and Steven Hirsch.</t>
  </si>
  <si>
    <t>London : Croom Helm, c1980.</t>
  </si>
  <si>
    <t>1999-11-10</t>
  </si>
  <si>
    <t>510776:eng</t>
  </si>
  <si>
    <t>6962727</t>
  </si>
  <si>
    <t>991005066209702656</t>
  </si>
  <si>
    <t>2255801150002656</t>
  </si>
  <si>
    <t>9780856648687</t>
  </si>
  <si>
    <t>32285000226323</t>
  </si>
  <si>
    <t>893443341</t>
  </si>
  <si>
    <t>HV6545.2 .E58 1994</t>
  </si>
  <si>
    <t>0                      HV 6545200E  58          1994</t>
  </si>
  <si>
    <t>Elder suicide : research, theory, and treatment / John L. McIntosh ... [et al.].</t>
  </si>
  <si>
    <t>Washington, DC : American Psychological Association, c1994.</t>
  </si>
  <si>
    <t>2008-12-01</t>
  </si>
  <si>
    <t>1078958483:eng</t>
  </si>
  <si>
    <t>29909820</t>
  </si>
  <si>
    <t>991002305949702656</t>
  </si>
  <si>
    <t>2259936120002656</t>
  </si>
  <si>
    <t>9781557982407</t>
  </si>
  <si>
    <t>32285002158961</t>
  </si>
  <si>
    <t>893427458</t>
  </si>
  <si>
    <t>HV6545.4 .D43 1994</t>
  </si>
  <si>
    <t>0                      HV 6545400D  43          1994</t>
  </si>
  <si>
    <t>Death by denial : studies of suicide in gay and lesbian teenagers / Gary Remafedi, editor.</t>
  </si>
  <si>
    <t>Boston, Mass. : Alyson Publications, 1994.</t>
  </si>
  <si>
    <t>32909892:eng</t>
  </si>
  <si>
    <t>30725937</t>
  </si>
  <si>
    <t>991002362209702656</t>
  </si>
  <si>
    <t>2266733930002656</t>
  </si>
  <si>
    <t>9781555832605</t>
  </si>
  <si>
    <t>32285002319894</t>
  </si>
  <si>
    <t>893341341</t>
  </si>
  <si>
    <t>HV6545.8 .S85 1991</t>
  </si>
  <si>
    <t>0                      HV 6545800S  85          1991</t>
  </si>
  <si>
    <t>Suicide prevention in schools / edited by Antoon A. Leenaars and Susanne Wenckstern.</t>
  </si>
  <si>
    <t>New York : Hemisphere, c1991.</t>
  </si>
  <si>
    <t>2005-08-24</t>
  </si>
  <si>
    <t>355610100:eng</t>
  </si>
  <si>
    <t>21520842</t>
  </si>
  <si>
    <t>991001699099702656</t>
  </si>
  <si>
    <t>2257373240002656</t>
  </si>
  <si>
    <t>9781560320814</t>
  </si>
  <si>
    <t>32285000818947</t>
  </si>
  <si>
    <t>893797750</t>
  </si>
  <si>
    <t>HV6546 .B46 1991</t>
  </si>
  <si>
    <t>0                      HV 6546000B  46          1991</t>
  </si>
  <si>
    <t>Adolescent suicide : assessment and intervention / Alan L. Berman and David A. Jobes.</t>
  </si>
  <si>
    <t>Berman, Alan L. (Alan Lee), 1943-</t>
  </si>
  <si>
    <t>Washington, D.C. : American Psychological Association, c1991.</t>
  </si>
  <si>
    <t>2008-06-22</t>
  </si>
  <si>
    <t>1991-08-06</t>
  </si>
  <si>
    <t>2063697:eng</t>
  </si>
  <si>
    <t>23144805</t>
  </si>
  <si>
    <t>991001843729702656</t>
  </si>
  <si>
    <t>2266180610002656</t>
  </si>
  <si>
    <t>9781557981141</t>
  </si>
  <si>
    <t>32285000664937</t>
  </si>
  <si>
    <t>893866525</t>
  </si>
  <si>
    <t>HV6546 .C87 1987</t>
  </si>
  <si>
    <t>0                      HV 6546000C  87          1987</t>
  </si>
  <si>
    <t>Adolescent suicidal behavior / David K. Curran.</t>
  </si>
  <si>
    <t>Curran, David K., 1951-</t>
  </si>
  <si>
    <t>Washington : Hemisphere Pub. Corp., c1987.</t>
  </si>
  <si>
    <t>Series in death education, aging, and health care</t>
  </si>
  <si>
    <t>1990-04-25</t>
  </si>
  <si>
    <t>2864077:eng</t>
  </si>
  <si>
    <t>15489742</t>
  </si>
  <si>
    <t>991001029459702656</t>
  </si>
  <si>
    <t>2272456020002656</t>
  </si>
  <si>
    <t>9780891166184</t>
  </si>
  <si>
    <t>32285000133180</t>
  </si>
  <si>
    <t>893626542</t>
  </si>
  <si>
    <t>HV6546 .D39 1983</t>
  </si>
  <si>
    <t>0                      HV 6546000D  39          1983</t>
  </si>
  <si>
    <t>Suicidal adolescents / by Patricia A. Davis ; with a foreword by Charles Neuringer.</t>
  </si>
  <si>
    <t>Davis, Patricia A.</t>
  </si>
  <si>
    <t>Springfield, Ill., U.S.A. : C.C. Thomas, c1983.</t>
  </si>
  <si>
    <t>2006-07-21</t>
  </si>
  <si>
    <t>1992-02-24</t>
  </si>
  <si>
    <t>43193237:eng</t>
  </si>
  <si>
    <t>9622431</t>
  </si>
  <si>
    <t>991000228499702656</t>
  </si>
  <si>
    <t>2269435460002656</t>
  </si>
  <si>
    <t>9780398048662</t>
  </si>
  <si>
    <t>32285000974872</t>
  </si>
  <si>
    <t>893790357</t>
  </si>
  <si>
    <t>HV6546 .H352 1974</t>
  </si>
  <si>
    <t>0                      HV 6546000H  352         1974</t>
  </si>
  <si>
    <t>Adolescent suicide / André Haim ; translated by A. M. Sheridan Smith.</t>
  </si>
  <si>
    <t>Haim, André, 1924-1969.</t>
  </si>
  <si>
    <t>New York : International Universities Press, c1974.</t>
  </si>
  <si>
    <t>489143:eng</t>
  </si>
  <si>
    <t>1208808</t>
  </si>
  <si>
    <t>991003621449702656</t>
  </si>
  <si>
    <t>2269134840002656</t>
  </si>
  <si>
    <t>9780823600908</t>
  </si>
  <si>
    <t>32285000133198</t>
  </si>
  <si>
    <t>893422762</t>
  </si>
  <si>
    <t>HV6546 .H39 1986</t>
  </si>
  <si>
    <t>0                      HV 6546000H  39          1986</t>
  </si>
  <si>
    <t>Suicide and attempted suicide among children and adolescents / by Keith Hawton.</t>
  </si>
  <si>
    <t>Hawton, Keith, 1942-</t>
  </si>
  <si>
    <t>Beverly Hills : Sage Publications, c1986.</t>
  </si>
  <si>
    <t>Developmental clinical psychology and psychiatry series ; v. 5</t>
  </si>
  <si>
    <t>4904162:eng</t>
  </si>
  <si>
    <t>12262030</t>
  </si>
  <si>
    <t>991000662139702656</t>
  </si>
  <si>
    <t>2270692340002656</t>
  </si>
  <si>
    <t>9780803925236</t>
  </si>
  <si>
    <t>32285000133206</t>
  </si>
  <si>
    <t>893528273</t>
  </si>
  <si>
    <t>HV6546 .H46 1987</t>
  </si>
  <si>
    <t>0                      HV 6546000H  46          1987</t>
  </si>
  <si>
    <t>A time to listen : preventing youth suicide / by Patricia Hermes.</t>
  </si>
  <si>
    <t>Hermes, Patricia.</t>
  </si>
  <si>
    <t>San Diego : Harcourt Brace Jovanovich, c1987.</t>
  </si>
  <si>
    <t>1996-08-01</t>
  </si>
  <si>
    <t>5164589354:eng</t>
  </si>
  <si>
    <t>15792196</t>
  </si>
  <si>
    <t>991001064159702656</t>
  </si>
  <si>
    <t>2261764370002656</t>
  </si>
  <si>
    <t>9780152881962</t>
  </si>
  <si>
    <t>32285002208980</t>
  </si>
  <si>
    <t>893596155</t>
  </si>
  <si>
    <t>HV6546 .H87 1984</t>
  </si>
  <si>
    <t>0                      HV 6546000H  87          1984</t>
  </si>
  <si>
    <t>Suicide in children and adolescents / by Syed Arshad Husain and Trish Vandiver.</t>
  </si>
  <si>
    <t>Husain, Syed Arshad.</t>
  </si>
  <si>
    <t>New York : SP Medical &amp; Scientific Books, c1984.</t>
  </si>
  <si>
    <t>Child behavior and development, 0193-7421</t>
  </si>
  <si>
    <t>2004-01-15</t>
  </si>
  <si>
    <t>5009434:eng</t>
  </si>
  <si>
    <t>9758662</t>
  </si>
  <si>
    <t>991000251939702656</t>
  </si>
  <si>
    <t>2257005000002656</t>
  </si>
  <si>
    <t>9780893351908</t>
  </si>
  <si>
    <t>32285000183599</t>
  </si>
  <si>
    <t>893496083</t>
  </si>
  <si>
    <t>HV6546 .R57 1991</t>
  </si>
  <si>
    <t>0                      HV 6546000R  57          1991</t>
  </si>
  <si>
    <t>Risks [sic] factors for youth suicide / edited by Lucy Davidson, Markku Linnoila.</t>
  </si>
  <si>
    <t>New York : Hemisphere Pub. Corp., c1991.</t>
  </si>
  <si>
    <t>355591596:eng</t>
  </si>
  <si>
    <t>21524235</t>
  </si>
  <si>
    <t>991001701629702656</t>
  </si>
  <si>
    <t>2257120850002656</t>
  </si>
  <si>
    <t>9781560321385</t>
  </si>
  <si>
    <t>32285000512474</t>
  </si>
  <si>
    <t>893439336</t>
  </si>
  <si>
    <t>HV6546 .R86 2004</t>
  </si>
  <si>
    <t>0                      HV 6546000R  86          2004</t>
  </si>
  <si>
    <t>The burn journals / Brent Runyon.</t>
  </si>
  <si>
    <t>Runyon, Brent.</t>
  </si>
  <si>
    <t>New York : Alfred A. Knopf, c2004.</t>
  </si>
  <si>
    <t>2005-06-22</t>
  </si>
  <si>
    <t>13651528:eng</t>
  </si>
  <si>
    <t>54767355</t>
  </si>
  <si>
    <t>991004584379702656</t>
  </si>
  <si>
    <t>2271252930002656</t>
  </si>
  <si>
    <t>9780375826214</t>
  </si>
  <si>
    <t>32285005093918</t>
  </si>
  <si>
    <t>893337892</t>
  </si>
  <si>
    <t>HV6546 .S832 1986</t>
  </si>
  <si>
    <t>0                      HV 6546000S  832         1986</t>
  </si>
  <si>
    <t>Suicide and depression among adolescents and young adults / edited by Gerald L. Klerman.</t>
  </si>
  <si>
    <t>Washington, D.C. : American Psychiatric Press, c1986.</t>
  </si>
  <si>
    <t>498292876:eng</t>
  </si>
  <si>
    <t>13126339</t>
  </si>
  <si>
    <t>991000787959702656</t>
  </si>
  <si>
    <t>2257805050002656</t>
  </si>
  <si>
    <t>9780880480499</t>
  </si>
  <si>
    <t>32285000183607</t>
  </si>
  <si>
    <t>893714904</t>
  </si>
  <si>
    <t>HV6546 .V54 1989</t>
  </si>
  <si>
    <t>0                      HV 6546000V  54          1989</t>
  </si>
  <si>
    <t>Student suicide : a guide for intervention / by John A. Vidal.</t>
  </si>
  <si>
    <t>Vidal, John A.</t>
  </si>
  <si>
    <t>Washington, D.C. : National Education Association, c1989.</t>
  </si>
  <si>
    <t>427146967:eng</t>
  </si>
  <si>
    <t>20015050</t>
  </si>
  <si>
    <t>991001529139702656</t>
  </si>
  <si>
    <t>2264259380002656</t>
  </si>
  <si>
    <t>9780810602441</t>
  </si>
  <si>
    <t>32285000974864</t>
  </si>
  <si>
    <t>893256297</t>
  </si>
  <si>
    <t>HV6546 .Y68 1985</t>
  </si>
  <si>
    <t>0                      HV 6546000Y  68          1985</t>
  </si>
  <si>
    <t>Youth suicide / Michael L. Peck, Norman L. Farberow, Robert E. Litman, editors ; foreword by Herbert Pardes.</t>
  </si>
  <si>
    <t>New York : Springer, c1985.</t>
  </si>
  <si>
    <t>The Springer series on death and suicide ; v. 6</t>
  </si>
  <si>
    <t>355349805:eng</t>
  </si>
  <si>
    <t>11624087</t>
  </si>
  <si>
    <t>991000568509702656</t>
  </si>
  <si>
    <t>2264181680002656</t>
  </si>
  <si>
    <t>9780826144805</t>
  </si>
  <si>
    <t>32285000183615</t>
  </si>
  <si>
    <t>893333590</t>
  </si>
  <si>
    <t>HV6548.U5 H44 1995</t>
  </si>
  <si>
    <t>0                      HV 6548000U  5                  H  44          1995</t>
  </si>
  <si>
    <t>Suicide in America / Herbert Hendin.</t>
  </si>
  <si>
    <t>Hendin, Herbert.</t>
  </si>
  <si>
    <t>New York : W.W. Norton, [1995]</t>
  </si>
  <si>
    <t>New and expanded ed.</t>
  </si>
  <si>
    <t>2004-10-29</t>
  </si>
  <si>
    <t>900162:eng</t>
  </si>
  <si>
    <t>30594101</t>
  </si>
  <si>
    <t>991002349259702656</t>
  </si>
  <si>
    <t>2263822650002656</t>
  </si>
  <si>
    <t>32285002039245</t>
  </si>
  <si>
    <t>893886149</t>
  </si>
  <si>
    <t>HV6548.U5 L54 1991</t>
  </si>
  <si>
    <t>0                      HV 6548000U  5                  L  54          1991</t>
  </si>
  <si>
    <t>Life span perspectives of suicide : time-lines in the suicide process / edited by Antoon A. Leenaars.</t>
  </si>
  <si>
    <t>New York : Plenum Press, c1991.</t>
  </si>
  <si>
    <t>836735391:eng</t>
  </si>
  <si>
    <t>22508288</t>
  </si>
  <si>
    <t>991001786989702656</t>
  </si>
  <si>
    <t>2272004970002656</t>
  </si>
  <si>
    <t>9780306436208</t>
  </si>
  <si>
    <t>32285000937168</t>
  </si>
  <si>
    <t>893709542</t>
  </si>
  <si>
    <t>HV6548.U5 S76 1999</t>
  </si>
  <si>
    <t>0                      HV 6548000U  5                  S  76          1999</t>
  </si>
  <si>
    <t>Suicide and attempted suicide : methods and consequences / Geo Stone.</t>
  </si>
  <si>
    <t>Stone, Geo.</t>
  </si>
  <si>
    <t>New York : Carroll &amp; Graf, 1999.</t>
  </si>
  <si>
    <t>2008-04-09</t>
  </si>
  <si>
    <t>1999-04-13</t>
  </si>
  <si>
    <t>601995:eng</t>
  </si>
  <si>
    <t>37260884</t>
  </si>
  <si>
    <t>991002829949702656</t>
  </si>
  <si>
    <t>2271455480002656</t>
  </si>
  <si>
    <t>9780786704927</t>
  </si>
  <si>
    <t>32285003552139</t>
  </si>
  <si>
    <t>893498594</t>
  </si>
  <si>
    <t>HV6553 .E48 2008</t>
  </si>
  <si>
    <t>0                      HV 6553000E  48          2008</t>
  </si>
  <si>
    <t>Molecules of murder : criminal molecules and classic cases / John Emsley.</t>
  </si>
  <si>
    <t>Emsley, John.</t>
  </si>
  <si>
    <t>Cambridge, UK : Royal Society of Chemistry, c2008.</t>
  </si>
  <si>
    <t>2010-03-01</t>
  </si>
  <si>
    <t>866263663:eng</t>
  </si>
  <si>
    <t>295033355</t>
  </si>
  <si>
    <t>991005363329702656</t>
  </si>
  <si>
    <t>2271790540002656</t>
  </si>
  <si>
    <t>9780854049653</t>
  </si>
  <si>
    <t>32285005575815</t>
  </si>
  <si>
    <t>893890107</t>
  </si>
  <si>
    <t>HV6558 .B87</t>
  </si>
  <si>
    <t>0                      HV 6558000B  87</t>
  </si>
  <si>
    <t>Rape : victims of crisis / Ann Wolbert Burgess, Lynda Lytle Holmstrom.</t>
  </si>
  <si>
    <t>Burgess, Ann Wolbert.</t>
  </si>
  <si>
    <t>Bowie, Md. : R. J. Brady Co., [1974]</t>
  </si>
  <si>
    <t>1998-07-05</t>
  </si>
  <si>
    <t>1999-03-07</t>
  </si>
  <si>
    <t>294125454:eng</t>
  </si>
  <si>
    <t>1129972</t>
  </si>
  <si>
    <t>991001806319702656</t>
  </si>
  <si>
    <t>2272426050002656</t>
  </si>
  <si>
    <t>9780876180297</t>
  </si>
  <si>
    <t>32285000847508</t>
  </si>
  <si>
    <t>893426887</t>
  </si>
  <si>
    <t>HV6558 .G55 1994</t>
  </si>
  <si>
    <t>0                      HV 6558000G  55          1994</t>
  </si>
  <si>
    <t>Rape, incest, and child sexual abuse : consequences and recovery / Pat Gilmartin.</t>
  </si>
  <si>
    <t>Gilmartin, Pat, 1950-</t>
  </si>
  <si>
    <t>New York : Garland Publishing, 1994.</t>
  </si>
  <si>
    <t>Garland library of sociology ; v. 27</t>
  </si>
  <si>
    <t>2008-11-11</t>
  </si>
  <si>
    <t>1995-01-06</t>
  </si>
  <si>
    <t>836919864:eng</t>
  </si>
  <si>
    <t>28966639</t>
  </si>
  <si>
    <t>991002247029702656</t>
  </si>
  <si>
    <t>2257263660002656</t>
  </si>
  <si>
    <t>9780815313267</t>
  </si>
  <si>
    <t>32285001991065</t>
  </si>
  <si>
    <t>893886020</t>
  </si>
  <si>
    <t>HV6558 .G76</t>
  </si>
  <si>
    <t>0                      HV 6558000G  76</t>
  </si>
  <si>
    <t>Men who rape : the psychology of the offender / A. Nicholas Groth, with H. Jean Birnbaum.</t>
  </si>
  <si>
    <t>Groth, A. Nicholas.</t>
  </si>
  <si>
    <t>New York : Plenum Press, c1979.</t>
  </si>
  <si>
    <t>2010-01-19</t>
  </si>
  <si>
    <t>437254:eng</t>
  </si>
  <si>
    <t>5196750</t>
  </si>
  <si>
    <t>991004798249702656</t>
  </si>
  <si>
    <t>2258607360002656</t>
  </si>
  <si>
    <t>9780306402685</t>
  </si>
  <si>
    <t>32285000895689</t>
  </si>
  <si>
    <t>893430505</t>
  </si>
  <si>
    <t>HV6558 .H47</t>
  </si>
  <si>
    <t>0                      HV 6558000H  47</t>
  </si>
  <si>
    <t>The rape victim : a project of the Committee on Women of the American Psychiatric Association ... / by Elaine Hilberman.</t>
  </si>
  <si>
    <t>Carmen, Elaine Hilberman, 1939-</t>
  </si>
  <si>
    <t>New York : Basic Books, c1976.</t>
  </si>
  <si>
    <t>2001-03-14</t>
  </si>
  <si>
    <t>2260965872:eng</t>
  </si>
  <si>
    <t>2553399</t>
  </si>
  <si>
    <t>991004161699702656</t>
  </si>
  <si>
    <t>2255261080002656</t>
  </si>
  <si>
    <t>9780465068302</t>
  </si>
  <si>
    <t>32285000332881</t>
  </si>
  <si>
    <t>893624419</t>
  </si>
  <si>
    <t>HV6558 .S27 1975</t>
  </si>
  <si>
    <t>0                      HV 6558000S  27          1975</t>
  </si>
  <si>
    <t>Rape victimology / edited by LeRoy G. Schultz.</t>
  </si>
  <si>
    <t>Schultz, LeRoy G., compiler.</t>
  </si>
  <si>
    <t>Springfield, Ill. : Thomas, [1974, c1975]</t>
  </si>
  <si>
    <t>471555:eng</t>
  </si>
  <si>
    <t>898092</t>
  </si>
  <si>
    <t>991003362429702656</t>
  </si>
  <si>
    <t>2259444680002656</t>
  </si>
  <si>
    <t>9780398031831</t>
  </si>
  <si>
    <t>32285000847516</t>
  </si>
  <si>
    <t>893705157</t>
  </si>
  <si>
    <t>HV6558 .V56 1985</t>
  </si>
  <si>
    <t>0                      HV 6558000V  56          1985</t>
  </si>
  <si>
    <t>Violence against women : a critique of the sociobiology of rape / edited by Suzanne R. Sunday and Ethel Tobach.</t>
  </si>
  <si>
    <t>New York : Gordian Press, 1985.</t>
  </si>
  <si>
    <t>A Genes and gender monograph</t>
  </si>
  <si>
    <t>865283779:eng</t>
  </si>
  <si>
    <t>12235945</t>
  </si>
  <si>
    <t>991000659259702656</t>
  </si>
  <si>
    <t>2261628340002656</t>
  </si>
  <si>
    <t>9780877522317</t>
  </si>
  <si>
    <t>32285000121888</t>
  </si>
  <si>
    <t>893897098</t>
  </si>
  <si>
    <t>HV6561 .B34 1989</t>
  </si>
  <si>
    <t>0                      HV 6561000B  34          1989</t>
  </si>
  <si>
    <t>Four theories of rape in American society : a state-level analysis / Larry Baron and Murray A. Straus.</t>
  </si>
  <si>
    <t>Baron, Larry.</t>
  </si>
  <si>
    <t>New Haven : Yale University Press, c1989.</t>
  </si>
  <si>
    <t>2010-12-09</t>
  </si>
  <si>
    <t>1990-06-12</t>
  </si>
  <si>
    <t>21206398:eng</t>
  </si>
  <si>
    <t>19457085</t>
  </si>
  <si>
    <t>991001462789702656</t>
  </si>
  <si>
    <t>2267241750002656</t>
  </si>
  <si>
    <t>9780300045192</t>
  </si>
  <si>
    <t>32285000175603</t>
  </si>
  <si>
    <t>893703050</t>
  </si>
  <si>
    <t>HV6561 .B49 2000</t>
  </si>
  <si>
    <t>0                      HV 6561000B  49          2000</t>
  </si>
  <si>
    <t>Rape on the public agenda : feminism and the politics of sexual assault / Maria Bevacqua.</t>
  </si>
  <si>
    <t>Bevacqua, Maria, 1968-</t>
  </si>
  <si>
    <t>Boston : Northeastern University Press, c2000.</t>
  </si>
  <si>
    <t>2004-04-18</t>
  </si>
  <si>
    <t>196880140:eng</t>
  </si>
  <si>
    <t>43287050</t>
  </si>
  <si>
    <t>991003618009702656</t>
  </si>
  <si>
    <t>2268600850002656</t>
  </si>
  <si>
    <t>9781555534462</t>
  </si>
  <si>
    <t>32285004394366</t>
  </si>
  <si>
    <t>893805988</t>
  </si>
  <si>
    <t>HV6561 .B65 1993</t>
  </si>
  <si>
    <t>0                      HV 6561000B  65          1993</t>
  </si>
  <si>
    <t>Sexual assault on campus : the problem and the solution / Carol Bohmer, Andrea Parrot.</t>
  </si>
  <si>
    <t>Bohmer, Carol.</t>
  </si>
  <si>
    <t>New York : Lexington Books ; Toronto : Maxwell Macmillan Canada ; New York : Maxwell Macmillan International, c1993.</t>
  </si>
  <si>
    <t>2007-09-13</t>
  </si>
  <si>
    <t>1996-12-15</t>
  </si>
  <si>
    <t>317262497:eng</t>
  </si>
  <si>
    <t>27677839</t>
  </si>
  <si>
    <t>991002147269702656</t>
  </si>
  <si>
    <t>2262325170002656</t>
  </si>
  <si>
    <t>9780029037157</t>
  </si>
  <si>
    <t>32285002397015</t>
  </si>
  <si>
    <t>893879551</t>
  </si>
  <si>
    <t>HV6561 .B68 1989</t>
  </si>
  <si>
    <t>0                      HV 6561000B  68          1989</t>
  </si>
  <si>
    <t>Defining rape / Linda Brookover Bourque.</t>
  </si>
  <si>
    <t>Bourque, Linda Brookover, 1941-</t>
  </si>
  <si>
    <t>Durham : Duke University Press, c1989.</t>
  </si>
  <si>
    <t>1990-01-02</t>
  </si>
  <si>
    <t>17386812:eng</t>
  </si>
  <si>
    <t>18558079</t>
  </si>
  <si>
    <t>991001365469702656</t>
  </si>
  <si>
    <t>2261981380002656</t>
  </si>
  <si>
    <t>9780822309017</t>
  </si>
  <si>
    <t>32285000019140</t>
  </si>
  <si>
    <t>893885247</t>
  </si>
  <si>
    <t>HV6561 .G67 1989</t>
  </si>
  <si>
    <t>0                      HV 6561000G  67          1989</t>
  </si>
  <si>
    <t>The female fear / Margaret T. Gordon, Stephanie Riger.</t>
  </si>
  <si>
    <t>Gordon, Margaret T., 1939-</t>
  </si>
  <si>
    <t>New York : Free Press ; London : Collier Macmillan, c1989.</t>
  </si>
  <si>
    <t>20826122:eng</t>
  </si>
  <si>
    <t>18191783</t>
  </si>
  <si>
    <t>991001317989702656</t>
  </si>
  <si>
    <t>2269005670002656</t>
  </si>
  <si>
    <t>9780029124901</t>
  </si>
  <si>
    <t>32285000056431</t>
  </si>
  <si>
    <t>893897701</t>
  </si>
  <si>
    <t>HV6561 .K67 1991</t>
  </si>
  <si>
    <t>0                      HV 6561000K  67          1991</t>
  </si>
  <si>
    <t>The rape victim : clinical and community interventions / Mary P. Koss, Mary R. Harvey.</t>
  </si>
  <si>
    <t>Koss, Mary P.</t>
  </si>
  <si>
    <t>Sage library of social research ; 185</t>
  </si>
  <si>
    <t>1991-11-04</t>
  </si>
  <si>
    <t>20712887:eng</t>
  </si>
  <si>
    <t>22984532</t>
  </si>
  <si>
    <t>991001830159702656</t>
  </si>
  <si>
    <t>2271643720002656</t>
  </si>
  <si>
    <t>9780803938953</t>
  </si>
  <si>
    <t>32285000729052</t>
  </si>
  <si>
    <t>893408396</t>
  </si>
  <si>
    <t>HV6561 .R37 1985</t>
  </si>
  <si>
    <t>0                      HV 6561000R  37          1985</t>
  </si>
  <si>
    <t>Rape and sexual assault : a research handbook / Ann Wolbert Burgess, editor.</t>
  </si>
  <si>
    <t>New York : Garland Pub., 1985.</t>
  </si>
  <si>
    <t>Garland reference library of social science ; vol. 203</t>
  </si>
  <si>
    <t>836679523:eng</t>
  </si>
  <si>
    <t>11210933</t>
  </si>
  <si>
    <t>991000505799702656</t>
  </si>
  <si>
    <t>2256521660002656</t>
  </si>
  <si>
    <t>9780824090494</t>
  </si>
  <si>
    <t>32285000183649</t>
  </si>
  <si>
    <t>893589505</t>
  </si>
  <si>
    <t>HV6561 .S25 1990</t>
  </si>
  <si>
    <t>0                      HV 6561000S  25          1990</t>
  </si>
  <si>
    <t>Fraternity gang rape : sex, brotherhood, and privilege on campus / Peggy Reeves Sanday.</t>
  </si>
  <si>
    <t>Sanday, Peggy Reeves.</t>
  </si>
  <si>
    <t>New York : New York University Press, c1990.</t>
  </si>
  <si>
    <t>2007-11-07</t>
  </si>
  <si>
    <t>1991-04-03</t>
  </si>
  <si>
    <t>23524218:eng</t>
  </si>
  <si>
    <t>21336501</t>
  </si>
  <si>
    <t>991001679699702656</t>
  </si>
  <si>
    <t>2263291880002656</t>
  </si>
  <si>
    <t>9780814779026</t>
  </si>
  <si>
    <t>32285000514934</t>
  </si>
  <si>
    <t>893256404</t>
  </si>
  <si>
    <t>HV6568.L67 M37 1994</t>
  </si>
  <si>
    <t>0                      HV 6568000L  67                 M  37          1994</t>
  </si>
  <si>
    <t>Confronting rape : the feminist anti-rape movement and the state / Nancy A. Matthews.</t>
  </si>
  <si>
    <t>Matthews, Nancy A., 1957-</t>
  </si>
  <si>
    <t>London ; New York : Routledge, 1994.</t>
  </si>
  <si>
    <t>The International library of sociology</t>
  </si>
  <si>
    <t>801325504:eng</t>
  </si>
  <si>
    <t>29597718</t>
  </si>
  <si>
    <t>991002283229702656</t>
  </si>
  <si>
    <t>2266486800002656</t>
  </si>
  <si>
    <t>9780415064910</t>
  </si>
  <si>
    <t>32285002102415</t>
  </si>
  <si>
    <t>893523418</t>
  </si>
  <si>
    <t>HV6568.P5 M23</t>
  </si>
  <si>
    <t>0                      HV 6568000P  5                  M  23</t>
  </si>
  <si>
    <t>The aftermath of rape / Thomas W. McCahill, Linda C. Meyer, Arthur M. Fischman.</t>
  </si>
  <si>
    <t>McCahill, Thomas W.</t>
  </si>
  <si>
    <t>Lexington, Mass. : Lexington Books, 1979.</t>
  </si>
  <si>
    <t>1999-11-15</t>
  </si>
  <si>
    <t>514910:eng</t>
  </si>
  <si>
    <t>5171992</t>
  </si>
  <si>
    <t>991004793359702656</t>
  </si>
  <si>
    <t>2259071630002656</t>
  </si>
  <si>
    <t>9780669030181</t>
  </si>
  <si>
    <t>32285000121938</t>
  </si>
  <si>
    <t>893436760</t>
  </si>
  <si>
    <t>HV6570.2 .T46 2009</t>
  </si>
  <si>
    <t>0                      HV 6570200T  46          2009</t>
  </si>
  <si>
    <t>Tempest in the temple : Jewish communities &amp; child sex scandals / edited by Amy Neustein ; foreword by Elliot Dorff ; preface by Jeremy Rosen ; epilogue by Dane S. Claussen.</t>
  </si>
  <si>
    <t>Waltham, Mass. : Brandeis University Press ; Hanover [N.H.] : Published by University Press of New England, c2009.</t>
  </si>
  <si>
    <t>Brandeis series in American Jewish history, culture, &amp; life</t>
  </si>
  <si>
    <t>140620585:eng</t>
  </si>
  <si>
    <t>236347753</t>
  </si>
  <si>
    <t>991005334699702656</t>
  </si>
  <si>
    <t>2267475330002656</t>
  </si>
  <si>
    <t>9781584656715</t>
  </si>
  <si>
    <t>32285005545156</t>
  </si>
  <si>
    <t>893254829</t>
  </si>
  <si>
    <t>HV6570.9 .P73 1994</t>
  </si>
  <si>
    <t>0                      HV 6570900P  73          1994</t>
  </si>
  <si>
    <t>Mondays are yellow, Sundays are grey / Ellen Prescott.</t>
  </si>
  <si>
    <t>Prescott, Ellen, 1954-</t>
  </si>
  <si>
    <t>Vancouver : Douglas &amp; McIntyre, c1994.</t>
  </si>
  <si>
    <t>2002-10-21</t>
  </si>
  <si>
    <t>2001-08-22</t>
  </si>
  <si>
    <t>41189819:eng</t>
  </si>
  <si>
    <t>29794163</t>
  </si>
  <si>
    <t>991003607929702656</t>
  </si>
  <si>
    <t>2257421860002656</t>
  </si>
  <si>
    <t>9781550541212</t>
  </si>
  <si>
    <t>32285004379607</t>
  </si>
  <si>
    <t>893611220</t>
  </si>
  <si>
    <t>HV6593.C2 A55 2009</t>
  </si>
  <si>
    <t>0                      HV 6593000C  2                  A  55          2009</t>
  </si>
  <si>
    <t>Creating human rights : how noncitizens made sex persecution matter to the world / Lisa S. Alfredson.</t>
  </si>
  <si>
    <t>Alfredson, Lisa S.</t>
  </si>
  <si>
    <t>Philadelphia : University of Pennsylvania Press, c2009.</t>
  </si>
  <si>
    <t>Pennsylvania studies in human rights</t>
  </si>
  <si>
    <t>269581834:eng</t>
  </si>
  <si>
    <t>229036116</t>
  </si>
  <si>
    <t>991005336119702656</t>
  </si>
  <si>
    <t>2267987070002656</t>
  </si>
  <si>
    <t>9780812241259</t>
  </si>
  <si>
    <t>32285005545990</t>
  </si>
  <si>
    <t>893808205</t>
  </si>
  <si>
    <t>HV6593.Z55 M33 2000</t>
  </si>
  <si>
    <t>0                      HV 6593000Z  55                 M  33          2000</t>
  </si>
  <si>
    <t>Black peril, white virtue : sexual crime in Southern Rhodesia, 1902-1935 / Jock McCulloch.</t>
  </si>
  <si>
    <t>McCulloch, Jock, 1945-</t>
  </si>
  <si>
    <t>Bloomington : Indiana University Press, 2000.</t>
  </si>
  <si>
    <t>2006-04-21</t>
  </si>
  <si>
    <t>44623320:eng</t>
  </si>
  <si>
    <t>42733839</t>
  </si>
  <si>
    <t>991004792179702656</t>
  </si>
  <si>
    <t>2258292100002656</t>
  </si>
  <si>
    <t>9780253337283</t>
  </si>
  <si>
    <t>32285005064778</t>
  </si>
  <si>
    <t>893424193</t>
  </si>
  <si>
    <t>HV6594 .D86 2002</t>
  </si>
  <si>
    <t>0                      HV 6594000D  86          2002</t>
  </si>
  <si>
    <t>Courting disaster : intimate stalking, culture, and criminal justice / Jennifer L. Dunn.</t>
  </si>
  <si>
    <t>Dunn, Jennifer L., 1957-</t>
  </si>
  <si>
    <t>New York : Aldine de Gruyter, c2002.</t>
  </si>
  <si>
    <t>2003-10-11</t>
  </si>
  <si>
    <t>2002-08-05</t>
  </si>
  <si>
    <t>800682991:eng</t>
  </si>
  <si>
    <t>48761373</t>
  </si>
  <si>
    <t>991003836319702656</t>
  </si>
  <si>
    <t>2257721820002656</t>
  </si>
  <si>
    <t>9780202306612</t>
  </si>
  <si>
    <t>32285004641758</t>
  </si>
  <si>
    <t>893435508</t>
  </si>
  <si>
    <t>HV6594 .S72 2002</t>
  </si>
  <si>
    <t>0                      HV 6594000S  72          2002</t>
  </si>
  <si>
    <t>Stalking and psychosexual obsession : psychological perspectives for prevention, policing and treatment / edited by Julian Boon and Lorraine Sheridan.</t>
  </si>
  <si>
    <t>Chichester ; New York : Wiley, c2002.</t>
  </si>
  <si>
    <t>Wiley series in the psychology of crime, policing, and law</t>
  </si>
  <si>
    <t>2004-09-27</t>
  </si>
  <si>
    <t>2004-03-01</t>
  </si>
  <si>
    <t>793224595:eng</t>
  </si>
  <si>
    <t>50339963</t>
  </si>
  <si>
    <t>991004238389702656</t>
  </si>
  <si>
    <t>2255919820002656</t>
  </si>
  <si>
    <t>9780471494584</t>
  </si>
  <si>
    <t>32285004891494</t>
  </si>
  <si>
    <t>893869467</t>
  </si>
  <si>
    <t>HV6603.L5 W3</t>
  </si>
  <si>
    <t>0                      HV 6603000L  5                  W  3</t>
  </si>
  <si>
    <t>Kidnap : the story of the Lindbergh case.</t>
  </si>
  <si>
    <t>Waller, George.</t>
  </si>
  <si>
    <t>New York : Dial Press, 1961.</t>
  </si>
  <si>
    <t>1993-12-08</t>
  </si>
  <si>
    <t>1391660:eng</t>
  </si>
  <si>
    <t>268328</t>
  </si>
  <si>
    <t>991002116219702656</t>
  </si>
  <si>
    <t>2270492730002656</t>
  </si>
  <si>
    <t>32285001806925</t>
  </si>
  <si>
    <t>893516916</t>
  </si>
  <si>
    <t>HV6603.S63 S63 2003</t>
  </si>
  <si>
    <t>0                      HV 6603000S  63                 S  63          2003</t>
  </si>
  <si>
    <t>Bringing Elizabeth home : a journey of faith and hope / Ed and Lois Smart with Laura Morton.</t>
  </si>
  <si>
    <t>Smart, Ed.</t>
  </si>
  <si>
    <t>New York : Doubleday, c2003.</t>
  </si>
  <si>
    <t>2003-12-08</t>
  </si>
  <si>
    <t>647368648:eng</t>
  </si>
  <si>
    <t>53221655</t>
  </si>
  <si>
    <t>991004201009702656</t>
  </si>
  <si>
    <t>2262369210002656</t>
  </si>
  <si>
    <t>9780385512145</t>
  </si>
  <si>
    <t>32285004845490</t>
  </si>
  <si>
    <t>893423501</t>
  </si>
  <si>
    <t>HV6604.C7 G3713 1997</t>
  </si>
  <si>
    <t>0                      HV 6604000C  7                  G  3713        1997</t>
  </si>
  <si>
    <t>News of a kidnapping / Gabriel García Márquez ; translated from the Spanish by Edith Grossman.</t>
  </si>
  <si>
    <t>García Márquez, Gabriel, 1927-2014.</t>
  </si>
  <si>
    <t>New York : Knopf, 1997.</t>
  </si>
  <si>
    <t>2006-01-29</t>
  </si>
  <si>
    <t>1997-06-23</t>
  </si>
  <si>
    <t>533214:eng</t>
  </si>
  <si>
    <t>36528149</t>
  </si>
  <si>
    <t>991002782289702656</t>
  </si>
  <si>
    <t>2262741240002656</t>
  </si>
  <si>
    <t>9780375400513</t>
  </si>
  <si>
    <t>32285002752946</t>
  </si>
  <si>
    <t>893604022</t>
  </si>
  <si>
    <t>HV6604.C72 G363 2003</t>
  </si>
  <si>
    <t>0                      HV 6604000C  72                 G  363         2003</t>
  </si>
  <si>
    <t>Our guerrillas, our sidewalks : a journey into the violence of Colombia / Herbert Braun.</t>
  </si>
  <si>
    <t>Braun, Herbert, 1948-</t>
  </si>
  <si>
    <t>2005-04-05</t>
  </si>
  <si>
    <t>740058:eng</t>
  </si>
  <si>
    <t>51271512</t>
  </si>
  <si>
    <t>991004487009702656</t>
  </si>
  <si>
    <t>2259620580002656</t>
  </si>
  <si>
    <t>9780742518599</t>
  </si>
  <si>
    <t>32285005047567</t>
  </si>
  <si>
    <t>893712658</t>
  </si>
  <si>
    <t>HV6625 .D38 2005</t>
  </si>
  <si>
    <t>0                      HV 6625000D  38          2005</t>
  </si>
  <si>
    <t>Accounts of innocence : sexual abuse, trauma, and the self / Joseph E. Davis.</t>
  </si>
  <si>
    <t>Davis, Joseph E.</t>
  </si>
  <si>
    <t>Chicago : University of Chicago Press, c2005.</t>
  </si>
  <si>
    <t>2005-09-12</t>
  </si>
  <si>
    <t>2005-06-27</t>
  </si>
  <si>
    <t>863011343:eng</t>
  </si>
  <si>
    <t>55131511</t>
  </si>
  <si>
    <t>991004589779702656</t>
  </si>
  <si>
    <t>2268521110002656</t>
  </si>
  <si>
    <t>9780226137803</t>
  </si>
  <si>
    <t>32285005083653</t>
  </si>
  <si>
    <t>893519821</t>
  </si>
  <si>
    <t>HV6626 .B89 1990</t>
  </si>
  <si>
    <t>0                      HV 6626000B  89          1990</t>
  </si>
  <si>
    <t>Domestic violence : the criminal justice response / by Eve S. Buzawa, Carl G. Buzawa.</t>
  </si>
  <si>
    <t>Buzawa, Eva Schlesinger.</t>
  </si>
  <si>
    <t>Studies in crime, law, and justice ; v. 6</t>
  </si>
  <si>
    <t>2004-12-06</t>
  </si>
  <si>
    <t>1991-06-06</t>
  </si>
  <si>
    <t>4922226337:eng</t>
  </si>
  <si>
    <t>21763155</t>
  </si>
  <si>
    <t>991001720509702656</t>
  </si>
  <si>
    <t>2255616380002656</t>
  </si>
  <si>
    <t>9780803935761</t>
  </si>
  <si>
    <t>32285000593540</t>
  </si>
  <si>
    <t>893433054</t>
  </si>
  <si>
    <t>HV6626 .D6 1979</t>
  </si>
  <si>
    <t>0                      HV 6626000D  6           1979</t>
  </si>
  <si>
    <t>Violence against wives : a case against the patriarchy / R. Emerson Dobash, Russell Dobash.</t>
  </si>
  <si>
    <t>Dobash, R. Emerson.</t>
  </si>
  <si>
    <t>1997-02-10</t>
  </si>
  <si>
    <t>3216731:eng</t>
  </si>
  <si>
    <t>5171855</t>
  </si>
  <si>
    <t>991004792849702656</t>
  </si>
  <si>
    <t>2259020590002656</t>
  </si>
  <si>
    <t>9780029073209</t>
  </si>
  <si>
    <t>32285000183672</t>
  </si>
  <si>
    <t>893500971</t>
  </si>
  <si>
    <t>HV6626 .H5718 2005</t>
  </si>
  <si>
    <t>0                      HV 6626000H  5718        2005</t>
  </si>
  <si>
    <t>Femmes sous emprise : les ressorts de la violence dans le couple / Marie-France Hirigoyen.</t>
  </si>
  <si>
    <t>Hirigoyen, Marie-France.</t>
  </si>
  <si>
    <t>Paris : Oh! Éditions, 2005.</t>
  </si>
  <si>
    <t>44025382:fre</t>
  </si>
  <si>
    <t>60665652</t>
  </si>
  <si>
    <t>991005393109702656</t>
  </si>
  <si>
    <t>2265225120002656</t>
  </si>
  <si>
    <t>9782266157582</t>
  </si>
  <si>
    <t>32285005588156</t>
  </si>
  <si>
    <t>893514651</t>
  </si>
  <si>
    <t>HV6626 .H63 1990</t>
  </si>
  <si>
    <t>0                      HV 6626000H  63          1990</t>
  </si>
  <si>
    <t>Battered women as survivors / Lee Ann Hoff.</t>
  </si>
  <si>
    <t>Hoff, Lee Ann.</t>
  </si>
  <si>
    <t>London ; New York : Routledge, 1990.</t>
  </si>
  <si>
    <t>22415917:eng</t>
  </si>
  <si>
    <t>20825128</t>
  </si>
  <si>
    <t>991001621509702656</t>
  </si>
  <si>
    <t>2260637420002656</t>
  </si>
  <si>
    <t>9780415043946</t>
  </si>
  <si>
    <t>32285000572668</t>
  </si>
  <si>
    <t>893608993</t>
  </si>
  <si>
    <t>HV6626 .O87 1997</t>
  </si>
  <si>
    <t>0                      HV 6626000O  87          1997</t>
  </si>
  <si>
    <t>Out of the darkness : contemporary perspectives on family violence / Glenda Kaufman Kantor, Jana L. Jasinski, editors.</t>
  </si>
  <si>
    <t>Thousand Oaks, Calif. : Sage Publications, c1997.</t>
  </si>
  <si>
    <t>1997-09-05</t>
  </si>
  <si>
    <t>836960995:eng</t>
  </si>
  <si>
    <t>36961093</t>
  </si>
  <si>
    <t>991002813929702656</t>
  </si>
  <si>
    <t>2259123220002656</t>
  </si>
  <si>
    <t>9780761907756</t>
  </si>
  <si>
    <t>32285003003745</t>
  </si>
  <si>
    <t>893880461</t>
  </si>
  <si>
    <t>HV6626 .P33</t>
  </si>
  <si>
    <t>0                      HV 6626000P  33</t>
  </si>
  <si>
    <t>Woman-battering : victims and their experiences / Mildred Daley Pagelow ; foreword by Del Martin.</t>
  </si>
  <si>
    <t>Pagelow, Mildred Daley.</t>
  </si>
  <si>
    <t>Beverly Hills : SAGE Publications, c1981.</t>
  </si>
  <si>
    <t>Sage library of social research ; 129</t>
  </si>
  <si>
    <t>836674922:eng</t>
  </si>
  <si>
    <t>7614467</t>
  </si>
  <si>
    <t>991005141179702656</t>
  </si>
  <si>
    <t>2264283060002656</t>
  </si>
  <si>
    <t>9780803916814</t>
  </si>
  <si>
    <t>32285000183680</t>
  </si>
  <si>
    <t>893344709</t>
  </si>
  <si>
    <t>HV6626 .P365 2007</t>
  </si>
  <si>
    <t>0                      HV 6626000P  365         2007</t>
  </si>
  <si>
    <t>Parenting by men who batter : new directions for assessment and intervention / edited by Jeffrey L. Edleson, Oliver J. Williams.</t>
  </si>
  <si>
    <t>Interpersonal violence</t>
  </si>
  <si>
    <t>2007-11-09</t>
  </si>
  <si>
    <t>1044433299:eng</t>
  </si>
  <si>
    <t>65978492</t>
  </si>
  <si>
    <t>991005061349702656</t>
  </si>
  <si>
    <t>2263305580002656</t>
  </si>
  <si>
    <t>9780195309034</t>
  </si>
  <si>
    <t>32285005284996</t>
  </si>
  <si>
    <t>893430774</t>
  </si>
  <si>
    <t>HV6626 .P45 1993</t>
  </si>
  <si>
    <t>0                      HV 6626000P  45          1993</t>
  </si>
  <si>
    <t>Education groups for men who batter : the Duluth model / Ellen Pence, Michael Paymar, with contributions by Tineke Ritmeester, Melanie Shepard.</t>
  </si>
  <si>
    <t>Pence, Ellen.</t>
  </si>
  <si>
    <t>2009-04-20</t>
  </si>
  <si>
    <t>803290419:eng</t>
  </si>
  <si>
    <t>26973873</t>
  </si>
  <si>
    <t>991004424349702656</t>
  </si>
  <si>
    <t>2255011130002656</t>
  </si>
  <si>
    <t>9780826179906</t>
  </si>
  <si>
    <t>32285005015200</t>
  </si>
  <si>
    <t>893535985</t>
  </si>
  <si>
    <t>HV6626 .P58 1977</t>
  </si>
  <si>
    <t>0                      HV 6626000P  58          1977</t>
  </si>
  <si>
    <t>Scream quietly or the neighbors will hear / Erin Pizzey.</t>
  </si>
  <si>
    <t>Pizzey, Erin, 1939-</t>
  </si>
  <si>
    <t>Short Hills, N.J. : R. Enslow Publishers, c1977.</t>
  </si>
  <si>
    <t>2133904:eng</t>
  </si>
  <si>
    <t>3002278</t>
  </si>
  <si>
    <t>991004313499702656</t>
  </si>
  <si>
    <t>2272222270002656</t>
  </si>
  <si>
    <t>9780894900051</t>
  </si>
  <si>
    <t>32285000877984</t>
  </si>
  <si>
    <t>893442472</t>
  </si>
  <si>
    <t>HV6626 .W347 1989</t>
  </si>
  <si>
    <t>0                      HV 6626000W  347         1989</t>
  </si>
  <si>
    <t>Terrifying love : why battered women kill and how society responds / Lenore E. Walker.</t>
  </si>
  <si>
    <t>Walker, Lenore E.</t>
  </si>
  <si>
    <t>New York : Harper &amp; Row, c1989.</t>
  </si>
  <si>
    <t>1990-11-27</t>
  </si>
  <si>
    <t>21355744:eng</t>
  </si>
  <si>
    <t>19814520</t>
  </si>
  <si>
    <t>991001503009702656</t>
  </si>
  <si>
    <t>2268038220002656</t>
  </si>
  <si>
    <t>9780060161606</t>
  </si>
  <si>
    <t>32285000357250</t>
  </si>
  <si>
    <t>893684366</t>
  </si>
  <si>
    <t>HV6626 .W35 1990</t>
  </si>
  <si>
    <t>0                      HV 6626000W  35          1990</t>
  </si>
  <si>
    <t>Family violence and the women's movement : the conceptual politics of struggle / Gillian A. Walker.</t>
  </si>
  <si>
    <t>Walker, Gillian.</t>
  </si>
  <si>
    <t>Toronto : University of Toronto Press, c1990.</t>
  </si>
  <si>
    <t>2001-11-28</t>
  </si>
  <si>
    <t>889591186:eng</t>
  </si>
  <si>
    <t>27816008</t>
  </si>
  <si>
    <t>991001715349702656</t>
  </si>
  <si>
    <t>2263686680002656</t>
  </si>
  <si>
    <t>9780802027405</t>
  </si>
  <si>
    <t>32285000512193</t>
  </si>
  <si>
    <t>893516425</t>
  </si>
  <si>
    <t>HV6626 .W44 2000</t>
  </si>
  <si>
    <t>0                      HV 6626000W  44          2000</t>
  </si>
  <si>
    <t>Domestic violence 2000 : an integrated skills program for men : group leader's manual / David B. Wexler.</t>
  </si>
  <si>
    <t>Wexler, David B., 1953-</t>
  </si>
  <si>
    <t>New York : W.W. Norton, 1999.</t>
  </si>
  <si>
    <t>2003-12-06</t>
  </si>
  <si>
    <t>2000-02-10</t>
  </si>
  <si>
    <t>225743414:eng</t>
  </si>
  <si>
    <t>41347095</t>
  </si>
  <si>
    <t>991003026449702656</t>
  </si>
  <si>
    <t>2262912200002656</t>
  </si>
  <si>
    <t>9780393703146</t>
  </si>
  <si>
    <t>32285003647459</t>
  </si>
  <si>
    <t>893422093</t>
  </si>
  <si>
    <t>HV6626.2 .B254 2004</t>
  </si>
  <si>
    <t>0                      HV 6626200B  254         2004</t>
  </si>
  <si>
    <t>When dad hurts mom : helping your children heal the wounds of witnessing abuse / by Lundy Bancroft.</t>
  </si>
  <si>
    <t>Bancroft, Lundy.</t>
  </si>
  <si>
    <t>New York : G.P. Putnam's Sons, c2004.</t>
  </si>
  <si>
    <t>2004-11-22</t>
  </si>
  <si>
    <t>1028031502:eng</t>
  </si>
  <si>
    <t>53330882</t>
  </si>
  <si>
    <t>991004406369702656</t>
  </si>
  <si>
    <t>2255703900002656</t>
  </si>
  <si>
    <t>9780399151101</t>
  </si>
  <si>
    <t>32285005012447</t>
  </si>
  <si>
    <t>893526061</t>
  </si>
  <si>
    <t>HV6626.2 .B743 2004</t>
  </si>
  <si>
    <t>0                      HV 6626200B  743         2004</t>
  </si>
  <si>
    <t>Breaking the silence in social work education : domestic violence modules for foundation courses / edited by Fran S. Danis and Lettie L. Lockhart.</t>
  </si>
  <si>
    <t>Alexandria VA : Council on Social Work Education, c2004.</t>
  </si>
  <si>
    <t>2005-06-08</t>
  </si>
  <si>
    <t>866851015:eng</t>
  </si>
  <si>
    <t>55591785</t>
  </si>
  <si>
    <t>991004470179702656</t>
  </si>
  <si>
    <t>2272292590002656</t>
  </si>
  <si>
    <t>9780872931107</t>
  </si>
  <si>
    <t>32285005093348</t>
  </si>
  <si>
    <t>893350025</t>
  </si>
  <si>
    <t>HV6626.2 .B85 2004</t>
  </si>
  <si>
    <t>0                      HV 6626200B  85          2004</t>
  </si>
  <si>
    <t>In the adopted land : abused immigrant women and the criminal justice system / Hoan N. Bui ; foreword by Merry Morash.</t>
  </si>
  <si>
    <t>Bui, Hoan N., 1950-</t>
  </si>
  <si>
    <t>Criminal justice, delinquency, and corrections, 1535-0371</t>
  </si>
  <si>
    <t>669971:eng</t>
  </si>
  <si>
    <t>53038453</t>
  </si>
  <si>
    <t>991004736709702656</t>
  </si>
  <si>
    <t>2271119520002656</t>
  </si>
  <si>
    <t>9780275977085</t>
  </si>
  <si>
    <t>32285005160246</t>
  </si>
  <si>
    <t>893712961</t>
  </si>
  <si>
    <t>HV6626.2 .D675 2005</t>
  </si>
  <si>
    <t>0                      HV 6626200D  675         2005</t>
  </si>
  <si>
    <t>Domestic violence in Asian American communities : a cultural overview / [edited by] Tuyen D. Nguyen.</t>
  </si>
  <si>
    <t>Lanham, MD : Lexington Books, c2005.</t>
  </si>
  <si>
    <t>2005-11-30</t>
  </si>
  <si>
    <t>46376741:eng</t>
  </si>
  <si>
    <t>60028964</t>
  </si>
  <si>
    <t>991004689319702656</t>
  </si>
  <si>
    <t>2268211780002656</t>
  </si>
  <si>
    <t>9780739108581</t>
  </si>
  <si>
    <t>32285005149470</t>
  </si>
  <si>
    <t>893331910</t>
  </si>
  <si>
    <t>HV6626.2 .D87 1995</t>
  </si>
  <si>
    <t>0                      HV 6626200D  87          1995</t>
  </si>
  <si>
    <t>The batterer : a psychological profile / Donald G. Dutton with Susan K. Golant.</t>
  </si>
  <si>
    <t>Dutton, Donald G., 1943-</t>
  </si>
  <si>
    <t>New York : Basic Books, c1995.</t>
  </si>
  <si>
    <t>2006-06-26</t>
  </si>
  <si>
    <t>1995-11-06</t>
  </si>
  <si>
    <t>13119990:eng</t>
  </si>
  <si>
    <t>32626430</t>
  </si>
  <si>
    <t>991002509199702656</t>
  </si>
  <si>
    <t>2267060110002656</t>
  </si>
  <si>
    <t>9780465033874</t>
  </si>
  <si>
    <t>32285002101409</t>
  </si>
  <si>
    <t>893427669</t>
  </si>
  <si>
    <t>HV6626.2 .F46 1997</t>
  </si>
  <si>
    <t>0                      HV 6626200F  46          1997</t>
  </si>
  <si>
    <t>Feminists negotiate the state : the politics of domestic violence / edited by Cynthia R. Daniels with Rachelle Brooks ... [et al.].</t>
  </si>
  <si>
    <t>Lanham, Md. : University Press of America, c1997.</t>
  </si>
  <si>
    <t>2005-02-26</t>
  </si>
  <si>
    <t>1998-06-16</t>
  </si>
  <si>
    <t>475054531:eng</t>
  </si>
  <si>
    <t>37368711</t>
  </si>
  <si>
    <t>991002837199702656</t>
  </si>
  <si>
    <t>2261792540002656</t>
  </si>
  <si>
    <t>9780761808831</t>
  </si>
  <si>
    <t>32285003421376</t>
  </si>
  <si>
    <t>893421856</t>
  </si>
  <si>
    <t>HV6626.2 .G34 1998</t>
  </si>
  <si>
    <t>0                      HV 6626200G  34          1998</t>
  </si>
  <si>
    <t>Battered women's justice : the movement for clemency and the politics of self-defense / Patricia Gagné.</t>
  </si>
  <si>
    <t>Gagné, Patricia.</t>
  </si>
  <si>
    <t>New York : Twayne Publishers ; London : Prentice Hall International, c1998.</t>
  </si>
  <si>
    <t>Social movements past and present</t>
  </si>
  <si>
    <t>1998-12-14</t>
  </si>
  <si>
    <t>902124966:eng</t>
  </si>
  <si>
    <t>38853984</t>
  </si>
  <si>
    <t>991002923309702656</t>
  </si>
  <si>
    <t>2272580480002656</t>
  </si>
  <si>
    <t>9780805791501</t>
  </si>
  <si>
    <t>32285003506184</t>
  </si>
  <si>
    <t>893704679</t>
  </si>
  <si>
    <t>HV6626.2 .J33 1998</t>
  </si>
  <si>
    <t>0                      HV 6626200J  33          1998</t>
  </si>
  <si>
    <t>When men batter women : new insights into ending abusive relationships / Neil S. Jacobson, John M. Gottman.</t>
  </si>
  <si>
    <t>Jacobson, Neil S., 1949-</t>
  </si>
  <si>
    <t>New York : Simon &amp; Schuster, c1998.</t>
  </si>
  <si>
    <t>2006-10-31</t>
  </si>
  <si>
    <t>2000-10-12</t>
  </si>
  <si>
    <t>292659380:eng</t>
  </si>
  <si>
    <t>37748396</t>
  </si>
  <si>
    <t>991003268889702656</t>
  </si>
  <si>
    <t>2260411840002656</t>
  </si>
  <si>
    <t>9780684814476</t>
  </si>
  <si>
    <t>32285003767653</t>
  </si>
  <si>
    <t>893428624</t>
  </si>
  <si>
    <t>HV6626.2 .K55 1993</t>
  </si>
  <si>
    <t>0                      HV 6626200K  55          1993</t>
  </si>
  <si>
    <t>Every eighteen seconds : a journey through domestic violence / by Nancy Kilgore.</t>
  </si>
  <si>
    <t>Kilgore, Nancy, 1949-</t>
  </si>
  <si>
    <t>Volcano, Calif. : Volcano Press, 1993.</t>
  </si>
  <si>
    <t>1st Volcano Press ed.</t>
  </si>
  <si>
    <t>1997-01-30</t>
  </si>
  <si>
    <t>3857367066:eng</t>
  </si>
  <si>
    <t>28027285</t>
  </si>
  <si>
    <t>991002177949702656</t>
  </si>
  <si>
    <t>2266039100002656</t>
  </si>
  <si>
    <t>9780912078991</t>
  </si>
  <si>
    <t>32285002412772</t>
  </si>
  <si>
    <t>893433574</t>
  </si>
  <si>
    <t>HV6626.2 .R87 2001</t>
  </si>
  <si>
    <t>0                      HV 6626200R  87          2001</t>
  </si>
  <si>
    <t>Taking back our lives : a call to action for the Feminist movement / Ann Russo.</t>
  </si>
  <si>
    <t>Russo, Ann, 1957-</t>
  </si>
  <si>
    <t>New York : Routledge, 2001.</t>
  </si>
  <si>
    <t>2005-10-16</t>
  </si>
  <si>
    <t>2001-10-03</t>
  </si>
  <si>
    <t>800362243:eng</t>
  </si>
  <si>
    <t>45209135</t>
  </si>
  <si>
    <t>991003599669702656</t>
  </si>
  <si>
    <t>2258969670002656</t>
  </si>
  <si>
    <t>9780415927109</t>
  </si>
  <si>
    <t>32285004395074</t>
  </si>
  <si>
    <t>893505750</t>
  </si>
  <si>
    <t>HV6626.2 .S54 1992</t>
  </si>
  <si>
    <t>0                      HV 6626200S  54          1992</t>
  </si>
  <si>
    <t>Policing domestic violence : experiments and dilemmas / Lawrence W. Sherman with Janell D. Schmidt and Dennis P. Rogan.</t>
  </si>
  <si>
    <t>Sherman, Lawrence W.</t>
  </si>
  <si>
    <t>New York : Free Press ; Toronto : Maxwell Macmillan Canada ; New York : Maxwell Macmillan International, c1992.</t>
  </si>
  <si>
    <t>292494466:eng</t>
  </si>
  <si>
    <t>25915024</t>
  </si>
  <si>
    <t>991002034579702656</t>
  </si>
  <si>
    <t>2269769690002656</t>
  </si>
  <si>
    <t>9780029287316</t>
  </si>
  <si>
    <t>32285001404002</t>
  </si>
  <si>
    <t>893414749</t>
  </si>
  <si>
    <t>HV6626.2 .S87 1980</t>
  </si>
  <si>
    <t>0                      HV 6626200S  87          1980</t>
  </si>
  <si>
    <t>Behind closed doors : violence in the American family / Murray A. Straus, Richard J. Gelles, Suzanne K. Steinmetz.</t>
  </si>
  <si>
    <t>Straus, Murray A. (Murray Arnold), 1926-</t>
  </si>
  <si>
    <t>Garden City, N.Y. : Anchor Press/Doubleday, 1980.</t>
  </si>
  <si>
    <t>1992-04-24</t>
  </si>
  <si>
    <t>455102:eng</t>
  </si>
  <si>
    <t>5725780</t>
  </si>
  <si>
    <t>991001757569702656</t>
  </si>
  <si>
    <t>2262376030002656</t>
  </si>
  <si>
    <t>9780385142595</t>
  </si>
  <si>
    <t>32285001070852</t>
  </si>
  <si>
    <t>893809176</t>
  </si>
  <si>
    <t>HV6626.22.C2 A27 2008</t>
  </si>
  <si>
    <t>0                      HV 6626220C  2                  A  27          2008</t>
  </si>
  <si>
    <t>Bad spirits : a cultural explanation for intimate family violence, inside one American Indian family / by Julie C. Abril.</t>
  </si>
  <si>
    <t>Abril, Julie C. (Julie Christine)</t>
  </si>
  <si>
    <t>Newcastle upon Tyne : Cambridge Scholars Publishing, 2008.</t>
  </si>
  <si>
    <t>2009-03-16</t>
  </si>
  <si>
    <t>141234984:eng</t>
  </si>
  <si>
    <t>239844226</t>
  </si>
  <si>
    <t>991005300809702656</t>
  </si>
  <si>
    <t>2260834760002656</t>
  </si>
  <si>
    <t>9781847186850</t>
  </si>
  <si>
    <t>32285005509343</t>
  </si>
  <si>
    <t>893254795</t>
  </si>
  <si>
    <t>HV6626.23.F7 F4 2005</t>
  </si>
  <si>
    <t>0                      HV 6626230F  7                  F  4           2005</t>
  </si>
  <si>
    <t>Violences conjugales : une assistante sociale raconte / Micheline Ferret.</t>
  </si>
  <si>
    <t>Ferret, Micheline.</t>
  </si>
  <si>
    <t>Paris : Harmattan, 2005.</t>
  </si>
  <si>
    <t>366393964:fre</t>
  </si>
  <si>
    <t>60740314</t>
  </si>
  <si>
    <t>991005392909702656</t>
  </si>
  <si>
    <t>2272464510002656</t>
  </si>
  <si>
    <t>9782747583749</t>
  </si>
  <si>
    <t>32285005588206</t>
  </si>
  <si>
    <t>893501957</t>
  </si>
  <si>
    <t>HV6626.23.F7 S68 2007</t>
  </si>
  <si>
    <t>0                      HV 6626230F  7                  S  68          2007</t>
  </si>
  <si>
    <t>Les violences conjugales / Kathy Souffron.</t>
  </si>
  <si>
    <t>Souffron, Kathy.</t>
  </si>
  <si>
    <t>Toulouse : Milan, publié par l'Association pour la promotion d'initiatives autonomes des femmes, 2007.</t>
  </si>
  <si>
    <t>Nouvelle éd.</t>
  </si>
  <si>
    <t>Les essentiels Milan</t>
  </si>
  <si>
    <t>8909782519:fre</t>
  </si>
  <si>
    <t>505389199</t>
  </si>
  <si>
    <t>991005392899702656</t>
  </si>
  <si>
    <t>2264180430002656</t>
  </si>
  <si>
    <t>9782745927682</t>
  </si>
  <si>
    <t>32285005588149</t>
  </si>
  <si>
    <t>893613633</t>
  </si>
  <si>
    <t>HV6626.3 .E43 1986</t>
  </si>
  <si>
    <t>0                      HV 6626300E  43          1986</t>
  </si>
  <si>
    <t>Elder abuse : conflict in the family / edited by Karl A. Pillemer, Rosalie S. Wolf.</t>
  </si>
  <si>
    <t>Dover, Mass. : Auburn House Pub. Co., c1986.</t>
  </si>
  <si>
    <t>1996-11-18</t>
  </si>
  <si>
    <t>894520428:eng</t>
  </si>
  <si>
    <t>13701426</t>
  </si>
  <si>
    <t>991001782909702656</t>
  </si>
  <si>
    <t>2264012200002656</t>
  </si>
  <si>
    <t>9780865691339</t>
  </si>
  <si>
    <t>32285000122514</t>
  </si>
  <si>
    <t>893615378</t>
  </si>
  <si>
    <t>HV6626.3 .E438 1989</t>
  </si>
  <si>
    <t>0                      HV 6626300E  438         1989</t>
  </si>
  <si>
    <t>Elder abuse : practice and policy / edited by Rachel Filinson, Stanley R. Ingman.</t>
  </si>
  <si>
    <t>New York, N.Y. : Human Sciences Press, c1989.</t>
  </si>
  <si>
    <t>1997-04-11</t>
  </si>
  <si>
    <t>1990-07-17</t>
  </si>
  <si>
    <t>865284443:eng</t>
  </si>
  <si>
    <t>16901090</t>
  </si>
  <si>
    <t>991001162349702656</t>
  </si>
  <si>
    <t>2268367290002656</t>
  </si>
  <si>
    <t>9780898854152</t>
  </si>
  <si>
    <t>32285000208750</t>
  </si>
  <si>
    <t>893432639</t>
  </si>
  <si>
    <t>HV6626.3 .M57 1997</t>
  </si>
  <si>
    <t>0                      HV 6626300M  57          1997</t>
  </si>
  <si>
    <t>The mistreatment of elderly people / edited by Peter Decalmer and Frank Glendenning.</t>
  </si>
  <si>
    <t>London ; Thousand Oaks, CA : Sage Publications, 1997.</t>
  </si>
  <si>
    <t>350434312:eng</t>
  </si>
  <si>
    <t>37460140</t>
  </si>
  <si>
    <t>991002843719702656</t>
  </si>
  <si>
    <t>2261286050002656</t>
  </si>
  <si>
    <t>9780761952626</t>
  </si>
  <si>
    <t>32285003405809</t>
  </si>
  <si>
    <t>893692069</t>
  </si>
  <si>
    <t>HV6626.5 .B47 1990</t>
  </si>
  <si>
    <t>0                      HV 6626500B  47          1990</t>
  </si>
  <si>
    <t>Threatened children : rhetoric and concern about child-victims / Joel Best.</t>
  </si>
  <si>
    <t>Best, Joel.</t>
  </si>
  <si>
    <t>Chicago : University of Chicago Press, 1990.</t>
  </si>
  <si>
    <t>2000-10-02</t>
  </si>
  <si>
    <t>1990-12-17</t>
  </si>
  <si>
    <t>328779:eng</t>
  </si>
  <si>
    <t>20691439</t>
  </si>
  <si>
    <t>991001605169702656</t>
  </si>
  <si>
    <t>2257946640002656</t>
  </si>
  <si>
    <t>9780226044255</t>
  </si>
  <si>
    <t>32285000359579</t>
  </si>
  <si>
    <t>893615227</t>
  </si>
  <si>
    <t>HV6626.5 .B83 1996</t>
  </si>
  <si>
    <t>0                      HV 6626500B  83          1996</t>
  </si>
  <si>
    <t>Cycles of child maltreatment : facts, fallacies, and interventions / Ann Buchanan.</t>
  </si>
  <si>
    <t>Buchanan, Ann.</t>
  </si>
  <si>
    <t>Chichester ; New York : Wiley, c1996.</t>
  </si>
  <si>
    <t>Wiley series in child care and protection</t>
  </si>
  <si>
    <t>2010-03-05</t>
  </si>
  <si>
    <t>346480887:eng</t>
  </si>
  <si>
    <t>34690796</t>
  </si>
  <si>
    <t>991002652469702656</t>
  </si>
  <si>
    <t>2257928850002656</t>
  </si>
  <si>
    <t>9780471958895</t>
  </si>
  <si>
    <t>32285002477338</t>
  </si>
  <si>
    <t>893427831</t>
  </si>
  <si>
    <t>HV6626.5 .C475 1993</t>
  </si>
  <si>
    <t>0                      HV 6626500C  475         1993</t>
  </si>
  <si>
    <t>Child abuse and child abusers : protection and prevention / edited by Lorraine Waterhouse ; foreword by Olive Stevenson.</t>
  </si>
  <si>
    <t>London : J. Kingsley, c1993.</t>
  </si>
  <si>
    <t>Research highlights in social work ; 24</t>
  </si>
  <si>
    <t>2002-10-31</t>
  </si>
  <si>
    <t>836875020:eng</t>
  </si>
  <si>
    <t>28620694</t>
  </si>
  <si>
    <t>991002235829702656</t>
  </si>
  <si>
    <t>2262352090002656</t>
  </si>
  <si>
    <t>9781853021336</t>
  </si>
  <si>
    <t>32285001815983</t>
  </si>
  <si>
    <t>893262166</t>
  </si>
  <si>
    <t>HV6626.5 .C66 1990</t>
  </si>
  <si>
    <t>0                      HV 6626500C  66          1990</t>
  </si>
  <si>
    <t>Combating child abuse : guidelines for cooperation between law enforcement and child protective agencies / by Douglas J. Besharov, rapporteur.</t>
  </si>
  <si>
    <t>Washington, D.C. : AEI Press, 1990.</t>
  </si>
  <si>
    <t>AEI special analysis ; 90-2</t>
  </si>
  <si>
    <t>1996-07-17</t>
  </si>
  <si>
    <t>23253845:eng</t>
  </si>
  <si>
    <t>21874478</t>
  </si>
  <si>
    <t>991001724709702656</t>
  </si>
  <si>
    <t>2270318680002656</t>
  </si>
  <si>
    <t>9780844770031</t>
  </si>
  <si>
    <t>32285002213139</t>
  </si>
  <si>
    <t>893866425</t>
  </si>
  <si>
    <t>HV6626.5 .F55 1986</t>
  </si>
  <si>
    <t>0                      HV 6626500F  55          1986</t>
  </si>
  <si>
    <t>Children and criminality : the child as victim and perpetrator / Ronald Barri Flowers.</t>
  </si>
  <si>
    <t>Contributions in criminology and penology, 0732-4464 ; no. 13</t>
  </si>
  <si>
    <t>1991-11-25</t>
  </si>
  <si>
    <t>836643413:eng</t>
  </si>
  <si>
    <t>13642934</t>
  </si>
  <si>
    <t>991000854369702656</t>
  </si>
  <si>
    <t>2271807460002656</t>
  </si>
  <si>
    <t>9780313251245</t>
  </si>
  <si>
    <t>32285000845049</t>
  </si>
  <si>
    <t>893772037</t>
  </si>
  <si>
    <t>HV6626.5 .G37 1986</t>
  </si>
  <si>
    <t>0                      HV 6626500G  37          1986</t>
  </si>
  <si>
    <t>The psychologically battered child / James Garbarino, Edna Guttmann, Janis Wilson Seeley.</t>
  </si>
  <si>
    <t>Garbarino, James.</t>
  </si>
  <si>
    <t>San Francisco : Jossey-Bass, 1986.</t>
  </si>
  <si>
    <t>The Jossey-Bass social and behavioral science series</t>
  </si>
  <si>
    <t>2007-02-28</t>
  </si>
  <si>
    <t>862328:eng</t>
  </si>
  <si>
    <t>13665540</t>
  </si>
  <si>
    <t>991000857049702656</t>
  </si>
  <si>
    <t>2269978660002656</t>
  </si>
  <si>
    <t>9781555420024</t>
  </si>
  <si>
    <t>32285000130830</t>
  </si>
  <si>
    <t>893237669</t>
  </si>
  <si>
    <t>HV6626.5 .G53 1988</t>
  </si>
  <si>
    <t>0                      HV 6626500G  53          1988</t>
  </si>
  <si>
    <t>Child sexual abuse / Danya Glaser and Stephen Frosh.</t>
  </si>
  <si>
    <t>Glaser, Danya.</t>
  </si>
  <si>
    <t>Chicago, IL : Dorsey Press, 1988.</t>
  </si>
  <si>
    <t>2009-12-01</t>
  </si>
  <si>
    <t>351581:eng</t>
  </si>
  <si>
    <t>19210471</t>
  </si>
  <si>
    <t>991001438029702656</t>
  </si>
  <si>
    <t>2261435130002656</t>
  </si>
  <si>
    <t>9780256071252</t>
  </si>
  <si>
    <t>32285000012145</t>
  </si>
  <si>
    <t>893238124</t>
  </si>
  <si>
    <t>HV6626.5 .G64 1985</t>
  </si>
  <si>
    <t>0                      HV 6626500G  64          1985</t>
  </si>
  <si>
    <t>Changing the abusive parent / Arnold P. Goldstein, Harold Keller, Diane Erné.</t>
  </si>
  <si>
    <t>Goldstein, Arnold P.</t>
  </si>
  <si>
    <t>Champaign, Ill. : Research Press, c1985.</t>
  </si>
  <si>
    <t>5698066:eng</t>
  </si>
  <si>
    <t>13029636</t>
  </si>
  <si>
    <t>991000772189702656</t>
  </si>
  <si>
    <t>2260069460002656</t>
  </si>
  <si>
    <t>9780878222469</t>
  </si>
  <si>
    <t>32285000130848</t>
  </si>
  <si>
    <t>893771949</t>
  </si>
  <si>
    <t>HV6626.5 .L39 1990</t>
  </si>
  <si>
    <t>0                      HV 6626500L  39          1990</t>
  </si>
  <si>
    <t>Child abuse / by Richard Layman.</t>
  </si>
  <si>
    <t>Layman, Richard, 1947-</t>
  </si>
  <si>
    <t>Detroit, MI : Omnigraphics, c1990.</t>
  </si>
  <si>
    <t>Current issues ; v. 1</t>
  </si>
  <si>
    <t>2004-12-09</t>
  </si>
  <si>
    <t>1996-07-30</t>
  </si>
  <si>
    <t>23898487:eng</t>
  </si>
  <si>
    <t>22452471</t>
  </si>
  <si>
    <t>991001780219702656</t>
  </si>
  <si>
    <t>2260293240002656</t>
  </si>
  <si>
    <t>9781558882713</t>
  </si>
  <si>
    <t>32285002208899</t>
  </si>
  <si>
    <t>893885541</t>
  </si>
  <si>
    <t>HV6626.5 .M34 1987</t>
  </si>
  <si>
    <t>0                      HV 6626500M  34          1987</t>
  </si>
  <si>
    <t>Counseling abused children / by Emily Jean McFadden.</t>
  </si>
  <si>
    <t>McFadden, Emily Jean.</t>
  </si>
  <si>
    <t>Ann Arbor, Mich. : ERIC Counseling and Personnel Services Clearinghouse, 1987.</t>
  </si>
  <si>
    <t>2000-04-06</t>
  </si>
  <si>
    <t>6002942:eng</t>
  </si>
  <si>
    <t>18845418</t>
  </si>
  <si>
    <t>991001406659702656</t>
  </si>
  <si>
    <t>2271996300002656</t>
  </si>
  <si>
    <t>32285000845031</t>
  </si>
  <si>
    <t>893420308</t>
  </si>
  <si>
    <t>HV6626.5 .T68 1987</t>
  </si>
  <si>
    <t>0                      HV 6626500T  68          1987</t>
  </si>
  <si>
    <t>How schools can help combat child abuse and neglect / Cynthia Crosson Tower.</t>
  </si>
  <si>
    <t>Crosson-Tower, Cynthia.</t>
  </si>
  <si>
    <t>Washington, D.C. : NEA Professional Library, National Education Association, 1987.</t>
  </si>
  <si>
    <t>How schools can help combat series</t>
  </si>
  <si>
    <t>3855295387:eng</t>
  </si>
  <si>
    <t>15016312</t>
  </si>
  <si>
    <t>991000976499702656</t>
  </si>
  <si>
    <t>2264403260002656</t>
  </si>
  <si>
    <t>9780810632950</t>
  </si>
  <si>
    <t>32285000845023</t>
  </si>
  <si>
    <t>893772188</t>
  </si>
  <si>
    <t>HV6626.52 .D65 1992</t>
  </si>
  <si>
    <t>0                      HV 6626520D  65          1992</t>
  </si>
  <si>
    <t>Child abuse / Edward F. Dolan.</t>
  </si>
  <si>
    <t>Dolan, Edward F., 1924-2010.</t>
  </si>
  <si>
    <t>New York : F. Watts, c1992.</t>
  </si>
  <si>
    <t>509204:eng</t>
  </si>
  <si>
    <t>26014711</t>
  </si>
  <si>
    <t>991002040039702656</t>
  </si>
  <si>
    <t>2261357060002656</t>
  </si>
  <si>
    <t>9780531110423</t>
  </si>
  <si>
    <t>32285002290939</t>
  </si>
  <si>
    <t>893334864</t>
  </si>
  <si>
    <t>HV6626.52 .J36 1994</t>
  </si>
  <si>
    <t>0                      HV 6626520J  36          1994</t>
  </si>
  <si>
    <t>Vulnerable children, vulnerable families : the social construction of child abuse / Susan Janko.</t>
  </si>
  <si>
    <t>Janko, Susan.</t>
  </si>
  <si>
    <t>New York : Teachers College Press, c1994.</t>
  </si>
  <si>
    <t>1996-07-15</t>
  </si>
  <si>
    <t>283733219:eng</t>
  </si>
  <si>
    <t>29220219</t>
  </si>
  <si>
    <t>991002254979702656</t>
  </si>
  <si>
    <t>2272413980002656</t>
  </si>
  <si>
    <t>9780807733059</t>
  </si>
  <si>
    <t>32285002212297</t>
  </si>
  <si>
    <t>893226624</t>
  </si>
  <si>
    <t>HV6626.52 .P76 1994</t>
  </si>
  <si>
    <t>0                      HV 6626520P  76          1994</t>
  </si>
  <si>
    <t>Protecting children from abuse and neglect : foundations for a new national strategy / edited by Gary B. Melton, Frank D. Barry ; foreword by Richard D. Krugman.</t>
  </si>
  <si>
    <t>New York : Guilford Press, c1994.</t>
  </si>
  <si>
    <t>2008-04-02</t>
  </si>
  <si>
    <t>1995-01-23</t>
  </si>
  <si>
    <t>476636345:eng</t>
  </si>
  <si>
    <t>30544877</t>
  </si>
  <si>
    <t>991005419069702656</t>
  </si>
  <si>
    <t>2261684670002656</t>
  </si>
  <si>
    <t>9780898622652</t>
  </si>
  <si>
    <t>32285001994440</t>
  </si>
  <si>
    <t>893527592</t>
  </si>
  <si>
    <t>HV6635 .G35</t>
  </si>
  <si>
    <t>0                      HV 6635000G  35</t>
  </si>
  <si>
    <t>White-collar criminal; the offender in business and the professions, edited, with introductions and notes, by Gilbert Geis.</t>
  </si>
  <si>
    <t>Geis, Gilbert compiler.</t>
  </si>
  <si>
    <t>New York, Atherton Press, 1968.</t>
  </si>
  <si>
    <t>2001-04-17</t>
  </si>
  <si>
    <t>3856154053:eng</t>
  </si>
  <si>
    <t>264995</t>
  </si>
  <si>
    <t>991002082969702656</t>
  </si>
  <si>
    <t>2268077140002656</t>
  </si>
  <si>
    <t>32285003158390</t>
  </si>
  <si>
    <t>893347088</t>
  </si>
  <si>
    <t>HV6635 .J3</t>
  </si>
  <si>
    <t>0                      HV 6635000J  3</t>
  </si>
  <si>
    <t>The thief in the white collar, by Norman Jaspan with Hillel Black.</t>
  </si>
  <si>
    <t>Jaspan, Norman.</t>
  </si>
  <si>
    <t>Philadelphia, Lippincott [1960]</t>
  </si>
  <si>
    <t>1381180:eng</t>
  </si>
  <si>
    <t>264990</t>
  </si>
  <si>
    <t>991002082949702656</t>
  </si>
  <si>
    <t>2268077000002656</t>
  </si>
  <si>
    <t>32285003158408</t>
  </si>
  <si>
    <t>893341011</t>
  </si>
  <si>
    <t>HV6640 .B58 2008</t>
  </si>
  <si>
    <t>0                      HV 6640000B  58          2008</t>
  </si>
  <si>
    <t>American lightning : terror, mystery, movie-making, and the crime of the century / Howard Blum.</t>
  </si>
  <si>
    <t>Blum, Howard.</t>
  </si>
  <si>
    <t>New York : Crown Publishers, c2008.</t>
  </si>
  <si>
    <t>2009-06-23</t>
  </si>
  <si>
    <t>2009-06-02</t>
  </si>
  <si>
    <t>866296496:eng</t>
  </si>
  <si>
    <t>191767740</t>
  </si>
  <si>
    <t>991005319779702656</t>
  </si>
  <si>
    <t>2258152510002656</t>
  </si>
  <si>
    <t>9780307346940</t>
  </si>
  <si>
    <t>32285005533723</t>
  </si>
  <si>
    <t>893695128</t>
  </si>
  <si>
    <t>HV6652 .C3</t>
  </si>
  <si>
    <t>0                      HV 6652000C  3</t>
  </si>
  <si>
    <t>The booster and the snitch: department store shoplifting.</t>
  </si>
  <si>
    <t>Cameron, Mary Owen.</t>
  </si>
  <si>
    <t>[New York] Free Press of Glencoe [1964]</t>
  </si>
  <si>
    <t>2000-04-17</t>
  </si>
  <si>
    <t>1442155:eng</t>
  </si>
  <si>
    <t>283690</t>
  </si>
  <si>
    <t>991002197909702656</t>
  </si>
  <si>
    <t>2265667990002656</t>
  </si>
  <si>
    <t>32285003158424</t>
  </si>
  <si>
    <t>893879605</t>
  </si>
  <si>
    <t>HV6653.C66 D86 2006</t>
  </si>
  <si>
    <t>0                      HV 6653000C  66                 D  86          2006</t>
  </si>
  <si>
    <t>The bobbed haired bandit : a true story of crime and celebrity in 1920s New York / Stephen Duncombe &amp; Andrew Mattson.</t>
  </si>
  <si>
    <t>Duncombe, Stephen.</t>
  </si>
  <si>
    <t>New York : New York University Press, c2006.</t>
  </si>
  <si>
    <t>2009-05-15</t>
  </si>
  <si>
    <t>2006-02-01</t>
  </si>
  <si>
    <t>794125541:eng</t>
  </si>
  <si>
    <t>61151485</t>
  </si>
  <si>
    <t>991004730189702656</t>
  </si>
  <si>
    <t>2262517590002656</t>
  </si>
  <si>
    <t>9780814719800</t>
  </si>
  <si>
    <t>32285005160287</t>
  </si>
  <si>
    <t>893254034</t>
  </si>
  <si>
    <t>HV6665.G82 S29 1945b</t>
  </si>
  <si>
    <t>0                      HV 6665000G  82                 S  29          1945b</t>
  </si>
  <si>
    <t>Nazi gold : the story of the world's greatest robbery--and its aftermath / Ian Sayer and Douglas Botting with the London Sunday times.</t>
  </si>
  <si>
    <t>Sayer, Ian.</t>
  </si>
  <si>
    <t>New York : Congdon &amp; Weed : Distributed by St. Martin's Press, c1984.</t>
  </si>
  <si>
    <t>1996-01-21</t>
  </si>
  <si>
    <t>3325366:eng</t>
  </si>
  <si>
    <t>11262238</t>
  </si>
  <si>
    <t>991000514309702656</t>
  </si>
  <si>
    <t>2265981710002656</t>
  </si>
  <si>
    <t>9780312925673</t>
  </si>
  <si>
    <t>32285000183706</t>
  </si>
  <si>
    <t>893896950</t>
  </si>
  <si>
    <t>HV6691 .A43 2003</t>
  </si>
  <si>
    <t>0                      HV 6691000A  43          2003</t>
  </si>
  <si>
    <t>Fraud examination / W. Steve Albrecht, Chad O. Albrecht.</t>
  </si>
  <si>
    <t>Albrecht, W. Steve.</t>
  </si>
  <si>
    <t>Australia ; Mason, Ohio : Thomson/South-Western, c2003.</t>
  </si>
  <si>
    <t>2002-08-27</t>
  </si>
  <si>
    <t>4927722474:eng</t>
  </si>
  <si>
    <t>49860009</t>
  </si>
  <si>
    <t>991003845079702656</t>
  </si>
  <si>
    <t>2270822460002656</t>
  </si>
  <si>
    <t>9780324162967</t>
  </si>
  <si>
    <t>32285004645080</t>
  </si>
  <si>
    <t>893699482</t>
  </si>
  <si>
    <t>HV6691 .A433 2004</t>
  </si>
  <si>
    <t>0                      HV 6691000A  433         2004</t>
  </si>
  <si>
    <t>Fraud examination &amp; prevention / W. Steven Albrecht, Chad Albrecht.</t>
  </si>
  <si>
    <t>Mason, OH : Thomson/South-Western, c2004.</t>
  </si>
  <si>
    <t>2006-12-07</t>
  </si>
  <si>
    <t>2006-11-07</t>
  </si>
  <si>
    <t>1183521109:eng</t>
  </si>
  <si>
    <t>52139643</t>
  </si>
  <si>
    <t>991004959339702656</t>
  </si>
  <si>
    <t>2272150250002656</t>
  </si>
  <si>
    <t>9780538726894</t>
  </si>
  <si>
    <t>32285005236558</t>
  </si>
  <si>
    <t>893707055</t>
  </si>
  <si>
    <t>HV6691 .B64 1984</t>
  </si>
  <si>
    <t>0                      HV 6691000B  64          1984</t>
  </si>
  <si>
    <t>Corporate fraud : the basics of prevention and detection / Jack Bologna.</t>
  </si>
  <si>
    <t>Bologna, Jack.</t>
  </si>
  <si>
    <t>Boston : Butterworth Publishers, c1984.</t>
  </si>
  <si>
    <t>1994-11-06</t>
  </si>
  <si>
    <t>288253574:eng</t>
  </si>
  <si>
    <t>10780823</t>
  </si>
  <si>
    <t>991000434389702656</t>
  </si>
  <si>
    <t>2255220410002656</t>
  </si>
  <si>
    <t>9780409951295</t>
  </si>
  <si>
    <t>32285000183722</t>
  </si>
  <si>
    <t>893626305</t>
  </si>
  <si>
    <t>HV6691 .F35 2007</t>
  </si>
  <si>
    <t>0                      HV 6691000F  35          2007</t>
  </si>
  <si>
    <t>Fraud : deceit among scientists, academics, writers, and philanthropists / Gerhard Falk.</t>
  </si>
  <si>
    <t>Falk, Gerhard, 1924-</t>
  </si>
  <si>
    <t>Lanham, Md. : University Press of America, c2007.</t>
  </si>
  <si>
    <t>2007-10-09</t>
  </si>
  <si>
    <t>112893120:eng</t>
  </si>
  <si>
    <t>166368678</t>
  </si>
  <si>
    <t>991005127419702656</t>
  </si>
  <si>
    <t>2259653940002656</t>
  </si>
  <si>
    <t>9780761838586</t>
  </si>
  <si>
    <t>32285005329163</t>
  </si>
  <si>
    <t>893600662</t>
  </si>
  <si>
    <t>HV6691 .K65 2003</t>
  </si>
  <si>
    <t>0                      HV 6691000K  65          2003</t>
  </si>
  <si>
    <t>Fraud exposed : what you don't know could cost your company millions / Joseph W. Koletar.</t>
  </si>
  <si>
    <t>Koletar, Joseph W.</t>
  </si>
  <si>
    <t>Hoboken, N.J. : John Wiley &amp; Sons, c2003.</t>
  </si>
  <si>
    <t>2006-11-01</t>
  </si>
  <si>
    <t>2003-03-17</t>
  </si>
  <si>
    <t>800329898:eng</t>
  </si>
  <si>
    <t>51454480</t>
  </si>
  <si>
    <t>991003998179702656</t>
  </si>
  <si>
    <t>2255269840002656</t>
  </si>
  <si>
    <t>9780471274759</t>
  </si>
  <si>
    <t>32285004684113</t>
  </si>
  <si>
    <t>893718332</t>
  </si>
  <si>
    <t>HV6691 .W45 2007</t>
  </si>
  <si>
    <t>0                      HV 6691000W  45          2007</t>
  </si>
  <si>
    <t>Corporate fraud handbook : prevention and detection / Joseph T. Wells.</t>
  </si>
  <si>
    <t>Wells, Joseph T.</t>
  </si>
  <si>
    <t>Hoboken, N.J. : John Wiley &amp; Sons, c2007.</t>
  </si>
  <si>
    <t>2009-10-12</t>
  </si>
  <si>
    <t>2009-05-06</t>
  </si>
  <si>
    <t>837081752:eng</t>
  </si>
  <si>
    <t>76143985</t>
  </si>
  <si>
    <t>991005313489702656</t>
  </si>
  <si>
    <t>2265630770002656</t>
  </si>
  <si>
    <t>9780470095911</t>
  </si>
  <si>
    <t>32285005531263</t>
  </si>
  <si>
    <t>893720167</t>
  </si>
  <si>
    <t>HV6692.M33 K57 2009</t>
  </si>
  <si>
    <t>0                      HV 6692000M  33                 K  57          2009</t>
  </si>
  <si>
    <t>Betrayal : the life and lies of Bernie Madoff / Andrew Kirtzman.</t>
  </si>
  <si>
    <t>Kirtzman, Andrew.</t>
  </si>
  <si>
    <t>New York, NY : Harper, c2009.</t>
  </si>
  <si>
    <t>195191468:eng</t>
  </si>
  <si>
    <t>317925329</t>
  </si>
  <si>
    <t>991000373919702656</t>
  </si>
  <si>
    <t>2264478820002656</t>
  </si>
  <si>
    <t>9780061870767</t>
  </si>
  <si>
    <t>32285005609291</t>
  </si>
  <si>
    <t>893243185</t>
  </si>
  <si>
    <t>HV6698.F6 S35 2008</t>
  </si>
  <si>
    <t>0                      HV 6698000F  6                  S  35          2008</t>
  </si>
  <si>
    <t>Undercover : how I went from company man to FBI spy--and exposed the worst healthcare fraud in U.S. history / John W. Schilling.</t>
  </si>
  <si>
    <t>Schilling, John W.</t>
  </si>
  <si>
    <t>New York : American Management Association, c2008.</t>
  </si>
  <si>
    <t>2008-04-14</t>
  </si>
  <si>
    <t>802946722:eng</t>
  </si>
  <si>
    <t>176648861</t>
  </si>
  <si>
    <t>991005205509702656</t>
  </si>
  <si>
    <t>2264274090002656</t>
  </si>
  <si>
    <t>9780814474501</t>
  </si>
  <si>
    <t>32285005402366</t>
  </si>
  <si>
    <t>893527102</t>
  </si>
  <si>
    <t>HV6698.Z9 P53 2004</t>
  </si>
  <si>
    <t>0                      HV 6698000Z  9                  P  53          2004</t>
  </si>
  <si>
    <t>Ponzi : the incredible true story of the king of financial cons / Donald H. Dunn.</t>
  </si>
  <si>
    <t>Dunn, Donald H.</t>
  </si>
  <si>
    <t>New York : Broadway Books, 2004.</t>
  </si>
  <si>
    <t>1st Broadway Books trade pbk. ed.</t>
  </si>
  <si>
    <t>Broadway library of larceny</t>
  </si>
  <si>
    <t>2004-08-17</t>
  </si>
  <si>
    <t>793919053:eng</t>
  </si>
  <si>
    <t>54772506</t>
  </si>
  <si>
    <t>991004334999702656</t>
  </si>
  <si>
    <t>2271323540002656</t>
  </si>
  <si>
    <t>9780767914994</t>
  </si>
  <si>
    <t>32285004982293</t>
  </si>
  <si>
    <t>893519520</t>
  </si>
  <si>
    <t>HV6705 .C6 1967</t>
  </si>
  <si>
    <t>0                      HV 6705000C  6           1967</t>
  </si>
  <si>
    <t>Traps for the young. Edited by Robert Bremner.</t>
  </si>
  <si>
    <t>Comstock, Anthony, 1844-1915.</t>
  </si>
  <si>
    <t>Cambridge, Belknap Press of Harvard University Press, 1967.</t>
  </si>
  <si>
    <t>The John Harvard library</t>
  </si>
  <si>
    <t>1999-03-18</t>
  </si>
  <si>
    <t>430704:eng</t>
  </si>
  <si>
    <t>234098</t>
  </si>
  <si>
    <t>991001667379702656</t>
  </si>
  <si>
    <t>2257517720002656</t>
  </si>
  <si>
    <t>32285003158465</t>
  </si>
  <si>
    <t>893408272</t>
  </si>
  <si>
    <t>HV6705 .S385</t>
  </si>
  <si>
    <t>0                      HV 6705000S  385</t>
  </si>
  <si>
    <t>Victimless crimes : two sides of a controversy / [by] Edwin M. Schur and Hugo Adam Bedau.</t>
  </si>
  <si>
    <t>Englewood Cliffs, N.J. : Prentice-Hall, [1974]</t>
  </si>
  <si>
    <t>A Spectrum book, S-351</t>
  </si>
  <si>
    <t>1992-03-20</t>
  </si>
  <si>
    <t>1017440121:eng</t>
  </si>
  <si>
    <t>1046082</t>
  </si>
  <si>
    <t>991003495699702656</t>
  </si>
  <si>
    <t>2266857930002656</t>
  </si>
  <si>
    <t>9780139416903</t>
  </si>
  <si>
    <t>32285001024834</t>
  </si>
  <si>
    <t>893692763</t>
  </si>
  <si>
    <t>HV6710 .S24 1982</t>
  </si>
  <si>
    <t>0                      HV 6710000S  24          1982</t>
  </si>
  <si>
    <t>Bookies and bettors : two hundred years of gambling / Richard Sasuly.</t>
  </si>
  <si>
    <t>Sasuly, Richard, 1913-</t>
  </si>
  <si>
    <t>New York : Holt, Rinehart and Winston, c1982.</t>
  </si>
  <si>
    <t>1997-11-15</t>
  </si>
  <si>
    <t>29749237:eng</t>
  </si>
  <si>
    <t>7835992</t>
  </si>
  <si>
    <t>991005166459702656</t>
  </si>
  <si>
    <t>2255100270002656</t>
  </si>
  <si>
    <t>9780030537561</t>
  </si>
  <si>
    <t>32285000059005</t>
  </si>
  <si>
    <t>893430974</t>
  </si>
  <si>
    <t>HV6710 .T48 1994</t>
  </si>
  <si>
    <t>0                      HV 6710000T  48          1994</t>
  </si>
  <si>
    <t>Legalized gambling : a reference handbook / William N. Thompson.</t>
  </si>
  <si>
    <t>Thompson, William Norman.</t>
  </si>
  <si>
    <t>Denver, Colo. : ABC-CLIO, c1994.</t>
  </si>
  <si>
    <t>2007-12-14</t>
  </si>
  <si>
    <t>1994-10-11</t>
  </si>
  <si>
    <t>375846:eng</t>
  </si>
  <si>
    <t>30593364</t>
  </si>
  <si>
    <t>991002348189702656</t>
  </si>
  <si>
    <t>2263345330002656</t>
  </si>
  <si>
    <t>9780874367294</t>
  </si>
  <si>
    <t>32285001867901</t>
  </si>
  <si>
    <t>893510625</t>
  </si>
  <si>
    <t>HV6710 .W33 1988</t>
  </si>
  <si>
    <t>0                      HV 6710000W  33          1988</t>
  </si>
  <si>
    <t>Paradoxes of gambling behaviour / Willem Albert Wagenaar</t>
  </si>
  <si>
    <t>Wagenaar, Willem Albert, 1941-2011.</t>
  </si>
  <si>
    <t>Hove, UK ; Hillsdale, [N.J.], USA : Erlbaum, c1988</t>
  </si>
  <si>
    <t>Essays in cognitive psychology</t>
  </si>
  <si>
    <t>1991-02-25</t>
  </si>
  <si>
    <t>17655852:eng</t>
  </si>
  <si>
    <t>18523286</t>
  </si>
  <si>
    <t>991005411639702656</t>
  </si>
  <si>
    <t>2271836870002656</t>
  </si>
  <si>
    <t>9780863770807</t>
  </si>
  <si>
    <t>32285000491901</t>
  </si>
  <si>
    <t>893351235</t>
  </si>
  <si>
    <t>HV6711 .P64 1987</t>
  </si>
  <si>
    <t>0                      HV 6711000P  64          1987</t>
  </si>
  <si>
    <t>Hostage to fortune : Atlantic City and casino gambling / Michael Pollock.</t>
  </si>
  <si>
    <t>Pollock, Michael, 1954-</t>
  </si>
  <si>
    <t>Princeton, N.J. : Center for Analysis of Public Issues, 1987.</t>
  </si>
  <si>
    <t>2007-11-26</t>
  </si>
  <si>
    <t>467420657:eng</t>
  </si>
  <si>
    <t>17261296</t>
  </si>
  <si>
    <t>991001192369702656</t>
  </si>
  <si>
    <t>2268281220002656</t>
  </si>
  <si>
    <t>32285001001774</t>
  </si>
  <si>
    <t>893803428</t>
  </si>
  <si>
    <t>HV6713 .C44 1928</t>
  </si>
  <si>
    <t>0                      HV 6713000C  44          1928</t>
  </si>
  <si>
    <t>Gambling &amp; betting : a short study dealing with their origin and their relation to morality and religion / by R. H. Charles.</t>
  </si>
  <si>
    <t>Charles, R. H. (Robert Henry), 1855-1931.</t>
  </si>
  <si>
    <t>Edinburgh : T. &amp; T. Clark, 1928, c1924.</t>
  </si>
  <si>
    <t>stk</t>
  </si>
  <si>
    <t>477305264:eng</t>
  </si>
  <si>
    <t>2384685</t>
  </si>
  <si>
    <t>991004106089702656</t>
  </si>
  <si>
    <t>2256456150002656</t>
  </si>
  <si>
    <t>32285001024826</t>
  </si>
  <si>
    <t>893794476</t>
  </si>
  <si>
    <t>HV6715 .F33 1990</t>
  </si>
  <si>
    <t>0                      HV 6715000F  33          1990</t>
  </si>
  <si>
    <t>Card sharps, dream books, &amp; bucket shops : gambling in 19th-century America / Ann Fabian.</t>
  </si>
  <si>
    <t>Fabian, Ann.</t>
  </si>
  <si>
    <t>Ithaca : Cornell University Press, 1990.</t>
  </si>
  <si>
    <t>24138295:eng</t>
  </si>
  <si>
    <t>21525504</t>
  </si>
  <si>
    <t>991001702989702656</t>
  </si>
  <si>
    <t>2255918290002656</t>
  </si>
  <si>
    <t>9780801425011</t>
  </si>
  <si>
    <t>32285003271367</t>
  </si>
  <si>
    <t>893328310</t>
  </si>
  <si>
    <t>HV6715 .F56 1986</t>
  </si>
  <si>
    <t>0                      HV 6715000F  56          1986</t>
  </si>
  <si>
    <t>People of chance : gambling in American society from Jamestown to Las Vegas / John M. Findlay.</t>
  </si>
  <si>
    <t>Findlay, John M., 1955-</t>
  </si>
  <si>
    <t>2007-10-28</t>
  </si>
  <si>
    <t>836668842:eng</t>
  </si>
  <si>
    <t>12582007</t>
  </si>
  <si>
    <t>991000710189702656</t>
  </si>
  <si>
    <t>2271935260002656</t>
  </si>
  <si>
    <t>9780195037401</t>
  </si>
  <si>
    <t>32285000059013</t>
  </si>
  <si>
    <t>893689963</t>
  </si>
  <si>
    <t>HV6715 .G66 1995</t>
  </si>
  <si>
    <t>0                      HV 6715000G  66          1995</t>
  </si>
  <si>
    <t>The luck business : the devastating consequences and broken promises of America's gambling explosion / Robert Goodman.</t>
  </si>
  <si>
    <t>Goodman, Robert, 1936-</t>
  </si>
  <si>
    <t>1996-04-28</t>
  </si>
  <si>
    <t>499732092:eng</t>
  </si>
  <si>
    <t>32467247</t>
  </si>
  <si>
    <t>991001681769702656</t>
  </si>
  <si>
    <t>2262877970002656</t>
  </si>
  <si>
    <t>9780029124833</t>
  </si>
  <si>
    <t>32285002158227</t>
  </si>
  <si>
    <t>893615302</t>
  </si>
  <si>
    <t>HV6721.N4 S5</t>
  </si>
  <si>
    <t>0                      HV 6721000N  4                  S  5</t>
  </si>
  <si>
    <t>I want to quit winners, by Harold S. Smith, Sr., with John Wesley Noble.</t>
  </si>
  <si>
    <t>Smith, Harold S., 1910-</t>
  </si>
  <si>
    <t>Englewood Cliffs, N. J., Prentice-Hall [1961]</t>
  </si>
  <si>
    <t>2009-01-22</t>
  </si>
  <si>
    <t>1992-03-31</t>
  </si>
  <si>
    <t>2027942:eng</t>
  </si>
  <si>
    <t>2754757</t>
  </si>
  <si>
    <t>991004232889702656</t>
  </si>
  <si>
    <t>2263893170002656</t>
  </si>
  <si>
    <t>32285001050169</t>
  </si>
  <si>
    <t>893888456</t>
  </si>
  <si>
    <t>HV6721.N45 S5</t>
  </si>
  <si>
    <t>0                      HV 6721000N  45                 S  5</t>
  </si>
  <si>
    <t>House of cards : the legalization and control of casino gambling / Jerome H. Skolnick.</t>
  </si>
  <si>
    <t>Skolnick, Jerome H.</t>
  </si>
  <si>
    <t>Boston : Little, Brown, c1978.</t>
  </si>
  <si>
    <t>1990-08-07</t>
  </si>
  <si>
    <t>448805:eng</t>
  </si>
  <si>
    <t>4004124</t>
  </si>
  <si>
    <t>991004564289702656</t>
  </si>
  <si>
    <t>2265200610002656</t>
  </si>
  <si>
    <t>9780316796996</t>
  </si>
  <si>
    <t>32285000268143</t>
  </si>
  <si>
    <t>893687872</t>
  </si>
  <si>
    <t>HV6722.C2 W34 1974</t>
  </si>
  <si>
    <t>0                      HV 6722000C  2                  W  34          1974</t>
  </si>
  <si>
    <t>The gamblers / Adrian Waller.</t>
  </si>
  <si>
    <t>Waller, Adrian.</t>
  </si>
  <si>
    <t>Toronto : Clarke, Irwin, c1974.</t>
  </si>
  <si>
    <t>1992-11-18</t>
  </si>
  <si>
    <t>2275002:eng</t>
  </si>
  <si>
    <t>1366416</t>
  </si>
  <si>
    <t>991003721829702656</t>
  </si>
  <si>
    <t>2255127440002656</t>
  </si>
  <si>
    <t>9780772007339</t>
  </si>
  <si>
    <t>32285001405876</t>
  </si>
  <si>
    <t>893441632</t>
  </si>
  <si>
    <t>HV6768 .R53 1999</t>
  </si>
  <si>
    <t>0                      HV 6768000R  53          1999</t>
  </si>
  <si>
    <t>Transnational criminal organizations, cybercrime, and money laundering : a handbook for law enforcement officers, auditors, and financial investigators / James R. Richards.</t>
  </si>
  <si>
    <t>Richards, James R., 1960-</t>
  </si>
  <si>
    <t>Boca Raton, FL : CRC press, c1999.</t>
  </si>
  <si>
    <t>2005-04-14</t>
  </si>
  <si>
    <t>865285321:eng</t>
  </si>
  <si>
    <t>39195274</t>
  </si>
  <si>
    <t>991003653899702656</t>
  </si>
  <si>
    <t>2267279000002656</t>
  </si>
  <si>
    <t>9780849328060</t>
  </si>
  <si>
    <t>32285004411723</t>
  </si>
  <si>
    <t>893711614</t>
  </si>
  <si>
    <t>HV6769 .B467 2003</t>
  </si>
  <si>
    <t>0                      HV 6769000B  467         2003</t>
  </si>
  <si>
    <t>The number : how the drive for quarterly earnings corrupted Wall Street and corporate America / Alex Berenson.</t>
  </si>
  <si>
    <t>Berenson, Alex.</t>
  </si>
  <si>
    <t>2003-07-17</t>
  </si>
  <si>
    <t>706414:eng</t>
  </si>
  <si>
    <t>51022970</t>
  </si>
  <si>
    <t>991004077779702656</t>
  </si>
  <si>
    <t>2266408690002656</t>
  </si>
  <si>
    <t>9780375508806</t>
  </si>
  <si>
    <t>32285004756051</t>
  </si>
  <si>
    <t>893512791</t>
  </si>
  <si>
    <t>HV6769 .B467 2004</t>
  </si>
  <si>
    <t>0                      HV 6769000B  467         2004</t>
  </si>
  <si>
    <t>New York : Random House, 2004.</t>
  </si>
  <si>
    <t>Random House trade pbk. ed.</t>
  </si>
  <si>
    <t>2010-05-24</t>
  </si>
  <si>
    <t>54960073</t>
  </si>
  <si>
    <t>991005394339702656</t>
  </si>
  <si>
    <t>2263680990002656</t>
  </si>
  <si>
    <t>9780812966251</t>
  </si>
  <si>
    <t>32285005584940</t>
  </si>
  <si>
    <t>893689135</t>
  </si>
  <si>
    <t>HV6769 .C558 1990</t>
  </si>
  <si>
    <t>0                      HV 6769000C  558         1990</t>
  </si>
  <si>
    <t>Corporate corruption : the abuse of power / Marshall B. Clinard.</t>
  </si>
  <si>
    <t>Clinard, Marshall B., 1911-2010.</t>
  </si>
  <si>
    <t>New York : Praeger, 1990.</t>
  </si>
  <si>
    <t>284905250:eng</t>
  </si>
  <si>
    <t>20418391</t>
  </si>
  <si>
    <t>991001573709702656</t>
  </si>
  <si>
    <t>2263759980002656</t>
  </si>
  <si>
    <t>9780275934859</t>
  </si>
  <si>
    <t>32285000511831</t>
  </si>
  <si>
    <t>893322049</t>
  </si>
  <si>
    <t>HV6769 .C562 1983</t>
  </si>
  <si>
    <t>0                      HV 6769000C  562         1983</t>
  </si>
  <si>
    <t>Corporate ethics and crime : the role of middle management / Marshall B. Clinard.</t>
  </si>
  <si>
    <t>1994-02-23</t>
  </si>
  <si>
    <t>347674605:eng</t>
  </si>
  <si>
    <t>9219516</t>
  </si>
  <si>
    <t>991000154509702656</t>
  </si>
  <si>
    <t>2268833590002656</t>
  </si>
  <si>
    <t>9780803919723</t>
  </si>
  <si>
    <t>32285001066454</t>
  </si>
  <si>
    <t>893431747</t>
  </si>
  <si>
    <t>HV6769 .C67</t>
  </si>
  <si>
    <t>0                      HV 6769000C  67</t>
  </si>
  <si>
    <t>Corruption in business / edited by Lester A. Sobel ; contributing editors, Mary Elizabeth Clifford ... [et al.] ; indexer, Grace M. Ferrara.</t>
  </si>
  <si>
    <t>New York : Facts on File, inc., c1977.</t>
  </si>
  <si>
    <t>2009-09-26</t>
  </si>
  <si>
    <t>54164561:eng</t>
  </si>
  <si>
    <t>2850321</t>
  </si>
  <si>
    <t>991004262349702656</t>
  </si>
  <si>
    <t>2268491080002656</t>
  </si>
  <si>
    <t>9780871962928</t>
  </si>
  <si>
    <t>32285001057644</t>
  </si>
  <si>
    <t>893253474</t>
  </si>
  <si>
    <t>HV6769 .D38 2000</t>
  </si>
  <si>
    <t>0                      HV 6769000D  38          2000</t>
  </si>
  <si>
    <t>Fraud 101 : techniques and strategies for detection / Howard R. Davia.</t>
  </si>
  <si>
    <t>Davia, Howard R., 1947-</t>
  </si>
  <si>
    <t>New York : John Wiley, c2000.</t>
  </si>
  <si>
    <t>2002-03-22</t>
  </si>
  <si>
    <t>2002-02-05</t>
  </si>
  <si>
    <t>3373945104:eng</t>
  </si>
  <si>
    <t>43798508</t>
  </si>
  <si>
    <t>991003704279702656</t>
  </si>
  <si>
    <t>2259425160002656</t>
  </si>
  <si>
    <t>9780471373094</t>
  </si>
  <si>
    <t>32285004452529</t>
  </si>
  <si>
    <t>893342907</t>
  </si>
  <si>
    <t>HV6769 .G73 2005</t>
  </si>
  <si>
    <t>0                      HV 6769000G  73          2005</t>
  </si>
  <si>
    <t>Corporate scandals : the many faces of greed : the great heist, financial bubbles and the absence of virtue / Kenneth R. Gray, Larry A. Frieder, George W. Clark, Jr.</t>
  </si>
  <si>
    <t>Gray, Kenneth R., 1952-</t>
  </si>
  <si>
    <t>St. Paul, MN : Paragon House, 2005.</t>
  </si>
  <si>
    <t>223528982:eng</t>
  </si>
  <si>
    <t>55801003</t>
  </si>
  <si>
    <t>991004657069702656</t>
  </si>
  <si>
    <t>2270329840002656</t>
  </si>
  <si>
    <t>9781557788382</t>
  </si>
  <si>
    <t>32285005142665</t>
  </si>
  <si>
    <t>893519904</t>
  </si>
  <si>
    <t>HV6769 .H84 2003</t>
  </si>
  <si>
    <t>0                      HV 6769000H  84          2003</t>
  </si>
  <si>
    <t>Pigs at the trough : how corporate greed and political corruption are undermining America / Arianna Huffington.</t>
  </si>
  <si>
    <t>Huffington, Arianna Stassinopoulos, 1950-</t>
  </si>
  <si>
    <t>New York : Crown publishers, c2003.</t>
  </si>
  <si>
    <t>865278914:eng</t>
  </si>
  <si>
    <t>51450511</t>
  </si>
  <si>
    <t>991004003079702656</t>
  </si>
  <si>
    <t>2258944790002656</t>
  </si>
  <si>
    <t>9781400047710</t>
  </si>
  <si>
    <t>32285004688734</t>
  </si>
  <si>
    <t>893417107</t>
  </si>
  <si>
    <t>HV6769 .L43 2007</t>
  </si>
  <si>
    <t>0                      HV 6769000L  43          2007</t>
  </si>
  <si>
    <t>Dishonest dollars : the dynamics of white-collar crime / Terry L. Leap.</t>
  </si>
  <si>
    <t>Leap, Terry L., 1948-</t>
  </si>
  <si>
    <t>Ithaca : ILR Press/Cornell University Press, 2007.</t>
  </si>
  <si>
    <t>198824330:eng</t>
  </si>
  <si>
    <t>71173690</t>
  </si>
  <si>
    <t>991005130919702656</t>
  </si>
  <si>
    <t>2260340720002656</t>
  </si>
  <si>
    <t>9780801445200</t>
  </si>
  <si>
    <t>32285005363543</t>
  </si>
  <si>
    <t>893430905</t>
  </si>
  <si>
    <t>HV6769 .S93 1983</t>
  </si>
  <si>
    <t>0                      HV 6769000S  93          1983</t>
  </si>
  <si>
    <t>White collar crime : the uncut version / Edwin H. Sutherland ; with an introduction by Gilbert Geis and Colin Goff.</t>
  </si>
  <si>
    <t>New Haven : Yale University Press, c1983.</t>
  </si>
  <si>
    <t>9846652653:eng</t>
  </si>
  <si>
    <t>9131891</t>
  </si>
  <si>
    <t>991000135009702656</t>
  </si>
  <si>
    <t>2267040180002656</t>
  </si>
  <si>
    <t>9780300029215</t>
  </si>
  <si>
    <t>32285000112788</t>
  </si>
  <si>
    <t>893237094</t>
  </si>
  <si>
    <t>HV6773 .G72 1998</t>
  </si>
  <si>
    <t>0                      HV 6773000G  72          1998</t>
  </si>
  <si>
    <t>Crime in the digital age : controlling telecommunications and cyberspace illegalities / P.N. Grabosky, Russell G. Smith ; with the assistance of Paul Wright.</t>
  </si>
  <si>
    <t>Grabosky, Peter N., 1945-</t>
  </si>
  <si>
    <t>New Brunswick, N.J. : Transaction Publishers ; Leichhardt, NSW, Australia : Federation Press, 1998.</t>
  </si>
  <si>
    <t>2002-10-04</t>
  </si>
  <si>
    <t>1999-01-04</t>
  </si>
  <si>
    <t>863814947:eng</t>
  </si>
  <si>
    <t>38090875</t>
  </si>
  <si>
    <t>991002890959702656</t>
  </si>
  <si>
    <t>2272596800002656</t>
  </si>
  <si>
    <t>9780765804587</t>
  </si>
  <si>
    <t>32285003508339</t>
  </si>
  <si>
    <t>893409684</t>
  </si>
  <si>
    <t>HV6773 .I26 1995</t>
  </si>
  <si>
    <t>0                      HV 6773000I  26          1995</t>
  </si>
  <si>
    <t>Computer crime : a crimefighter's handbook / David Icove, Karl Seger, and William VonStorch.</t>
  </si>
  <si>
    <t>Icove, David J., 1949-</t>
  </si>
  <si>
    <t>Sebastopol, CA : O'Reilly &amp; Associates, c1995.</t>
  </si>
  <si>
    <t>A Nutshell handbook</t>
  </si>
  <si>
    <t>2003-01-20</t>
  </si>
  <si>
    <t>1996-01-18</t>
  </si>
  <si>
    <t>34590556:eng</t>
  </si>
  <si>
    <t>33058274</t>
  </si>
  <si>
    <t>991002544079702656</t>
  </si>
  <si>
    <t>2271024570002656</t>
  </si>
  <si>
    <t>9781565920866</t>
  </si>
  <si>
    <t>32285002119393</t>
  </si>
  <si>
    <t>893421509</t>
  </si>
  <si>
    <t>HV6773 .I57 1998</t>
  </si>
  <si>
    <t>0                      HV 6773000I  57          1998</t>
  </si>
  <si>
    <t>Internet besieged : countering cyberspace scofflaws / [edited by] Dorothy E. Denning, Peter J. Denning.</t>
  </si>
  <si>
    <t>New York, N.Y. : ACM Press ; Reading, Mass. : Addison Wesley, c1998.</t>
  </si>
  <si>
    <t>2000-03-27</t>
  </si>
  <si>
    <t>1999-04-12</t>
  </si>
  <si>
    <t>836983764:eng</t>
  </si>
  <si>
    <t>37300658</t>
  </si>
  <si>
    <t>991002832129702656</t>
  </si>
  <si>
    <t>2259428130002656</t>
  </si>
  <si>
    <t>9780201308204</t>
  </si>
  <si>
    <t>32285003551032</t>
  </si>
  <si>
    <t>893886792</t>
  </si>
  <si>
    <t>HV6773 .P374 1998</t>
  </si>
  <si>
    <t>0                      HV 6773000P  374         1998</t>
  </si>
  <si>
    <t>Fighting computer crime : a new framework for protecting information / Donn B. Parker.</t>
  </si>
  <si>
    <t>Parker, Donn B.</t>
  </si>
  <si>
    <t>New York : Wiley, c1998.</t>
  </si>
  <si>
    <t>2007-01-05</t>
  </si>
  <si>
    <t>836953663:eng</t>
  </si>
  <si>
    <t>39322950</t>
  </si>
  <si>
    <t>991004979669702656</t>
  </si>
  <si>
    <t>2265760290002656</t>
  </si>
  <si>
    <t>9780471163787</t>
  </si>
  <si>
    <t>32285005261564</t>
  </si>
  <si>
    <t>893719618</t>
  </si>
  <si>
    <t>HV6773 .S3547 2004</t>
  </si>
  <si>
    <t>0                      HV 6773000S  3547        2004</t>
  </si>
  <si>
    <t>Cybercrime : a reference handbook / Bernadette H. Schell and Clemens Martin.</t>
  </si>
  <si>
    <t>Schell, Bernadette H. (Bernadette Hlubik), 1952-</t>
  </si>
  <si>
    <t>2010-12-05</t>
  </si>
  <si>
    <t>2004-11-17</t>
  </si>
  <si>
    <t>792933284:eng</t>
  </si>
  <si>
    <t>55682154</t>
  </si>
  <si>
    <t>991004414999702656</t>
  </si>
  <si>
    <t>2271535280002656</t>
  </si>
  <si>
    <t>9781851096831</t>
  </si>
  <si>
    <t>32285005011332</t>
  </si>
  <si>
    <t>893229336</t>
  </si>
  <si>
    <t>HV6773 .W35 2003</t>
  </si>
  <si>
    <t>0                      HV 6773000W  35          2003</t>
  </si>
  <si>
    <t>Steal this computer book 3 : what they won't tell you about the Internet / Wallace Wang.</t>
  </si>
  <si>
    <t>Wang, Wally.</t>
  </si>
  <si>
    <t>San Francisco : No Starch Press, c2003.</t>
  </si>
  <si>
    <t>2864684228:eng</t>
  </si>
  <si>
    <t>51447107</t>
  </si>
  <si>
    <t>991004176839702656</t>
  </si>
  <si>
    <t>2261279380002656</t>
  </si>
  <si>
    <t>9781593270001</t>
  </si>
  <si>
    <t>32285004840368</t>
  </si>
  <si>
    <t>893875773</t>
  </si>
  <si>
    <t>HV6773 .W49 1978</t>
  </si>
  <si>
    <t>0                      HV 6773000W  49          1978</t>
  </si>
  <si>
    <t>Computer capers : tales of electronic thievery, embezzlement, and fraud / Thomas Whiteside.</t>
  </si>
  <si>
    <t>Whiteside, Thomas, 1918-1997.</t>
  </si>
  <si>
    <t>New York : Crowell, c1978.</t>
  </si>
  <si>
    <t>1999-05-05</t>
  </si>
  <si>
    <t>1995-05-03</t>
  </si>
  <si>
    <t>480481860:eng</t>
  </si>
  <si>
    <t>3481380</t>
  </si>
  <si>
    <t>991004445589702656</t>
  </si>
  <si>
    <t>2264432750002656</t>
  </si>
  <si>
    <t>9780690017434</t>
  </si>
  <si>
    <t>32285002031689</t>
  </si>
  <si>
    <t>893624741</t>
  </si>
  <si>
    <t>HV6773.52 .A47 2005</t>
  </si>
  <si>
    <t>0                      HV 6773520A  47          2005</t>
  </si>
  <si>
    <t>Hate crimes : a reference handbook / Donald Altschiller.</t>
  </si>
  <si>
    <t>Altschiller, Donald.</t>
  </si>
  <si>
    <t>Santa Barbara, Calif. : ABC-CLIO, c2005.</t>
  </si>
  <si>
    <t>2008-02-05</t>
  </si>
  <si>
    <t>2005-06-01</t>
  </si>
  <si>
    <t>89302:eng</t>
  </si>
  <si>
    <t>58526782</t>
  </si>
  <si>
    <t>991004548459702656</t>
  </si>
  <si>
    <t>2258301520002656</t>
  </si>
  <si>
    <t>9781851096244</t>
  </si>
  <si>
    <t>32285005092076</t>
  </si>
  <si>
    <t>893712753</t>
  </si>
  <si>
    <t>HV6773.52 .C75 2004</t>
  </si>
  <si>
    <t>0                      HV 6773520C  75          2004</t>
  </si>
  <si>
    <t>Crimes of hate : selected readings / edited by Phyllis B. Gerstenfeld, Diana R. Grant.</t>
  </si>
  <si>
    <t>Thousand Oaks, Calif. : Sage Publications, c2004.</t>
  </si>
  <si>
    <t>842788485:eng</t>
  </si>
  <si>
    <t>52430910</t>
  </si>
  <si>
    <t>991004364299702656</t>
  </si>
  <si>
    <t>2268926640002656</t>
  </si>
  <si>
    <t>9780761929420</t>
  </si>
  <si>
    <t>32285004989710</t>
  </si>
  <si>
    <t>893869630</t>
  </si>
  <si>
    <t>HV6773.52 .H367 2007</t>
  </si>
  <si>
    <t>0                      HV 6773520H  367         2007</t>
  </si>
  <si>
    <t>Hate crimes / Laurie Willis, book editor.</t>
  </si>
  <si>
    <t>Detroit : Greenhaven Press, c2007.</t>
  </si>
  <si>
    <t>Social issues firsthand</t>
  </si>
  <si>
    <t>2008-01-14</t>
  </si>
  <si>
    <t>58235689:eng</t>
  </si>
  <si>
    <t>71275453</t>
  </si>
  <si>
    <t>991005166739702656</t>
  </si>
  <si>
    <t>2272714720002656</t>
  </si>
  <si>
    <t>9780737728897</t>
  </si>
  <si>
    <t>32285005377493</t>
  </si>
  <si>
    <t>893418488</t>
  </si>
  <si>
    <t>HV6777 .T9</t>
  </si>
  <si>
    <t>0                      HV 6777000T  9</t>
  </si>
  <si>
    <t>Organized crime in America : a book of readings / introd. by Estes Kefauver.</t>
  </si>
  <si>
    <t>Tyler, Gus, editor.</t>
  </si>
  <si>
    <t>Ann Arbor : University of Michigan Press, [1962]</t>
  </si>
  <si>
    <t>1999-01-24</t>
  </si>
  <si>
    <t>1994-02-17</t>
  </si>
  <si>
    <t>1381226:eng</t>
  </si>
  <si>
    <t>265012</t>
  </si>
  <si>
    <t>991002082999702656</t>
  </si>
  <si>
    <t>2265224890002656</t>
  </si>
  <si>
    <t>32285001839199</t>
  </si>
  <si>
    <t>893529517</t>
  </si>
  <si>
    <t>HV6789 .C47</t>
  </si>
  <si>
    <t>0                      HV 6789000C  47</t>
  </si>
  <si>
    <t>Crime in America : observations on its nature, causes, prevention, and control / with an introd. by Tom Wicker.</t>
  </si>
  <si>
    <t>Clark, Ramsey, 1927-</t>
  </si>
  <si>
    <t>New York : Simon and Schuster, [1970]</t>
  </si>
  <si>
    <t>1174249:eng</t>
  </si>
  <si>
    <t>102206</t>
  </si>
  <si>
    <t>991001706229702656</t>
  </si>
  <si>
    <t>2261856140002656</t>
  </si>
  <si>
    <t>9780671204075</t>
  </si>
  <si>
    <t>32285000119049</t>
  </si>
  <si>
    <t>893703262</t>
  </si>
  <si>
    <t>HV6789 .C6</t>
  </si>
  <si>
    <t>0                      HV 6789000C  6</t>
  </si>
  <si>
    <t>Crime in America : perspectives on criminal and delinquent behavior / edited by Bruce J. Cohen.</t>
  </si>
  <si>
    <t>Cohen, Bruce J., 1938-, compiler.</t>
  </si>
  <si>
    <t>Itasca, Ill. : F. E. Peacock, [1970]</t>
  </si>
  <si>
    <t>1992-03-19</t>
  </si>
  <si>
    <t>324700037:eng</t>
  </si>
  <si>
    <t>109679</t>
  </si>
  <si>
    <t>991000640939702656</t>
  </si>
  <si>
    <t>2254708790002656</t>
  </si>
  <si>
    <t>32285001024461</t>
  </si>
  <si>
    <t>893683615</t>
  </si>
  <si>
    <t>HV6789 .C73 1982</t>
  </si>
  <si>
    <t>0                      HV 6789000C  73          1982</t>
  </si>
  <si>
    <t>Criminal violence / edited by Marvin E. Wolfgang, Neil Alan Weiner ; Philip J. Cook ... [et al.].</t>
  </si>
  <si>
    <t>Beverly Hills, Calif. : Sage Publications, c1982.</t>
  </si>
  <si>
    <t>2005-04-13</t>
  </si>
  <si>
    <t>1992-07-14</t>
  </si>
  <si>
    <t>3943668914:eng</t>
  </si>
  <si>
    <t>8132543</t>
  </si>
  <si>
    <t>991005207789702656</t>
  </si>
  <si>
    <t>2267828670002656</t>
  </si>
  <si>
    <t>9780803918009</t>
  </si>
  <si>
    <t>32285001181972</t>
  </si>
  <si>
    <t>893905301</t>
  </si>
  <si>
    <t>HV6789 .M38 1987</t>
  </si>
  <si>
    <t>0                      HV 6789000M  38          1987</t>
  </si>
  <si>
    <t>Crime in American society / Charles H. McCaghy, Stephen A. Cernkovich.</t>
  </si>
  <si>
    <t>McCaghy, Charles H.</t>
  </si>
  <si>
    <t>New York : Macmillan, c1987.</t>
  </si>
  <si>
    <t>1999-09-28</t>
  </si>
  <si>
    <t>1992-04-13</t>
  </si>
  <si>
    <t>9057558:eng</t>
  </si>
  <si>
    <t>14691961</t>
  </si>
  <si>
    <t>991000952269702656</t>
  </si>
  <si>
    <t>2254782020002656</t>
  </si>
  <si>
    <t>9780023783401</t>
  </si>
  <si>
    <t>32285001035079</t>
  </si>
  <si>
    <t>893614646</t>
  </si>
  <si>
    <t>HV6789 .V56 1994</t>
  </si>
  <si>
    <t>0                      HV 6789000V  56          1994</t>
  </si>
  <si>
    <t>Violence and the law / Mark Costanzo, Stuart Oskamp, editors.</t>
  </si>
  <si>
    <t>Thousand Oaks, Calif. : Sage Publications, c1994.</t>
  </si>
  <si>
    <t>2007-12-02</t>
  </si>
  <si>
    <t>1996-05-28</t>
  </si>
  <si>
    <t>478940304:eng</t>
  </si>
  <si>
    <t>30545826</t>
  </si>
  <si>
    <t>991002346519702656</t>
  </si>
  <si>
    <t>2258343240002656</t>
  </si>
  <si>
    <t>9780803953413</t>
  </si>
  <si>
    <t>32285002178175</t>
  </si>
  <si>
    <t>893433766</t>
  </si>
  <si>
    <t>HV6789 .W313 2006</t>
  </si>
  <si>
    <t>0                      HV 6789000W  313         2006</t>
  </si>
  <si>
    <t>Less law, more order : the truth about reducing crime / Irvin Waller.</t>
  </si>
  <si>
    <t>Waller, Irvin.</t>
  </si>
  <si>
    <t>Westport, Conn. : Praeger Publishers, 2006.</t>
  </si>
  <si>
    <t>797241461:eng</t>
  </si>
  <si>
    <t>68786754</t>
  </si>
  <si>
    <t>991005135449702656</t>
  </si>
  <si>
    <t>2262444240002656</t>
  </si>
  <si>
    <t>9780275990770</t>
  </si>
  <si>
    <t>32285005369615</t>
  </si>
  <si>
    <t>893344700</t>
  </si>
  <si>
    <t>HV6791 .B46</t>
  </si>
  <si>
    <t>0                      HV 6791000B  46</t>
  </si>
  <si>
    <t>White-collar crime : a 20th-century crisis / August Bequai. --</t>
  </si>
  <si>
    <t>Bequai, August.</t>
  </si>
  <si>
    <t>2000-03-14</t>
  </si>
  <si>
    <t>1991-11-13</t>
  </si>
  <si>
    <t>470214:eng</t>
  </si>
  <si>
    <t>3631456</t>
  </si>
  <si>
    <t>991001786179702656</t>
  </si>
  <si>
    <t>2259396820002656</t>
  </si>
  <si>
    <t>9780669019001</t>
  </si>
  <si>
    <t>32285000824069</t>
  </si>
  <si>
    <t>893596732</t>
  </si>
  <si>
    <t>HV6791 .C463 1985</t>
  </si>
  <si>
    <t>0                      HV 6791000C  463         1985</t>
  </si>
  <si>
    <t>The Changing roles of women in the criminal justice system : offenders, victims, and professionals / edited by Imogene L. Moyer.</t>
  </si>
  <si>
    <t>Prospect Heights, Ill. : Waveland Press, c1985.</t>
  </si>
  <si>
    <t>2004-03-26</t>
  </si>
  <si>
    <t>916978621:eng</t>
  </si>
  <si>
    <t>11575365</t>
  </si>
  <si>
    <t>991000559929702656</t>
  </si>
  <si>
    <t>2264335700002656</t>
  </si>
  <si>
    <t>9780881331288</t>
  </si>
  <si>
    <t>32285001182012</t>
  </si>
  <si>
    <t>893620580</t>
  </si>
  <si>
    <t>HV6791 .C67 1979</t>
  </si>
  <si>
    <t>0                      HV 6791000C  67          1979</t>
  </si>
  <si>
    <t>The Costs of crime / Charles M. Gray, editor.</t>
  </si>
  <si>
    <t>Sage criminal justice system annuals ; v. 12</t>
  </si>
  <si>
    <t>2007-03-27</t>
  </si>
  <si>
    <t>1991-12-06</t>
  </si>
  <si>
    <t>457021:eng</t>
  </si>
  <si>
    <t>5264258</t>
  </si>
  <si>
    <t>991001809299702656</t>
  </si>
  <si>
    <t>2258636400002656</t>
  </si>
  <si>
    <t>9780803911987</t>
  </si>
  <si>
    <t>32285000828797</t>
  </si>
  <si>
    <t>893609164</t>
  </si>
  <si>
    <t>HV6791 .E27</t>
  </si>
  <si>
    <t>0                      HV 6791000E  27</t>
  </si>
  <si>
    <t>The Economics of crime and punishment / a conference sponsored by American Enterprise Institute for Public Policy Research.</t>
  </si>
  <si>
    <t>Washington : American Enterprise Institute for Public Policy Research, [1973]</t>
  </si>
  <si>
    <t>5619133064:eng</t>
  </si>
  <si>
    <t>800830</t>
  </si>
  <si>
    <t>991003277619702656</t>
  </si>
  <si>
    <t>2267068230002656</t>
  </si>
  <si>
    <t>9780844720425</t>
  </si>
  <si>
    <t>32285001058428</t>
  </si>
  <si>
    <t>893422377</t>
  </si>
  <si>
    <t>HV6791 .E383 1984</t>
  </si>
  <si>
    <t>0                      HV 6791000E  383         1984</t>
  </si>
  <si>
    <t>Elderly criminals / edited by William Wilbanks, Paul K.H. Kim.</t>
  </si>
  <si>
    <t>Lanham [MD] : University Press of America, c1984.</t>
  </si>
  <si>
    <t>1999-02-01</t>
  </si>
  <si>
    <t>54647794:eng</t>
  </si>
  <si>
    <t>10800580</t>
  </si>
  <si>
    <t>991000438339702656</t>
  </si>
  <si>
    <t>2270681420002656</t>
  </si>
  <si>
    <t>9780819140234</t>
  </si>
  <si>
    <t>32285001182020</t>
  </si>
  <si>
    <t>893261466</t>
  </si>
  <si>
    <t>HV6791 .F44</t>
  </si>
  <si>
    <t>0                      HV 6791000F  44</t>
  </si>
  <si>
    <t>Women in the criminal justice system / Clarice Feinman.</t>
  </si>
  <si>
    <t>Feinman, Clarice.</t>
  </si>
  <si>
    <t>New York : Praeger, 1980.</t>
  </si>
  <si>
    <t>2001-04-22</t>
  </si>
  <si>
    <t>2571903:eng</t>
  </si>
  <si>
    <t>6143477</t>
  </si>
  <si>
    <t>991004936399702656</t>
  </si>
  <si>
    <t>2259942930002656</t>
  </si>
  <si>
    <t>9780030525612</t>
  </si>
  <si>
    <t>32285001182038</t>
  </si>
  <si>
    <t>893801518</t>
  </si>
  <si>
    <t>HV6791 .K38 1988</t>
  </si>
  <si>
    <t>0                      HV 6791000K  38          1988</t>
  </si>
  <si>
    <t>Seductions of crime : moral and sensual attractions in doing evil / Jack Katz.</t>
  </si>
  <si>
    <t>Katz, Jack.</t>
  </si>
  <si>
    <t>New York : Basic Books, c1988.</t>
  </si>
  <si>
    <t>2009-04-02</t>
  </si>
  <si>
    <t>364289915:eng</t>
  </si>
  <si>
    <t>18291572</t>
  </si>
  <si>
    <t>991001327989702656</t>
  </si>
  <si>
    <t>2264729320002656</t>
  </si>
  <si>
    <t>9780465076154</t>
  </si>
  <si>
    <t>32285000907088</t>
  </si>
  <si>
    <t>893497004</t>
  </si>
  <si>
    <t>HV6791 .M54</t>
  </si>
  <si>
    <t>0                      HV 6791000M  54</t>
  </si>
  <si>
    <t>The criminal justice and mental health systems : conflict and collusion / Kent S. Miller.</t>
  </si>
  <si>
    <t>Miller, Kent S.</t>
  </si>
  <si>
    <t>Cambridge, Mass. : Oelgeschlager, Gunn &amp; Hain, c1980.</t>
  </si>
  <si>
    <t>21002235:eng</t>
  </si>
  <si>
    <t>6144034</t>
  </si>
  <si>
    <t>991004937339702656</t>
  </si>
  <si>
    <t>2260336970002656</t>
  </si>
  <si>
    <t>9780899460321</t>
  </si>
  <si>
    <t>32285000065705</t>
  </si>
  <si>
    <t>893776606</t>
  </si>
  <si>
    <t>HV6791 .P94 1983</t>
  </si>
  <si>
    <t>0                      HV 6791000P  94          1983</t>
  </si>
  <si>
    <t>The economics of crime and law enforcement / David J. Pyle.</t>
  </si>
  <si>
    <t>Pyle, David J.</t>
  </si>
  <si>
    <t>New York : St. Martin's Press, 1983.</t>
  </si>
  <si>
    <t>1992-04-30</t>
  </si>
  <si>
    <t>442244:eng</t>
  </si>
  <si>
    <t>8431334</t>
  </si>
  <si>
    <t>991005242759702656</t>
  </si>
  <si>
    <t>2260167850002656</t>
  </si>
  <si>
    <t>9780312228026</t>
  </si>
  <si>
    <t>32285001090520</t>
  </si>
  <si>
    <t>893514319</t>
  </si>
  <si>
    <t>HV6791 .R87 1982</t>
  </si>
  <si>
    <t>0                      HV 6791000R  87          1982</t>
  </si>
  <si>
    <t>Rural crime : integrating research and prevention / edited by Timothy J. Carter ... [et al.].</t>
  </si>
  <si>
    <t>Totowa, N.J. : Allanheld, Osmun, 1982.</t>
  </si>
  <si>
    <t>1999-03-14</t>
  </si>
  <si>
    <t>427784743:eng</t>
  </si>
  <si>
    <t>7597629</t>
  </si>
  <si>
    <t>991005139869702656</t>
  </si>
  <si>
    <t>2254781650002656</t>
  </si>
  <si>
    <t>9780865980235</t>
  </si>
  <si>
    <t>32285001182053</t>
  </si>
  <si>
    <t>893501389</t>
  </si>
  <si>
    <t>HV6791 .S57 1990</t>
  </si>
  <si>
    <t>0                      HV 6791000S  57          1990</t>
  </si>
  <si>
    <t>Disorder and decline : crime and the spiral of decay in American neighborhoods / Wesley G. Skogan.</t>
  </si>
  <si>
    <t>Skogan, Wesley G.</t>
  </si>
  <si>
    <t>New York : Free Press ; Toronto : Collier Macmillan Canada, c1990.</t>
  </si>
  <si>
    <t>2008-12-03</t>
  </si>
  <si>
    <t>1991-06-05</t>
  </si>
  <si>
    <t>886209:eng</t>
  </si>
  <si>
    <t>21334519</t>
  </si>
  <si>
    <t>991001677949702656</t>
  </si>
  <si>
    <t>2262089340002656</t>
  </si>
  <si>
    <t>9780029291511</t>
  </si>
  <si>
    <t>32285000592757</t>
  </si>
  <si>
    <t>893596626</t>
  </si>
  <si>
    <t>HV6791 .V36 2004</t>
  </si>
  <si>
    <t>0                      HV 6791000V  36          2004</t>
  </si>
  <si>
    <t>Hoodlums : Black villains and social bandits in American life / William L. Van Deburg.</t>
  </si>
  <si>
    <t>Van Deburg, William L.</t>
  </si>
  <si>
    <t>Chicago : University of Chicago Press, c2004.</t>
  </si>
  <si>
    <t>2006-02-06</t>
  </si>
  <si>
    <t>991240:eng</t>
  </si>
  <si>
    <t>54529025</t>
  </si>
  <si>
    <t>991004716939702656</t>
  </si>
  <si>
    <t>2272372110002656</t>
  </si>
  <si>
    <t>9780226847191</t>
  </si>
  <si>
    <t>32285005157226</t>
  </si>
  <si>
    <t>893706757</t>
  </si>
  <si>
    <t>HV6791 .V565 1989</t>
  </si>
  <si>
    <t>0                      HV 6791000V  565         1989</t>
  </si>
  <si>
    <t>Violent crime, violent criminals / edited by Neil Alan Weiner, Marvin E. Wolfgang.</t>
  </si>
  <si>
    <t>Sage focus editions ; 101</t>
  </si>
  <si>
    <t>1990-01-16</t>
  </si>
  <si>
    <t>351892783:eng</t>
  </si>
  <si>
    <t>18256280</t>
  </si>
  <si>
    <t>991001323209702656</t>
  </si>
  <si>
    <t>2257263600002656</t>
  </si>
  <si>
    <t>9780803933422</t>
  </si>
  <si>
    <t>32285000028554</t>
  </si>
  <si>
    <t>893797488</t>
  </si>
  <si>
    <t>HV6791 .W74 1983</t>
  </si>
  <si>
    <t>0                      HV 6791000W  74          1983</t>
  </si>
  <si>
    <t>Under the gun : weapons, crime, and violence in America / by James D. Wright, Peter H. Rossi, and Kathleen Daly.</t>
  </si>
  <si>
    <t>New York : Aldine Pub. Co., c1983.</t>
  </si>
  <si>
    <t>1998-04-15</t>
  </si>
  <si>
    <t>3856131896:eng</t>
  </si>
  <si>
    <t>9282412</t>
  </si>
  <si>
    <t>991000164529702656</t>
  </si>
  <si>
    <t>2259995720002656</t>
  </si>
  <si>
    <t>9780202303055</t>
  </si>
  <si>
    <t>32285001182061</t>
  </si>
  <si>
    <t>893890472</t>
  </si>
  <si>
    <t>HV6793.O7 J46 2006</t>
  </si>
  <si>
    <t>0                      HV 6793000O  7                  J  46          2006</t>
  </si>
  <si>
    <t>Strange piece of paradise / Terri Jentz.</t>
  </si>
  <si>
    <t>Jentz, Terri, 1957-</t>
  </si>
  <si>
    <t>2010-03-24</t>
  </si>
  <si>
    <t>49039531:eng</t>
  </si>
  <si>
    <t>65186350</t>
  </si>
  <si>
    <t>991004834069702656</t>
  </si>
  <si>
    <t>2264147490002656</t>
  </si>
  <si>
    <t>9780374134983</t>
  </si>
  <si>
    <t>32285005192595</t>
  </si>
  <si>
    <t>893606514</t>
  </si>
  <si>
    <t>HV6795.C4 A65 1970</t>
  </si>
  <si>
    <t>0                      HV 6795000C  4                  A  65          1970</t>
  </si>
  <si>
    <t>The bootleggers : the story of Chicago's prohibition era.</t>
  </si>
  <si>
    <t>Allsop, Kenneth, 1920-1973.</t>
  </si>
  <si>
    <t>New Rochelle, N.Y. : Arlington House, [1970], c1968.</t>
  </si>
  <si>
    <t>1992-02-14</t>
  </si>
  <si>
    <t>367751323:eng</t>
  </si>
  <si>
    <t>83980</t>
  </si>
  <si>
    <t>991000512459702656</t>
  </si>
  <si>
    <t>2272553090002656</t>
  </si>
  <si>
    <t>9780870000942</t>
  </si>
  <si>
    <t>32285000936582</t>
  </si>
  <si>
    <t>893689765</t>
  </si>
  <si>
    <t>HV6864.Z8 B35 2002</t>
  </si>
  <si>
    <t>0                      HV 6864000Z  8                  B  35          2002</t>
  </si>
  <si>
    <t>Distribuciaon geograafica del crimen : ligeras apuntaciones e interpretaciones del delito en la frontera sur (Provincia Bahoruco) / Freddy M. Prestol Castillo.</t>
  </si>
  <si>
    <t>Prestol Castillo, Freddy.</t>
  </si>
  <si>
    <t>Santo Domingo, Repaublica Dominicana : [s.n.], 2002, c2001.</t>
  </si>
  <si>
    <t>Pensamiento criminolaogico dominicano ; 2</t>
  </si>
  <si>
    <t>2004-09-22</t>
  </si>
  <si>
    <t>5615083938:spa</t>
  </si>
  <si>
    <t>56122354</t>
  </si>
  <si>
    <t>991004381619702656</t>
  </si>
  <si>
    <t>2259855160002656</t>
  </si>
  <si>
    <t>9789993483519</t>
  </si>
  <si>
    <t>32285004988282</t>
  </si>
  <si>
    <t>893411457</t>
  </si>
  <si>
    <t>HV687 .C68 2000</t>
  </si>
  <si>
    <t>0                      HV 0687000C  68          2000</t>
  </si>
  <si>
    <t>Social work in the health field : a care perspective / Lois A. Fort Cowles.</t>
  </si>
  <si>
    <t>Cowles, Lois A. Fort.</t>
  </si>
  <si>
    <t>New York : Haworth Press, c2000.</t>
  </si>
  <si>
    <t>825541036:eng</t>
  </si>
  <si>
    <t>41445645</t>
  </si>
  <si>
    <t>991003028849702656</t>
  </si>
  <si>
    <t>2269383600002656</t>
  </si>
  <si>
    <t>9780789009135</t>
  </si>
  <si>
    <t>32285003656344</t>
  </si>
  <si>
    <t>893409841</t>
  </si>
  <si>
    <t>HV687.5.U5 D95 2004</t>
  </si>
  <si>
    <t>0                      HV 0687500U  5                  D  95          2004</t>
  </si>
  <si>
    <t>The changing face of health care social work : professional practice in managed behavioral health care / Sophia F. Dziegielewski with contributors.</t>
  </si>
  <si>
    <t>Dziegielewski, Sophia F.</t>
  </si>
  <si>
    <t>New York : Springer Pub. Co., c2004.</t>
  </si>
  <si>
    <t>2005-01-17</t>
  </si>
  <si>
    <t>3857309008:eng</t>
  </si>
  <si>
    <t>52594609</t>
  </si>
  <si>
    <t>991004424439702656</t>
  </si>
  <si>
    <t>2267138710002656</t>
  </si>
  <si>
    <t>9780826181459</t>
  </si>
  <si>
    <t>32285005021422</t>
  </si>
  <si>
    <t>893349982</t>
  </si>
  <si>
    <t>HV687.5.U5 S63 1986</t>
  </si>
  <si>
    <t>0                      HV 0687500U  5                  S  63          1986</t>
  </si>
  <si>
    <t>Social work and Alzheimer's disease : practice issues with victims and their families / Rose Dobrof, editor.</t>
  </si>
  <si>
    <t>New York : Haworth Press, c1986.</t>
  </si>
  <si>
    <t>1994-02-22</t>
  </si>
  <si>
    <t>1996-04-15</t>
  </si>
  <si>
    <t>1993-06-03</t>
  </si>
  <si>
    <t>54748895:eng</t>
  </si>
  <si>
    <t>12664141</t>
  </si>
  <si>
    <t>991001786779702656</t>
  </si>
  <si>
    <t>2264894910002656</t>
  </si>
  <si>
    <t>9780866564021</t>
  </si>
  <si>
    <t>32285001717619</t>
  </si>
  <si>
    <t>893891838</t>
  </si>
  <si>
    <t>HV69 .I57 2006</t>
  </si>
  <si>
    <t>0                      HV 0069000I  57          2006</t>
  </si>
  <si>
    <t>International perspectives on welfare to work policy / Richard Hoefer, James Midgley, editors.</t>
  </si>
  <si>
    <t>2006-12-11</t>
  </si>
  <si>
    <t>363960705:eng</t>
  </si>
  <si>
    <t>63125897</t>
  </si>
  <si>
    <t>991004985399702656</t>
  </si>
  <si>
    <t>2269931470002656</t>
  </si>
  <si>
    <t>9780789033673</t>
  </si>
  <si>
    <t>32285005266076</t>
  </si>
  <si>
    <t>893332245</t>
  </si>
  <si>
    <t>HV6943 .H47</t>
  </si>
  <si>
    <t>0                      HV 6943000H  47</t>
  </si>
  <si>
    <t>Tales from the Newgate calendar / Rayner Heppenstall.</t>
  </si>
  <si>
    <t>Heppenstall, Rayner, 1911-1981.</t>
  </si>
  <si>
    <t>London : Constable, 1981.</t>
  </si>
  <si>
    <t>2002-11-08</t>
  </si>
  <si>
    <t>367623261:eng</t>
  </si>
  <si>
    <t>8074599</t>
  </si>
  <si>
    <t>991005200789702656</t>
  </si>
  <si>
    <t>2255800280002656</t>
  </si>
  <si>
    <t>9780094641303</t>
  </si>
  <si>
    <t>32285001182111</t>
  </si>
  <si>
    <t>893332588</t>
  </si>
  <si>
    <t>HV6943 .P64 1981</t>
  </si>
  <si>
    <t>0                      HV 6943000P  64          1981</t>
  </si>
  <si>
    <t>Policing and punishment in nineteenth century Britain / edited by Victor Bailey.</t>
  </si>
  <si>
    <t>New Brunswick, N.J. : Rutgers University Press, 1981.</t>
  </si>
  <si>
    <t>2003-04-23</t>
  </si>
  <si>
    <t>474628:eng</t>
  </si>
  <si>
    <t>7712238</t>
  </si>
  <si>
    <t>991005149529702656</t>
  </si>
  <si>
    <t>2268599600002656</t>
  </si>
  <si>
    <t>9780813509327</t>
  </si>
  <si>
    <t>32285001182145</t>
  </si>
  <si>
    <t>893625524</t>
  </si>
  <si>
    <t>HV6949.E5 E47 1987</t>
  </si>
  <si>
    <t>0                      HV 6949000E  5                  E  47          1987</t>
  </si>
  <si>
    <t>Crime and society in England, 1750-1900 / Clive Emsley.</t>
  </si>
  <si>
    <t>Emsley, Clive.</t>
  </si>
  <si>
    <t>London ; New York : Longman, 1987.</t>
  </si>
  <si>
    <t>Themes in British social history</t>
  </si>
  <si>
    <t>7655862:eng</t>
  </si>
  <si>
    <t>14135099</t>
  </si>
  <si>
    <t>991004973159702656</t>
  </si>
  <si>
    <t>2262543920002656</t>
  </si>
  <si>
    <t>9780582493995</t>
  </si>
  <si>
    <t>32285005234371</t>
  </si>
  <si>
    <t>893430666</t>
  </si>
  <si>
    <t>HV6957 .T38 2004</t>
  </si>
  <si>
    <t>0                      HV 6957000T  38          2004</t>
  </si>
  <si>
    <t>The enemy within : hucksters, racketeers, deserters &amp; civilians during the Second World War / Donald Thomas.</t>
  </si>
  <si>
    <t>Thomas, Donald, 1926-</t>
  </si>
  <si>
    <t>New York : New York University Press, 2004.</t>
  </si>
  <si>
    <t>2006-04-25</t>
  </si>
  <si>
    <t>353895562:eng</t>
  </si>
  <si>
    <t>53178333</t>
  </si>
  <si>
    <t>991004779729702656</t>
  </si>
  <si>
    <t>2259994730002656</t>
  </si>
  <si>
    <t>9780814782866</t>
  </si>
  <si>
    <t>32285005182265</t>
  </si>
  <si>
    <t>893876573</t>
  </si>
  <si>
    <t>HV696.F6 A93</t>
  </si>
  <si>
    <t>0                      HV 0696000F  6                  A  93</t>
  </si>
  <si>
    <t>Confronting urban malnutrition : the design of nutrition programs / James E. Austin.</t>
  </si>
  <si>
    <t>Austin, James E.</t>
  </si>
  <si>
    <t>Baltimore : Published for the World Bank [by] the Johns Hopkins University Press, c1980.</t>
  </si>
  <si>
    <t>World Bank staff occasional papers ; no. 28</t>
  </si>
  <si>
    <t>1997-03-28</t>
  </si>
  <si>
    <t>1991-07-22</t>
  </si>
  <si>
    <t>452088:eng</t>
  </si>
  <si>
    <t>5776744</t>
  </si>
  <si>
    <t>991004873209702656</t>
  </si>
  <si>
    <t>2256145190002656</t>
  </si>
  <si>
    <t>9780801822612</t>
  </si>
  <si>
    <t>32285000677905</t>
  </si>
  <si>
    <t>893694437</t>
  </si>
  <si>
    <t>HV696.F6 C86 1999</t>
  </si>
  <si>
    <t>0                      HV 0696000F  6                  C  86          1999</t>
  </si>
  <si>
    <t>Famine, conflict, and response : a basic guide / Frederick C. Cuny ; with Richard B. Hill.</t>
  </si>
  <si>
    <t>Cuny, Frederick C.</t>
  </si>
  <si>
    <t>West Hartford, Conn. : Kumarian Press, 1999.</t>
  </si>
  <si>
    <t>2006-12-04</t>
  </si>
  <si>
    <t>2006-02-27</t>
  </si>
  <si>
    <t>890875110:eng</t>
  </si>
  <si>
    <t>40199936</t>
  </si>
  <si>
    <t>991004751929702656</t>
  </si>
  <si>
    <t>2266296450002656</t>
  </si>
  <si>
    <t>9781565490901</t>
  </si>
  <si>
    <t>32285005166227</t>
  </si>
  <si>
    <t>893712974</t>
  </si>
  <si>
    <t>HV696.F6 G388 2001</t>
  </si>
  <si>
    <t>0                      HV 0696000F  6                  G  388         2001</t>
  </si>
  <si>
    <t>The geopolitics of hunger, 2000-2001 : hunger and power / Action Against Hunger.</t>
  </si>
  <si>
    <t>Boulder : L. Rienner, 2001.</t>
  </si>
  <si>
    <t>2002-03-01</t>
  </si>
  <si>
    <t>2001-10-23</t>
  </si>
  <si>
    <t>837025496:eng</t>
  </si>
  <si>
    <t>44454598</t>
  </si>
  <si>
    <t>991003621919702656</t>
  </si>
  <si>
    <t>2269766790002656</t>
  </si>
  <si>
    <t>9781555879013</t>
  </si>
  <si>
    <t>32285004399324</t>
  </si>
  <si>
    <t>893234368</t>
  </si>
  <si>
    <t>HV696.F6 M35 1989</t>
  </si>
  <si>
    <t>0                      HV 0696000F  6                  M  35          1989</t>
  </si>
  <si>
    <t>Still hungry after all these years : food assistance policy from Kennedy to Reagan / Ardith L. Maney.</t>
  </si>
  <si>
    <t>Maney, Ardith.</t>
  </si>
  <si>
    <t>Studies in social welfare policies and programs, 8755-5360 ; no. 11</t>
  </si>
  <si>
    <t>2007-10-02</t>
  </si>
  <si>
    <t>203289144:eng</t>
  </si>
  <si>
    <t>18629735</t>
  </si>
  <si>
    <t>991001378459702656</t>
  </si>
  <si>
    <t>2265199540002656</t>
  </si>
  <si>
    <t>9780313263279</t>
  </si>
  <si>
    <t>32285000139674</t>
  </si>
  <si>
    <t>893238081</t>
  </si>
  <si>
    <t>HV696.F6 W34</t>
  </si>
  <si>
    <t>0                      HV 0696000F  6                  W  34</t>
  </si>
  <si>
    <t>Food for war-food for peace : United States food aid in a global context / Mitchel B. Wallerstein.</t>
  </si>
  <si>
    <t>Wallerstein, Mitchel B.</t>
  </si>
  <si>
    <t>Cambridge, Mass. : MIT Press, c1980.</t>
  </si>
  <si>
    <t>1995-03-26</t>
  </si>
  <si>
    <t>1992-11-13</t>
  </si>
  <si>
    <t>365377324:eng</t>
  </si>
  <si>
    <t>6554133</t>
  </si>
  <si>
    <t>991005001809702656</t>
  </si>
  <si>
    <t>2256454740002656</t>
  </si>
  <si>
    <t>9780262231060</t>
  </si>
  <si>
    <t>32285001384600</t>
  </si>
  <si>
    <t>893600475</t>
  </si>
  <si>
    <t>HV696.F6 W58 1993</t>
  </si>
  <si>
    <t>0                      HV 0696000F  6                  W  58          1993</t>
  </si>
  <si>
    <t>Why food aid? / edited by Vernon W. Ruttan.</t>
  </si>
  <si>
    <t>Baltimore : Johns Hopkins University Press, c1993.</t>
  </si>
  <si>
    <t>1998-04-17</t>
  </si>
  <si>
    <t>1993-09-13</t>
  </si>
  <si>
    <t>28751503:eng</t>
  </si>
  <si>
    <t>26211183</t>
  </si>
  <si>
    <t>991002052049702656</t>
  </si>
  <si>
    <t>2271649110002656</t>
  </si>
  <si>
    <t>9780801844713</t>
  </si>
  <si>
    <t>32285001765808</t>
  </si>
  <si>
    <t>893316321</t>
  </si>
  <si>
    <t>HV6964 .D46</t>
  </si>
  <si>
    <t>0                      HV 6964000D  46</t>
  </si>
  <si>
    <t>Deviants and the abandoned in French society : selections from the Annales, économies, sociétés, civilisations / edited by Robert Forster and Orest Ranum ; translated by Elborg Forster and Patricia M. Ranum.</t>
  </si>
  <si>
    <t>Baltimore : Johns Hopkins University Press, c1978.</t>
  </si>
  <si>
    <t>Annales, économies, sociétés, civilisations ; v.4</t>
  </si>
  <si>
    <t>861042815:eng</t>
  </si>
  <si>
    <t>3710798</t>
  </si>
  <si>
    <t>991004499809702656</t>
  </si>
  <si>
    <t>2263887020002656</t>
  </si>
  <si>
    <t>9780801819919</t>
  </si>
  <si>
    <t>32285001182194</t>
  </si>
  <si>
    <t>893901296</t>
  </si>
  <si>
    <t>HV697 .M37 1983</t>
  </si>
  <si>
    <t>0                      HV 0697000M  37          1983</t>
  </si>
  <si>
    <t>Marriage and family assessment : a sourcebook for family therapy / edited by Erik E. Filsinger.</t>
  </si>
  <si>
    <t>1999-07-15</t>
  </si>
  <si>
    <t>836622795:eng</t>
  </si>
  <si>
    <t>9647206</t>
  </si>
  <si>
    <t>991000236349702656</t>
  </si>
  <si>
    <t>2270698780002656</t>
  </si>
  <si>
    <t>9780803920286</t>
  </si>
  <si>
    <t>32285000130798</t>
  </si>
  <si>
    <t>893626255</t>
  </si>
  <si>
    <t>HV697 .M55 1998</t>
  </si>
  <si>
    <t>0                      HV 0697000M  55          1998</t>
  </si>
  <si>
    <t>Working with families of the poor / Patricia Minuchin, Jorge Colapinto, Salvador Minuchin.</t>
  </si>
  <si>
    <t>Minuchin, Patricia.</t>
  </si>
  <si>
    <t>New York : Guilford Press, c1998.</t>
  </si>
  <si>
    <t>The Guilford family therapy series</t>
  </si>
  <si>
    <t>2000-05-28</t>
  </si>
  <si>
    <t>937499:eng</t>
  </si>
  <si>
    <t>38853768</t>
  </si>
  <si>
    <t>991005428089702656</t>
  </si>
  <si>
    <t>2272593440002656</t>
  </si>
  <si>
    <t>9781572303737</t>
  </si>
  <si>
    <t>32285003506200</t>
  </si>
  <si>
    <t>893626006</t>
  </si>
  <si>
    <t>HV697 .R35 1985</t>
  </si>
  <si>
    <t>0                      HV 0697000R  35          1985</t>
  </si>
  <si>
    <t>Family problem solving / William J. Reid.</t>
  </si>
  <si>
    <t>Reid, William James, 1928-</t>
  </si>
  <si>
    <t>1996-04-22</t>
  </si>
  <si>
    <t>1992-07-10</t>
  </si>
  <si>
    <t>1061326:eng</t>
  </si>
  <si>
    <t>11865636</t>
  </si>
  <si>
    <t>991000604869702656</t>
  </si>
  <si>
    <t>2264538700002656</t>
  </si>
  <si>
    <t>9780231060578</t>
  </si>
  <si>
    <t>32285001151710</t>
  </si>
  <si>
    <t>893237452</t>
  </si>
  <si>
    <t>HV697 .S855 1991</t>
  </si>
  <si>
    <t>0                      HV 0697000S  855         1991</t>
  </si>
  <si>
    <t>Forgiving our parents, forgiving ourselves : healing adult children of dysfunctional families / David Stoop and James Masteller.</t>
  </si>
  <si>
    <t>Stoop, David.</t>
  </si>
  <si>
    <t>Ann Arbor, Mich. : Vine Books, c1991.</t>
  </si>
  <si>
    <t>2005-01-28</t>
  </si>
  <si>
    <t>2002-08-15</t>
  </si>
  <si>
    <t>12527615:eng</t>
  </si>
  <si>
    <t>24320409</t>
  </si>
  <si>
    <t>991003859529702656</t>
  </si>
  <si>
    <t>2272565160002656</t>
  </si>
  <si>
    <t>9780892837120</t>
  </si>
  <si>
    <t>32285004643564</t>
  </si>
  <si>
    <t>893868965</t>
  </si>
  <si>
    <t>HV6973 .R84 1999</t>
  </si>
  <si>
    <t>0                      HV 6973000R  84          1999</t>
  </si>
  <si>
    <t>The crimes of women in early modern Germany / Ulinka Rublack.</t>
  </si>
  <si>
    <t>Rublack, Ulinka.</t>
  </si>
  <si>
    <t>Oxford ; New York : Clarendon Press, 1999.</t>
  </si>
  <si>
    <t>Oxford studies in social history</t>
  </si>
  <si>
    <t>2000-12-06</t>
  </si>
  <si>
    <t>20512127:eng</t>
  </si>
  <si>
    <t>38504258</t>
  </si>
  <si>
    <t>991003300309702656</t>
  </si>
  <si>
    <t>2266914490002656</t>
  </si>
  <si>
    <t>9780198206378</t>
  </si>
  <si>
    <t>32285004275334</t>
  </si>
  <si>
    <t>893623351</t>
  </si>
  <si>
    <t>HV699 .A43 1993</t>
  </si>
  <si>
    <t>0                      HV 0699000A  43          1993</t>
  </si>
  <si>
    <t>Advancing family preservation practice / E. Susan Morton, R. Kevin Grigsby, editors.</t>
  </si>
  <si>
    <t>Newbury Park, Calif. : Sage Publications, c1993.</t>
  </si>
  <si>
    <t>Sage focus editions ; 150</t>
  </si>
  <si>
    <t>2000-11-05</t>
  </si>
  <si>
    <t>1993-06-07</t>
  </si>
  <si>
    <t>29448257:eng</t>
  </si>
  <si>
    <t>26720137</t>
  </si>
  <si>
    <t>991002082149702656</t>
  </si>
  <si>
    <t>2271053030002656</t>
  </si>
  <si>
    <t>9780803945708</t>
  </si>
  <si>
    <t>32285001584662</t>
  </si>
  <si>
    <t>893256852</t>
  </si>
  <si>
    <t>HV699 .A63 1987</t>
  </si>
  <si>
    <t>0                      HV 0699000A  63          1987</t>
  </si>
  <si>
    <t>America's family support programs : perspectives and prospects / edited by Sharon L. Kagan ... [et al.].</t>
  </si>
  <si>
    <t>New Haven, CT : Yale University Press, c1987.</t>
  </si>
  <si>
    <t>1996-05-08</t>
  </si>
  <si>
    <t>836716813:eng</t>
  </si>
  <si>
    <t>15518685</t>
  </si>
  <si>
    <t>991001031589702656</t>
  </si>
  <si>
    <t>2264670070002656</t>
  </si>
  <si>
    <t>9780300038576</t>
  </si>
  <si>
    <t>32285001682193</t>
  </si>
  <si>
    <t>893589965</t>
  </si>
  <si>
    <t>HV699 .B35 2001</t>
  </si>
  <si>
    <t>0                      HV 0699000B  35          2001</t>
  </si>
  <si>
    <t>Balancing family-centered services and child well-being : exploring issues in policy, practice, theory, and research / Elaine Walton, Patricia Sandau-Beckler, Marc Mannes, editors.</t>
  </si>
  <si>
    <t>2003-04-22</t>
  </si>
  <si>
    <t>801325580:eng</t>
  </si>
  <si>
    <t>45446166</t>
  </si>
  <si>
    <t>991003585679702656</t>
  </si>
  <si>
    <t>2262311590002656</t>
  </si>
  <si>
    <t>9780231112826</t>
  </si>
  <si>
    <t>32285004411657</t>
  </si>
  <si>
    <t>893893882</t>
  </si>
  <si>
    <t>HV699 .B36 1994</t>
  </si>
  <si>
    <t>0                      HV 0699000B  36          1994</t>
  </si>
  <si>
    <t>Welfare realities : from rhetoric to reform / Mary Jo Bane, David T. Ellwood.</t>
  </si>
  <si>
    <t>Bane, Mary Jo.</t>
  </si>
  <si>
    <t>Cambridge, Mass. : Harvard University Press, 1994.</t>
  </si>
  <si>
    <t>1998-09-22</t>
  </si>
  <si>
    <t>1995-01-10</t>
  </si>
  <si>
    <t>2685404:eng</t>
  </si>
  <si>
    <t>29469835</t>
  </si>
  <si>
    <t>991002270839702656</t>
  </si>
  <si>
    <t>2261642980002656</t>
  </si>
  <si>
    <t>9780674949126</t>
  </si>
  <si>
    <t>32285001992097</t>
  </si>
  <si>
    <t>893609671</t>
  </si>
  <si>
    <t>HV699 .B47 1994</t>
  </si>
  <si>
    <t>0                      HV 0699000B  47          1994</t>
  </si>
  <si>
    <t>Family-based services : a solution-focused approach / Insoo Kim Berg.</t>
  </si>
  <si>
    <t>Berg, Insoo Kim.</t>
  </si>
  <si>
    <t>New York : W.W. Norton, c1994.</t>
  </si>
  <si>
    <t>2000-01-24</t>
  </si>
  <si>
    <t>54057634:eng</t>
  </si>
  <si>
    <t>29521644</t>
  </si>
  <si>
    <t>991002275529702656</t>
  </si>
  <si>
    <t>2268322410002656</t>
  </si>
  <si>
    <t>9780393701623</t>
  </si>
  <si>
    <t>32285003643706</t>
  </si>
  <si>
    <t>893615921</t>
  </si>
  <si>
    <t>HV699 .B88 1988</t>
  </si>
  <si>
    <t>0                      HV 0699000B  88          1988</t>
  </si>
  <si>
    <t>Families in distress : public, private, and civic responses / Malcolm Bush.</t>
  </si>
  <si>
    <t>Bush, Malcolm.</t>
  </si>
  <si>
    <t>Berkeley : University of California Press, c1988.</t>
  </si>
  <si>
    <t>2000-11-29</t>
  </si>
  <si>
    <t>1992-07-27</t>
  </si>
  <si>
    <t>836708968:eng</t>
  </si>
  <si>
    <t>15223977</t>
  </si>
  <si>
    <t>991001004529702656</t>
  </si>
  <si>
    <t>2266437570002656</t>
  </si>
  <si>
    <t>9780520060944</t>
  </si>
  <si>
    <t>32285001207132</t>
  </si>
  <si>
    <t>893778466</t>
  </si>
  <si>
    <t>HV699 .C27 2007</t>
  </si>
  <si>
    <t>0                      HV 0699000C  27          2007</t>
  </si>
  <si>
    <t>Home-visiting strategies : a case-management guide for caregivers / Terry Eisenberg Carrilio.</t>
  </si>
  <si>
    <t>Carrilio, Terry Eisenberg.</t>
  </si>
  <si>
    <t>Columbia, S.C. : University of South Carolina Press, c2007.</t>
  </si>
  <si>
    <t>scu</t>
  </si>
  <si>
    <t>2008-11-06</t>
  </si>
  <si>
    <t>449849366:eng</t>
  </si>
  <si>
    <t>76937416</t>
  </si>
  <si>
    <t>991005270929702656</t>
  </si>
  <si>
    <t>2265769050002656</t>
  </si>
  <si>
    <t>9781570036767</t>
  </si>
  <si>
    <t>32285005466106</t>
  </si>
  <si>
    <t>893536516</t>
  </si>
  <si>
    <t>HV699 .C545 1989</t>
  </si>
  <si>
    <t>0                      HV 0699000C  545         1989</t>
  </si>
  <si>
    <t>Family-centered practice : the interactional dance beyond the family system / John Victor Compher ; foreword by Edgar H. Averswald.</t>
  </si>
  <si>
    <t>Compher, John Victor.</t>
  </si>
  <si>
    <t>2005-06-16</t>
  </si>
  <si>
    <t>1990-06-18</t>
  </si>
  <si>
    <t>368111314:eng</t>
  </si>
  <si>
    <t>17263953</t>
  </si>
  <si>
    <t>991001194039702656</t>
  </si>
  <si>
    <t>2266784090002656</t>
  </si>
  <si>
    <t>9780898854220</t>
  </si>
  <si>
    <t>32285000178409</t>
  </si>
  <si>
    <t>893602403</t>
  </si>
  <si>
    <t>HV699 .E84 1995</t>
  </si>
  <si>
    <t>0                      HV 0699000E  84          1995</t>
  </si>
  <si>
    <t>Evaluating family-based services / Peter J. Pecora ... [et al.].</t>
  </si>
  <si>
    <t>1996-06-11</t>
  </si>
  <si>
    <t>33934379:eng</t>
  </si>
  <si>
    <t>31867413</t>
  </si>
  <si>
    <t>991002443589702656</t>
  </si>
  <si>
    <t>2257871380002656</t>
  </si>
  <si>
    <t>9780202360935</t>
  </si>
  <si>
    <t>32285002191061</t>
  </si>
  <si>
    <t>893886282</t>
  </si>
  <si>
    <t>HV699 .F26 1991</t>
  </si>
  <si>
    <t>0                      HV 0699000F  26          1991</t>
  </si>
  <si>
    <t>Families in crisis : the impact of intensive family preservation services / Mark W. Fraser, Peter J. Pecora, and David A. Haapala, [editors].</t>
  </si>
  <si>
    <t>New York : A. de Gruyter, c1991.</t>
  </si>
  <si>
    <t>1995-07-23</t>
  </si>
  <si>
    <t>368110910:eng</t>
  </si>
  <si>
    <t>23048844</t>
  </si>
  <si>
    <t>991001834929702656</t>
  </si>
  <si>
    <t>2255888180002656</t>
  </si>
  <si>
    <t>9780202360690</t>
  </si>
  <si>
    <t>32285002075710</t>
  </si>
  <si>
    <t>893879228</t>
  </si>
  <si>
    <t>HV699 .F317 1991</t>
  </si>
  <si>
    <t>0                      HV 0699000F  317         1991</t>
  </si>
  <si>
    <t>Family preservation services : research and evaluation / Kathleen Wells, David E. Biegel, editors.</t>
  </si>
  <si>
    <t>Newbury Park, Calif. : Sage, c1991.</t>
  </si>
  <si>
    <t>Sage focus editions ; 129</t>
  </si>
  <si>
    <t>1991-12-15</t>
  </si>
  <si>
    <t>836734775:eng</t>
  </si>
  <si>
    <t>22767442</t>
  </si>
  <si>
    <t>991001814089702656</t>
  </si>
  <si>
    <t>2261543210002656</t>
  </si>
  <si>
    <t>9780803935167</t>
  </si>
  <si>
    <t>32285000860154</t>
  </si>
  <si>
    <t>893866508</t>
  </si>
  <si>
    <t>HV699 .G64 1992</t>
  </si>
  <si>
    <t>0                      HV 0699000G  64          1992</t>
  </si>
  <si>
    <t>Poor children and welfare reform / Olivia Golden ; foreword by Lisbeth Schorr.</t>
  </si>
  <si>
    <t>Golden, Olivia Ann.</t>
  </si>
  <si>
    <t>Westport, Conn. : Auburn House, 1992.</t>
  </si>
  <si>
    <t>1998-10-21</t>
  </si>
  <si>
    <t>1993-05-13</t>
  </si>
  <si>
    <t>2846633:eng</t>
  </si>
  <si>
    <t>25246172</t>
  </si>
  <si>
    <t>991001987149702656</t>
  </si>
  <si>
    <t>2256323290002656</t>
  </si>
  <si>
    <t>9780865690455</t>
  </si>
  <si>
    <t>32285001581346</t>
  </si>
  <si>
    <t>893427080</t>
  </si>
  <si>
    <t>HV699 .H345 2002</t>
  </si>
  <si>
    <t>0                      HV 0699000H  345         2002</t>
  </si>
  <si>
    <t>The poverty of life-affirming work : motherwork, education, and social change / Mechthild U. Hart.</t>
  </si>
  <si>
    <t>Hart, Mechthild U. (Mechthild Ursula), 1948-</t>
  </si>
  <si>
    <t>Westport, Conn. : Greenwood Press, 2002.</t>
  </si>
  <si>
    <t>Contributions in women's studies, 0147-104X ; no. 194</t>
  </si>
  <si>
    <t>2006-10-29</t>
  </si>
  <si>
    <t>2002-09-09</t>
  </si>
  <si>
    <t>2634370:eng</t>
  </si>
  <si>
    <t>47216466</t>
  </si>
  <si>
    <t>991003842529702656</t>
  </si>
  <si>
    <t>2255786630002656</t>
  </si>
  <si>
    <t>9780313317767</t>
  </si>
  <si>
    <t>32285004646195</t>
  </si>
  <si>
    <t>893410763</t>
  </si>
  <si>
    <t>HV699 .H57 1983</t>
  </si>
  <si>
    <t>0                      HV 0699000H  57          1983</t>
  </si>
  <si>
    <t>Family assessment : tools for understanding and intervention / Adele M. Holman.</t>
  </si>
  <si>
    <t>Holman, Adele M.</t>
  </si>
  <si>
    <t>A Sage human services guides ; v. 33</t>
  </si>
  <si>
    <t>1996-03-06</t>
  </si>
  <si>
    <t>1992-09-01</t>
  </si>
  <si>
    <t>15842020:eng</t>
  </si>
  <si>
    <t>9394282</t>
  </si>
  <si>
    <t>991000187129702656</t>
  </si>
  <si>
    <t>2262944550002656</t>
  </si>
  <si>
    <t>9780803920200</t>
  </si>
  <si>
    <t>32285001284636</t>
  </si>
  <si>
    <t>893683225</t>
  </si>
  <si>
    <t>HV699 .M47 1988</t>
  </si>
  <si>
    <t>0                      HV 0699000M  47          1988</t>
  </si>
  <si>
    <t>Mental illness, delinquency, addictions, and neglect / edited by Elam W. Nunnally, Catherine S. Chilman, Fred M. Cox.</t>
  </si>
  <si>
    <t>Newbury Park : Sage Publications, c1988.</t>
  </si>
  <si>
    <t>Families in trouble series ; v. 4</t>
  </si>
  <si>
    <t>1991-01-04</t>
  </si>
  <si>
    <t>375733667:eng</t>
  </si>
  <si>
    <t>21033899</t>
  </si>
  <si>
    <t>991001641539702656</t>
  </si>
  <si>
    <t>2271756990002656</t>
  </si>
  <si>
    <t>9780803927056</t>
  </si>
  <si>
    <t>32285000407154</t>
  </si>
  <si>
    <t>893238223</t>
  </si>
  <si>
    <t>HV699 .N44 1992</t>
  </si>
  <si>
    <t>0                      HV 0699000N  44          1992</t>
  </si>
  <si>
    <t>Alternative models of family preservation : family-based services in context / by Kristine E. Nelson, Miriam J. Landsman.</t>
  </si>
  <si>
    <t>Nelson, Kristine E.</t>
  </si>
  <si>
    <t>Springfield, Ill. : Thomas, c1992.</t>
  </si>
  <si>
    <t>476312165:eng</t>
  </si>
  <si>
    <t>25747428</t>
  </si>
  <si>
    <t>991002023879702656</t>
  </si>
  <si>
    <t>2271710630002656</t>
  </si>
  <si>
    <t>9780398058104</t>
  </si>
  <si>
    <t>32285001498657</t>
  </si>
  <si>
    <t>893603123</t>
  </si>
  <si>
    <t>HV699 .P88 1994</t>
  </si>
  <si>
    <t>0                      HV 0699000P  88          1994</t>
  </si>
  <si>
    <t>Putting families first : America's family support movement and the challenge of change / Sharon L. Kagan and Bernice Weissbourd, editors.</t>
  </si>
  <si>
    <t>San Francisco : Jossey-Bass, c1994.</t>
  </si>
  <si>
    <t>Jossey-Bass education series</t>
  </si>
  <si>
    <t>2005-04-18</t>
  </si>
  <si>
    <t>1996-12-11</t>
  </si>
  <si>
    <t>908893994:eng</t>
  </si>
  <si>
    <t>30108536</t>
  </si>
  <si>
    <t>991002320289702656</t>
  </si>
  <si>
    <t>2263109370002656</t>
  </si>
  <si>
    <t>9781555426675</t>
  </si>
  <si>
    <t>32285002392313</t>
  </si>
  <si>
    <t>893347370</t>
  </si>
  <si>
    <t>HV699 .S527 1996</t>
  </si>
  <si>
    <t>0                      HV 0699000S  527         1996</t>
  </si>
  <si>
    <t>Keeping women and children last : America's war on the poor / Ruth Sidel.</t>
  </si>
  <si>
    <t>Sidel, Ruth.</t>
  </si>
  <si>
    <t>New York, N.Y. : Penguin Books, 1996.</t>
  </si>
  <si>
    <t>1996-10-01</t>
  </si>
  <si>
    <t>24132037:eng</t>
  </si>
  <si>
    <t>33668143</t>
  </si>
  <si>
    <t>991002578759702656</t>
  </si>
  <si>
    <t>2256581790002656</t>
  </si>
  <si>
    <t>9780140246636</t>
  </si>
  <si>
    <t>32285002321494</t>
  </si>
  <si>
    <t>893329269</t>
  </si>
  <si>
    <t>HV699 .T76 1988</t>
  </si>
  <si>
    <t>0                      HV 0699000T  76          1988</t>
  </si>
  <si>
    <t>Troubled relationships / edited by Elam W. Nunnally, Catherine S. Chilman, Fred M. Cox.</t>
  </si>
  <si>
    <t>Newbury Park, Calif. : Sage Publications, c1988.</t>
  </si>
  <si>
    <t>Families in trouble series ; v. 3</t>
  </si>
  <si>
    <t>2008-02-26</t>
  </si>
  <si>
    <t>364402464:eng</t>
  </si>
  <si>
    <t>17649491</t>
  </si>
  <si>
    <t>991001245129702656</t>
  </si>
  <si>
    <t>2259181120002656</t>
  </si>
  <si>
    <t>9780803927025</t>
  </si>
  <si>
    <t>32285000407188</t>
  </si>
  <si>
    <t>893407986</t>
  </si>
  <si>
    <t>HV700.5 .H65 1998</t>
  </si>
  <si>
    <t>0                      HV 0700500H  65          1998</t>
  </si>
  <si>
    <t>Welfare reform and states' efforts to prevent births outside of marriage / by Sonja Hoover.</t>
  </si>
  <si>
    <t>Hoover, Sonja.</t>
  </si>
  <si>
    <t>Denver, Colo. : National Conference of State Legislatures, c1998.</t>
  </si>
  <si>
    <t>2006-07-25</t>
  </si>
  <si>
    <t>24113918:eng</t>
  </si>
  <si>
    <t>39337775</t>
  </si>
  <si>
    <t>991003243639702656</t>
  </si>
  <si>
    <t>2264931240002656</t>
  </si>
  <si>
    <t>9781555168230</t>
  </si>
  <si>
    <t>32285003769113</t>
  </si>
  <si>
    <t>893598394</t>
  </si>
  <si>
    <t>HV700.5 .K73</t>
  </si>
  <si>
    <t>0                      HV 0700500K  73</t>
  </si>
  <si>
    <t>Mothers in poverty : a study of fatherless families.</t>
  </si>
  <si>
    <t>Kriesberg, Louis.</t>
  </si>
  <si>
    <t>Chicago : Aldine Pub. Co., [1970]</t>
  </si>
  <si>
    <t>1996-03-26</t>
  </si>
  <si>
    <t>1993-04-28</t>
  </si>
  <si>
    <t>1242317:eng</t>
  </si>
  <si>
    <t>72108</t>
  </si>
  <si>
    <t>991000376859702656</t>
  </si>
  <si>
    <t>2271495640002656</t>
  </si>
  <si>
    <t>32285001629285</t>
  </si>
  <si>
    <t>893890613</t>
  </si>
  <si>
    <t>HV700.5 .M56 1998</t>
  </si>
  <si>
    <t>0                      HV 0700500M  56          1998</t>
  </si>
  <si>
    <t>Welfare's end / Gwendolyn Mink.</t>
  </si>
  <si>
    <t>Mink, Gwendolyn, 1952-</t>
  </si>
  <si>
    <t>Ithaca, N.Y. : Cornell University Press, 1998.</t>
  </si>
  <si>
    <t>609959:eng</t>
  </si>
  <si>
    <t>37782953</t>
  </si>
  <si>
    <t>991002866209702656</t>
  </si>
  <si>
    <t>2264488710002656</t>
  </si>
  <si>
    <t>9780801433474</t>
  </si>
  <si>
    <t>32285003432274</t>
  </si>
  <si>
    <t>893262517</t>
  </si>
  <si>
    <t>HV700.5 .O76</t>
  </si>
  <si>
    <t>0                      HV 0700500O  76</t>
  </si>
  <si>
    <t>The pregnant teen-ager; a medical, educational, and social analysis, by Howard J. Osofsky.</t>
  </si>
  <si>
    <t>Osofsky, Howard J., 1935-</t>
  </si>
  <si>
    <t>Springfield, Ill., C. C. Thomas [1968]</t>
  </si>
  <si>
    <t>2006-04-06</t>
  </si>
  <si>
    <t>1996-07-11</t>
  </si>
  <si>
    <t>315943492:eng</t>
  </si>
  <si>
    <t>180227</t>
  </si>
  <si>
    <t>991001085519702656</t>
  </si>
  <si>
    <t>2271915520002656</t>
  </si>
  <si>
    <t>32285002211935</t>
  </si>
  <si>
    <t>893885028</t>
  </si>
  <si>
    <t>HV707 .I6132 1978a</t>
  </si>
  <si>
    <t>0                      HV 0707000I  6132        1978a</t>
  </si>
  <si>
    <t>The abused child in the family and in the community : selected papers from the Second International Congress on Child Abuse and Neglect, London, 1978 / C. Henry Kempe, Alfred White Franklin, Christine Cooper, editors.</t>
  </si>
  <si>
    <t>International Congress on Child Abuse &amp; Neglect (2nd : 1978 : London, England)</t>
  </si>
  <si>
    <t>Oxford ; New York : Pergamon, 1980.</t>
  </si>
  <si>
    <t>Child abuse &amp; neglect, 0145-2134</t>
  </si>
  <si>
    <t>2007-05-07</t>
  </si>
  <si>
    <t>1990-03-08</t>
  </si>
  <si>
    <t>1047196696:eng</t>
  </si>
  <si>
    <t>6973742</t>
  </si>
  <si>
    <t>991005066739702656</t>
  </si>
  <si>
    <t>2257003260002656</t>
  </si>
  <si>
    <t>9780080234304</t>
  </si>
  <si>
    <t>32285000078823</t>
  </si>
  <si>
    <t>893782967</t>
  </si>
  <si>
    <t>V.1</t>
  </si>
  <si>
    <t>32285000078815</t>
  </si>
  <si>
    <t>893782968</t>
  </si>
  <si>
    <t>HV7113 .C55</t>
  </si>
  <si>
    <t>0                      HV 7113000C  55</t>
  </si>
  <si>
    <t>Crime control in Japan / William Clifford.</t>
  </si>
  <si>
    <t>Clifford, W. (William), 1918-</t>
  </si>
  <si>
    <t>Lexington, Mass. : Lexington Books, c1976.</t>
  </si>
  <si>
    <t>2005-09-13</t>
  </si>
  <si>
    <t>146903398:eng</t>
  </si>
  <si>
    <t>1863374</t>
  </si>
  <si>
    <t>991003917389702656</t>
  </si>
  <si>
    <t>2263217540002656</t>
  </si>
  <si>
    <t>9780669001846</t>
  </si>
  <si>
    <t>32285003158713</t>
  </si>
  <si>
    <t>893705777</t>
  </si>
  <si>
    <t>HV7115.K38 T46 1992</t>
  </si>
  <si>
    <t>0                      HV 7115000K  38                 T  46          1992</t>
  </si>
  <si>
    <t>Preventing crime in America and Japan : a comparative study / Robert Y. Thornton, with Katsuya Endo.</t>
  </si>
  <si>
    <t>Thornton, Robert Y.</t>
  </si>
  <si>
    <t>Armonk, N.Y. : M.E. Sharpe, c1992.</t>
  </si>
  <si>
    <t>1993-06-30</t>
  </si>
  <si>
    <t>222892868:eng</t>
  </si>
  <si>
    <t>23649545</t>
  </si>
  <si>
    <t>991001872149702656</t>
  </si>
  <si>
    <t>2261762590002656</t>
  </si>
  <si>
    <t>9780873327886</t>
  </si>
  <si>
    <t>32285001700532</t>
  </si>
  <si>
    <t>893596797</t>
  </si>
  <si>
    <t>HV713 .A28</t>
  </si>
  <si>
    <t>0                      HV 0713000A  28</t>
  </si>
  <si>
    <t>The Abused child : a multidisciplinary approach to developmental issues and treatment / edited by Harold P. Martin ; foreword by C. Henry Kempe.</t>
  </si>
  <si>
    <t>Cambridge, Mass. : Ballinger Pub. Co., c1976.</t>
  </si>
  <si>
    <t>1998-03-01</t>
  </si>
  <si>
    <t>945893344:eng</t>
  </si>
  <si>
    <t>2151123</t>
  </si>
  <si>
    <t>991004030439702656</t>
  </si>
  <si>
    <t>2261436640002656</t>
  </si>
  <si>
    <t>9780884102182</t>
  </si>
  <si>
    <t>32285001188357</t>
  </si>
  <si>
    <t>893599334</t>
  </si>
  <si>
    <t>HV713 .A3 yr...</t>
  </si>
  <si>
    <t>0                      HV 0713000A  3                                                       yr...</t>
  </si>
  <si>
    <t>Advances in law and child development : a research annual / editor Robert L. Sprague.</t>
  </si>
  <si>
    <t>Greenwich, Conn. : JAI Press, 1982-</t>
  </si>
  <si>
    <t>Research annuals in the behavioral sciences</t>
  </si>
  <si>
    <t>1992-12-12</t>
  </si>
  <si>
    <t>2227922277:eng</t>
  </si>
  <si>
    <t>8572107</t>
  </si>
  <si>
    <t>991000021459702656</t>
  </si>
  <si>
    <t>2256124840002656</t>
  </si>
  <si>
    <t>9780892320943</t>
  </si>
  <si>
    <t>32285000890078</t>
  </si>
  <si>
    <t>893777602</t>
  </si>
  <si>
    <t>HV713 .B33</t>
  </si>
  <si>
    <t>0                      HV 0713000B  33</t>
  </si>
  <si>
    <t>Slaughter of the innocents.</t>
  </si>
  <si>
    <t>Bakan, David.</t>
  </si>
  <si>
    <t>San Francisco : Jossey-Bass, 1971.</t>
  </si>
  <si>
    <t>1996-07-20</t>
  </si>
  <si>
    <t>532466:eng</t>
  </si>
  <si>
    <t>153708</t>
  </si>
  <si>
    <t>991001761429702656</t>
  </si>
  <si>
    <t>2269601430002656</t>
  </si>
  <si>
    <t>9780875890937</t>
  </si>
  <si>
    <t>32285001207124</t>
  </si>
  <si>
    <t>893690887</t>
  </si>
  <si>
    <t>HV713 .C3815</t>
  </si>
  <si>
    <t>0                      HV 0713000C  3815</t>
  </si>
  <si>
    <t>Child abuse: commission and omission / edited by Joanne Valiant Cook and Roy Tyler Bowles.</t>
  </si>
  <si>
    <t>Toronto : Butterworths, c1980.</t>
  </si>
  <si>
    <t>xxc</t>
  </si>
  <si>
    <t>894530666:eng</t>
  </si>
  <si>
    <t>7206828</t>
  </si>
  <si>
    <t>991004939169702656</t>
  </si>
  <si>
    <t>2259459870002656</t>
  </si>
  <si>
    <t>9780409824100</t>
  </si>
  <si>
    <t>32285000105873</t>
  </si>
  <si>
    <t>893713243</t>
  </si>
  <si>
    <t>HV713 .C3819</t>
  </si>
  <si>
    <t>0                      HV 0713000C  3819</t>
  </si>
  <si>
    <t>Child abuse and neglect : cross-cultural perspectives / edited by Jill E. Korbin ; with forewords by Robert B. Edgerton and C. Henry Kempe.</t>
  </si>
  <si>
    <t>Berkeley : University of California Press, c1981.</t>
  </si>
  <si>
    <t>1998-11-18</t>
  </si>
  <si>
    <t>54429048:eng</t>
  </si>
  <si>
    <t>7197161</t>
  </si>
  <si>
    <t>991005086959702656</t>
  </si>
  <si>
    <t>2255566980002656</t>
  </si>
  <si>
    <t>9780520044326</t>
  </si>
  <si>
    <t>32285000078831</t>
  </si>
  <si>
    <t>893801701</t>
  </si>
  <si>
    <t>HV713 .C382</t>
  </si>
  <si>
    <t>0                      HV 0713000C  382</t>
  </si>
  <si>
    <t>Child abuse and neglect : the family and the community / edited by Ray E. Helfer and C. Henry Kempe ; pref. by Walter F. Mondale.</t>
  </si>
  <si>
    <t>1996-10-23</t>
  </si>
  <si>
    <t>181259923:eng</t>
  </si>
  <si>
    <t>2119566</t>
  </si>
  <si>
    <t>991001758999702656</t>
  </si>
  <si>
    <t>2268036720002656</t>
  </si>
  <si>
    <t>9780884102175</t>
  </si>
  <si>
    <t>32285000106194</t>
  </si>
  <si>
    <t>893609111</t>
  </si>
  <si>
    <t>HV713 .C3827</t>
  </si>
  <si>
    <t>0                      HV 0713000C  3827</t>
  </si>
  <si>
    <t>The Child protection team handbook : a multidisciplinary approach to managing child abuse and neglect / edited by Barton D. Schmitt.</t>
  </si>
  <si>
    <t>New York : Garland STPM Press, c1978.</t>
  </si>
  <si>
    <t>2000-04-16</t>
  </si>
  <si>
    <t>894521340:eng</t>
  </si>
  <si>
    <t>3071393</t>
  </si>
  <si>
    <t>991001758959702656</t>
  </si>
  <si>
    <t>2267825290002656</t>
  </si>
  <si>
    <t>9780824070007</t>
  </si>
  <si>
    <t>32285000848308</t>
  </si>
  <si>
    <t>893516467</t>
  </si>
  <si>
    <t>HV713 .C74</t>
  </si>
  <si>
    <t>0                      HV 0713000C  74</t>
  </si>
  <si>
    <t>Critical perspectives on child abuse / edited by Richard Bourne, Eli H. Newberger.</t>
  </si>
  <si>
    <t>359005795:eng</t>
  </si>
  <si>
    <t>4037386</t>
  </si>
  <si>
    <t>991005248499702656</t>
  </si>
  <si>
    <t>2269076390002656</t>
  </si>
  <si>
    <t>9780669021097</t>
  </si>
  <si>
    <t>32285000120336</t>
  </si>
  <si>
    <t>893507842</t>
  </si>
  <si>
    <t>HV713 .E47 1997</t>
  </si>
  <si>
    <t>0                      HV 0713000E  47          1997</t>
  </si>
  <si>
    <t>The anthropology of child and youth care work / Rivka A. Eisikovits.</t>
  </si>
  <si>
    <t>Eisikovits, Rivka Anne.</t>
  </si>
  <si>
    <t>New York : Haworth Press, c1997.</t>
  </si>
  <si>
    <t>Child &amp; youth services series</t>
  </si>
  <si>
    <t>2004-04-03</t>
  </si>
  <si>
    <t>1997-04-22</t>
  </si>
  <si>
    <t>40414722:eng</t>
  </si>
  <si>
    <t>35280533</t>
  </si>
  <si>
    <t>991002701999702656</t>
  </si>
  <si>
    <t>2254831300002656</t>
  </si>
  <si>
    <t>9781560248484</t>
  </si>
  <si>
    <t>32285002499498</t>
  </si>
  <si>
    <t>893873884</t>
  </si>
  <si>
    <t>HV713 .E898 1996</t>
  </si>
  <si>
    <t>0                      HV 0713000E  898         1996</t>
  </si>
  <si>
    <t>Expanding partnerships for vulnerable children, youth, and families / edited by Katharine Hooper-Briar and Hal A. Lawson.</t>
  </si>
  <si>
    <t>Alexandria, Va. : Council on Social Work Education, 1996.</t>
  </si>
  <si>
    <t>474888614:eng</t>
  </si>
  <si>
    <t>34618215</t>
  </si>
  <si>
    <t>991005423739702656</t>
  </si>
  <si>
    <t>2271985100002656</t>
  </si>
  <si>
    <t>9780872930490</t>
  </si>
  <si>
    <t>32285002388550</t>
  </si>
  <si>
    <t>893601199</t>
  </si>
  <si>
    <t>HV713 .E9</t>
  </si>
  <si>
    <t>0                      HV 0713000E  9</t>
  </si>
  <si>
    <t>Exploring the relationship between child abuse and delinquency / edited by Robert J. Hunner and Yvonne Elder Walker.</t>
  </si>
  <si>
    <t>Montclair, N.J. : Allanheld, Osmun, 1981.</t>
  </si>
  <si>
    <t>1392112647:eng</t>
  </si>
  <si>
    <t>5892192</t>
  </si>
  <si>
    <t>991004894309702656</t>
  </si>
  <si>
    <t>2262962030002656</t>
  </si>
  <si>
    <t>9780916672317</t>
  </si>
  <si>
    <t>32285000120344</t>
  </si>
  <si>
    <t>893501062</t>
  </si>
  <si>
    <t>HV713 .G54</t>
  </si>
  <si>
    <t>0                      HV 0713000G  54</t>
  </si>
  <si>
    <t>Beyond the best interests of the child / [by] Joseph Goldstein, Anna Freud [and] Albert J. Solnit.</t>
  </si>
  <si>
    <t>Goldstein, Joseph, 1923-2000.</t>
  </si>
  <si>
    <t>New York : Free Press, [1973]</t>
  </si>
  <si>
    <t>1996-12-27</t>
  </si>
  <si>
    <t>1990-05-09</t>
  </si>
  <si>
    <t>1992-08-13</t>
  </si>
  <si>
    <t>907895698:eng</t>
  </si>
  <si>
    <t>698682</t>
  </si>
  <si>
    <t>991001669979702656</t>
  </si>
  <si>
    <t>2265156550002656</t>
  </si>
  <si>
    <t>9780029123003</t>
  </si>
  <si>
    <t>32285000136910</t>
  </si>
  <si>
    <t>893516381</t>
  </si>
  <si>
    <t>HV713 .G56 1993</t>
  </si>
  <si>
    <t>0                      HV 0713000G  56          1993</t>
  </si>
  <si>
    <t>Good practice in child protection : a manual for professionals / edited by Hilary Owen and Jacki Pritchard.</t>
  </si>
  <si>
    <t>London : Jessica Kingsley, 1993.</t>
  </si>
  <si>
    <t>1997-03-26</t>
  </si>
  <si>
    <t>1994-03-29</t>
  </si>
  <si>
    <t>836973161:eng</t>
  </si>
  <si>
    <t>29474655</t>
  </si>
  <si>
    <t>991002271089702656</t>
  </si>
  <si>
    <t>2271038670002656</t>
  </si>
  <si>
    <t>9781853022050</t>
  </si>
  <si>
    <t>32285001858124</t>
  </si>
  <si>
    <t>893347310</t>
  </si>
  <si>
    <t>HV713 .G764 1993</t>
  </si>
  <si>
    <t>0                      HV 0713000G  764         1993</t>
  </si>
  <si>
    <t>Group work with children and adolescents : a handbook / ed. by Kedar Nath Dwivedi ; [foreword by Robin Skynner].</t>
  </si>
  <si>
    <t>London ; Bristol, Pa. : Jessica Kingsley Publishers, 1993.</t>
  </si>
  <si>
    <t>1994-03-18</t>
  </si>
  <si>
    <t>836929411:eng</t>
  </si>
  <si>
    <t>29218146</t>
  </si>
  <si>
    <t>991002254179702656</t>
  </si>
  <si>
    <t>2258348700002656</t>
  </si>
  <si>
    <t>9781853021572</t>
  </si>
  <si>
    <t>32285001856565</t>
  </si>
  <si>
    <t>893703870</t>
  </si>
  <si>
    <t>HV713 .J87</t>
  </si>
  <si>
    <t>0                      HV 0713000J  87</t>
  </si>
  <si>
    <t>The abusing family / Blair Justice and Rita Justice.</t>
  </si>
  <si>
    <t>Justice, Blair.</t>
  </si>
  <si>
    <t>New York : Human Sciences Press, c1976.</t>
  </si>
  <si>
    <t>1995-10-10</t>
  </si>
  <si>
    <t>1992-11-30</t>
  </si>
  <si>
    <t>535288:eng</t>
  </si>
  <si>
    <t>2089544</t>
  </si>
  <si>
    <t>991004008839702656</t>
  </si>
  <si>
    <t>2263429300002656</t>
  </si>
  <si>
    <t>9780877052944</t>
  </si>
  <si>
    <t>32285001410157</t>
  </si>
  <si>
    <t>893722212</t>
  </si>
  <si>
    <t>HV713 .K32</t>
  </si>
  <si>
    <t>0                      HV 0713000K  32</t>
  </si>
  <si>
    <t>Child abuse--an interactional event / Alfred Kadushin and Judith A. Martin, with the assistance of James McGloin.</t>
  </si>
  <si>
    <t>Kadushin, Alfred.</t>
  </si>
  <si>
    <t>New York : Columbia University Press, 1981.</t>
  </si>
  <si>
    <t>1994-10-30</t>
  </si>
  <si>
    <t>420240:eng</t>
  </si>
  <si>
    <t>7169891</t>
  </si>
  <si>
    <t>991005079549702656</t>
  </si>
  <si>
    <t>2268709000002656</t>
  </si>
  <si>
    <t>9780231047746</t>
  </si>
  <si>
    <t>32285000112713</t>
  </si>
  <si>
    <t>893722744</t>
  </si>
  <si>
    <t>HV713 .K5</t>
  </si>
  <si>
    <t>0                      HV 0713000K  5</t>
  </si>
  <si>
    <t>Child abuse and neglect : a primer for school personnel / Donald F. Kline.</t>
  </si>
  <si>
    <t>Kline, Donald F. (Donald Franklin), 1924-</t>
  </si>
  <si>
    <t>Reston, Va. : Council for Exceptional Children, 1977.</t>
  </si>
  <si>
    <t>1992-03-03</t>
  </si>
  <si>
    <t>503183848:eng</t>
  </si>
  <si>
    <t>3611055</t>
  </si>
  <si>
    <t>991004477569702656</t>
  </si>
  <si>
    <t>2264556390002656</t>
  </si>
  <si>
    <t>32285000938752</t>
  </si>
  <si>
    <t>893331624</t>
  </si>
  <si>
    <t>HV713 .L96 1984</t>
  </si>
  <si>
    <t>0                      HV 0713000L  96          1984</t>
  </si>
  <si>
    <t>Consequences of child abuse / Margaret A. Lynch and Jacqueline Roberts.</t>
  </si>
  <si>
    <t>Lynch, Margaret A.</t>
  </si>
  <si>
    <t>London ; New York : Academic Press, 1984, c1982.</t>
  </si>
  <si>
    <t>2004-11-15</t>
  </si>
  <si>
    <t>1990-02-09</t>
  </si>
  <si>
    <t>409374:eng</t>
  </si>
  <si>
    <t>10162774</t>
  </si>
  <si>
    <t>991000324079702656</t>
  </si>
  <si>
    <t>2267926500002656</t>
  </si>
  <si>
    <t>9780124605701</t>
  </si>
  <si>
    <t>32285000008887</t>
  </si>
  <si>
    <t>893419367</t>
  </si>
  <si>
    <t>HV713 .P76</t>
  </si>
  <si>
    <t>0                      HV 0713000P  76</t>
  </si>
  <si>
    <t>Protecting children from abuse and neglect : developing and maintaining effective support systems for families / [edited by] James Garbarino, S. Holly Stocking ; with Alice H. Collins ... [et al.] ; [jacket design by Willi Baum].</t>
  </si>
  <si>
    <t>San Francisco : Jossey-Bass, c1980.</t>
  </si>
  <si>
    <t>894514528:eng</t>
  </si>
  <si>
    <t>5706733</t>
  </si>
  <si>
    <t>991004861619702656</t>
  </si>
  <si>
    <t>2261284080002656</t>
  </si>
  <si>
    <t>9780875894423</t>
  </si>
  <si>
    <t>32285000071190</t>
  </si>
  <si>
    <t>893706927</t>
  </si>
  <si>
    <t>HV713 .P87 1987</t>
  </si>
  <si>
    <t>0                      HV 0713000P  87          1987</t>
  </si>
  <si>
    <t>Putting children first : a volume in honour of Mia Kellmer Pringle / edited by Ian Vallender and Ken Fogelman.</t>
  </si>
  <si>
    <t>London ; New York : Falmer Press in association with the National Children's Bureau, 1987.</t>
  </si>
  <si>
    <t>2002-11-04</t>
  </si>
  <si>
    <t>836629584:eng</t>
  </si>
  <si>
    <t>15856385</t>
  </si>
  <si>
    <t>991001068799702656</t>
  </si>
  <si>
    <t>2272400230002656</t>
  </si>
  <si>
    <t>9781850002192</t>
  </si>
  <si>
    <t>32285000009521</t>
  </si>
  <si>
    <t>893708964</t>
  </si>
  <si>
    <t>HV713 .S6</t>
  </si>
  <si>
    <t>0                      HV 0713000S  6</t>
  </si>
  <si>
    <t>The battered child syndrome / Selwyn M. Smith ; foreword by Keith Simpson.</t>
  </si>
  <si>
    <t>Smith, Selwyn M.</t>
  </si>
  <si>
    <t>London : Butterworth, 1975.</t>
  </si>
  <si>
    <t>1995-11-13</t>
  </si>
  <si>
    <t>1998-07-02</t>
  </si>
  <si>
    <t>2463450:eng</t>
  </si>
  <si>
    <t>1582833</t>
  </si>
  <si>
    <t>991001730029702656</t>
  </si>
  <si>
    <t>2270839810002656</t>
  </si>
  <si>
    <t>9780407000469</t>
  </si>
  <si>
    <t>32285000101237</t>
  </si>
  <si>
    <t>893696985</t>
  </si>
  <si>
    <t>HV713 .S62</t>
  </si>
  <si>
    <t>0                      HV 0713000S  62</t>
  </si>
  <si>
    <t>Social work with abused and neglected children : a manual of interdisciplinary practice / edited by Kathleen Coulborn Faller.</t>
  </si>
  <si>
    <t>2000-02-06</t>
  </si>
  <si>
    <t>891073820:eng</t>
  </si>
  <si>
    <t>7572359</t>
  </si>
  <si>
    <t>991005130859702656</t>
  </si>
  <si>
    <t>2269955940002656</t>
  </si>
  <si>
    <t>9780029102800</t>
  </si>
  <si>
    <t>32285000134931</t>
  </si>
  <si>
    <t>893344691</t>
  </si>
  <si>
    <t>HV713 .W27 1998</t>
  </si>
  <si>
    <t>0                      HV 0713000W  27          1998</t>
  </si>
  <si>
    <t>The future of child protection : how to break the cycle of abuse and neglect / Jane Waldfogel.</t>
  </si>
  <si>
    <t>Waldfogel, Jane.</t>
  </si>
  <si>
    <t>2676525:eng</t>
  </si>
  <si>
    <t>39101910</t>
  </si>
  <si>
    <t>991002939139702656</t>
  </si>
  <si>
    <t>2260446350002656</t>
  </si>
  <si>
    <t>9780674338111</t>
  </si>
  <si>
    <t>32285003505996</t>
  </si>
  <si>
    <t>893535265</t>
  </si>
  <si>
    <t>HV713 .W39 2003</t>
  </si>
  <si>
    <t>0                      HV 0713000W  39          2003</t>
  </si>
  <si>
    <t>Social work practice with children / Nancy Boyd Webb ; foreword by Cynthia Franklin.</t>
  </si>
  <si>
    <t>Webb, Nancy Boyd, 1932-</t>
  </si>
  <si>
    <t>New York, N.Y. : Guilford Press, c2003.</t>
  </si>
  <si>
    <t>2007-07-02</t>
  </si>
  <si>
    <t>2003-09-02</t>
  </si>
  <si>
    <t>783218:eng</t>
  </si>
  <si>
    <t>51290059</t>
  </si>
  <si>
    <t>991004101769702656</t>
  </si>
  <si>
    <t>2265285990002656</t>
  </si>
  <si>
    <t>9781572308862</t>
  </si>
  <si>
    <t>32285004780887</t>
  </si>
  <si>
    <t>893519241</t>
  </si>
  <si>
    <t>HV715 .A37 1987</t>
  </si>
  <si>
    <t>0                      HV 0715000A  37          1987</t>
  </si>
  <si>
    <t>Adolescent runaways : causes and consequences / Mark-David Janus ... [et. al.].</t>
  </si>
  <si>
    <t>Lexington, Mass. : Lexington Books, c1987.</t>
  </si>
  <si>
    <t>894364591:eng</t>
  </si>
  <si>
    <t>14356409</t>
  </si>
  <si>
    <t>991000934419702656</t>
  </si>
  <si>
    <t>2255478200002656</t>
  </si>
  <si>
    <t>9780669152807</t>
  </si>
  <si>
    <t>32285000873009</t>
  </si>
  <si>
    <t>893515761</t>
  </si>
  <si>
    <t>HV715 .E34 1991</t>
  </si>
  <si>
    <t>0                      HV 0715000E  34          1991</t>
  </si>
  <si>
    <t>The Effects of child abuse and neglect : issues and research / edited by Raymond H. Starr, Jr., David A. Wolfe.</t>
  </si>
  <si>
    <t>London ; New York : Guilford Press, 1991.</t>
  </si>
  <si>
    <t>364259088:eng</t>
  </si>
  <si>
    <t>23974497</t>
  </si>
  <si>
    <t>991001898139702656</t>
  </si>
  <si>
    <t>2269301960002656</t>
  </si>
  <si>
    <t>9780898627596</t>
  </si>
  <si>
    <t>32285000702505</t>
  </si>
  <si>
    <t>893261973</t>
  </si>
  <si>
    <t>HV715 .H29 1982</t>
  </si>
  <si>
    <t>0                      HV 0715000H  29          1982</t>
  </si>
  <si>
    <t>Handbook of clinical intervention in child sexual abuse / [edited by] Suzanne M. Sgroi.</t>
  </si>
  <si>
    <t>Lexington, Mass. : Lexington Books, c1982, 1983 printing.</t>
  </si>
  <si>
    <t>1992-02-06</t>
  </si>
  <si>
    <t>54455292:eng</t>
  </si>
  <si>
    <t>7653721</t>
  </si>
  <si>
    <t>991005145069702656</t>
  </si>
  <si>
    <t>2258664640002656</t>
  </si>
  <si>
    <t>9780669047202</t>
  </si>
  <si>
    <t>32285000943513</t>
  </si>
  <si>
    <t>893260626</t>
  </si>
  <si>
    <t>HV715 .M33 1984</t>
  </si>
  <si>
    <t>0                      HV 0715000M  33          1984</t>
  </si>
  <si>
    <t>The psychology of abuse / Michael Colin Macpherson.</t>
  </si>
  <si>
    <t>Macpherson, Michael Colin.</t>
  </si>
  <si>
    <t>Saratoga, CA : R &amp; E Publishers, c1984.</t>
  </si>
  <si>
    <t>5834000:eng</t>
  </si>
  <si>
    <t>13042413</t>
  </si>
  <si>
    <t>991000806379702656</t>
  </si>
  <si>
    <t>2269324960002656</t>
  </si>
  <si>
    <t>9780882477220</t>
  </si>
  <si>
    <t>32285000105881</t>
  </si>
  <si>
    <t>893515627</t>
  </si>
  <si>
    <t>HV715 .P79 1980</t>
  </si>
  <si>
    <t>0                      HV 0715000P  79          1980</t>
  </si>
  <si>
    <t>Psychological approaches to child abuse / edited by Neil Frude.</t>
  </si>
  <si>
    <t>London : Batsford Academic and Educational, 1980.</t>
  </si>
  <si>
    <t>54401137:eng</t>
  </si>
  <si>
    <t>7741343</t>
  </si>
  <si>
    <t>991005102199702656</t>
  </si>
  <si>
    <t>2272133310002656</t>
  </si>
  <si>
    <t>9780713437140</t>
  </si>
  <si>
    <t>32285000890029</t>
  </si>
  <si>
    <t>893889672</t>
  </si>
  <si>
    <t>HV7150 .W37 1998</t>
  </si>
  <si>
    <t>0                      HV 7150000W  37          1998</t>
  </si>
  <si>
    <t>War and peace in Southern Africa : crime, drugs, armies, and trade / Robert I. Rotberg and Greg Mills, editors.</t>
  </si>
  <si>
    <t>Washington, D.C. : Brookings Institution Press, ; Cambridge, Mass. : World Peace Foundation, c1998.</t>
  </si>
  <si>
    <t>2003-04-04</t>
  </si>
  <si>
    <t>1998-06-11</t>
  </si>
  <si>
    <t>837022508:eng</t>
  </si>
  <si>
    <t>37935184</t>
  </si>
  <si>
    <t>991002878839702656</t>
  </si>
  <si>
    <t>2266198940002656</t>
  </si>
  <si>
    <t>9780815775843</t>
  </si>
  <si>
    <t>32285003420261</t>
  </si>
  <si>
    <t>893685894</t>
  </si>
  <si>
    <t>HV7165.5 .S65 2007</t>
  </si>
  <si>
    <t>0                      HV 7165500S  65          2007</t>
  </si>
  <si>
    <t>A culture of corruption : everyday deception and popular discontent in Nigeria / Daniel Jordan Smith.</t>
  </si>
  <si>
    <t>Smith, Daniel Jordan, 1961-</t>
  </si>
  <si>
    <t>Princeton : Princeton University Press, c2007.</t>
  </si>
  <si>
    <t>2010-05-14</t>
  </si>
  <si>
    <t>837069891:eng</t>
  </si>
  <si>
    <t>64427469</t>
  </si>
  <si>
    <t>991005304679702656</t>
  </si>
  <si>
    <t>2255978650002656</t>
  </si>
  <si>
    <t>9780691127224</t>
  </si>
  <si>
    <t>32285005514947</t>
  </si>
  <si>
    <t>893619774</t>
  </si>
  <si>
    <t>HV741 .B315 1999</t>
  </si>
  <si>
    <t>0                      HV 0741000B  315         1999</t>
  </si>
  <si>
    <t>Nobody's children : abuse and neglect, foster drift, and the adoption alternative / Elizabeth Bartholet.</t>
  </si>
  <si>
    <t>Bartholet, Elizabeth.</t>
  </si>
  <si>
    <t>Boston : Beacon Press, c1999.</t>
  </si>
  <si>
    <t>2007-03-17</t>
  </si>
  <si>
    <t>2000-09-12</t>
  </si>
  <si>
    <t>961158:eng</t>
  </si>
  <si>
    <t>41039845</t>
  </si>
  <si>
    <t>991003239379702656</t>
  </si>
  <si>
    <t>2260396190002656</t>
  </si>
  <si>
    <t>9780807023181</t>
  </si>
  <si>
    <t>32285003761458</t>
  </si>
  <si>
    <t>893617133</t>
  </si>
  <si>
    <t>HV741 .B33 1980</t>
  </si>
  <si>
    <t>0                      HV 0741000B  33          1980</t>
  </si>
  <si>
    <t>The Battered child / edited by C. Henry Kempe and Ray E. Helfer.</t>
  </si>
  <si>
    <t>Chicago : University of Chicago Press, 1980.</t>
  </si>
  <si>
    <t>3d ed., rev. and expanded.</t>
  </si>
  <si>
    <t>1090968757:eng</t>
  </si>
  <si>
    <t>6250713</t>
  </si>
  <si>
    <t>991001616149702656</t>
  </si>
  <si>
    <t>2264865790002656</t>
  </si>
  <si>
    <t>9780226430386</t>
  </si>
  <si>
    <t>32285001682318</t>
  </si>
  <si>
    <t>893772696</t>
  </si>
  <si>
    <t>HV741 .B377 1982</t>
  </si>
  <si>
    <t>0                      HV 0741000B  377         1982</t>
  </si>
  <si>
    <t>An investigation of child abuse/neglect instruction offered in early childhood and elementary education preservice programs / Patricia Maxey Bartlett.</t>
  </si>
  <si>
    <t>Bartlett, Patricia Maxey.</t>
  </si>
  <si>
    <t>Palo Alto, Calif. : R &amp; E Associates, c1982.</t>
  </si>
  <si>
    <t>541992:eng</t>
  </si>
  <si>
    <t>8690466</t>
  </si>
  <si>
    <t>991000053169702656</t>
  </si>
  <si>
    <t>2266581780002656</t>
  </si>
  <si>
    <t>9780882476315</t>
  </si>
  <si>
    <t>32285000130806</t>
  </si>
  <si>
    <t>893255134</t>
  </si>
  <si>
    <t>HV741 .B487 2005</t>
  </si>
  <si>
    <t>0                      HV 0741000B  487         2005</t>
  </si>
  <si>
    <t>Beyond common sense : child welfare, child well-being, and the evidence for policy reform / Fred Wulczyn ... [et al.].</t>
  </si>
  <si>
    <t>New Brunswick, N.J. : AldineTransaction, c2005.</t>
  </si>
  <si>
    <t>969877342:eng</t>
  </si>
  <si>
    <t>57211327</t>
  </si>
  <si>
    <t>991005141149702656</t>
  </si>
  <si>
    <t>2265163560002656</t>
  </si>
  <si>
    <t>9780202307343</t>
  </si>
  <si>
    <t>32285005367148</t>
  </si>
  <si>
    <t>893533250</t>
  </si>
  <si>
    <t>HV741 .B693 1996</t>
  </si>
  <si>
    <t>0                      HV 0741000B  693         1996</t>
  </si>
  <si>
    <t>Deadbeat dads : a national child support scandal / Marcia Mobilia Boumil and Joel Friedman.</t>
  </si>
  <si>
    <t>Boumil, Marcia Mobilia.</t>
  </si>
  <si>
    <t>Westport, Conn. : Praeger, 1996.</t>
  </si>
  <si>
    <t>1996-07-01</t>
  </si>
  <si>
    <t>803863527:eng</t>
  </si>
  <si>
    <t>32856364</t>
  </si>
  <si>
    <t>991002527929702656</t>
  </si>
  <si>
    <t>2271396250002656</t>
  </si>
  <si>
    <t>9780275951252</t>
  </si>
  <si>
    <t>32285002205267</t>
  </si>
  <si>
    <t>893609959</t>
  </si>
  <si>
    <t>HV741 .B88 2004</t>
  </si>
  <si>
    <t>0                      HV 0741000B  88          2004</t>
  </si>
  <si>
    <t>Head Start : background, issues, and bibliography / Alice Butler, Melinda Gish, and Marnie S. Shaul.</t>
  </si>
  <si>
    <t>Butler, Alice.</t>
  </si>
  <si>
    <t>New York : Novinka Books, c2004.</t>
  </si>
  <si>
    <t>1059336:eng</t>
  </si>
  <si>
    <t>55108945</t>
  </si>
  <si>
    <t>991004330399702656</t>
  </si>
  <si>
    <t>2269853540002656</t>
  </si>
  <si>
    <t>9781590339879</t>
  </si>
  <si>
    <t>32285004981766</t>
  </si>
  <si>
    <t>893788569</t>
  </si>
  <si>
    <t>HV741 .C452 1982</t>
  </si>
  <si>
    <t>0                      HV 0741000C  452         1982</t>
  </si>
  <si>
    <t>Child abuse and child protection : policy and practice / Stephen Antler, editor.</t>
  </si>
  <si>
    <t>Silver Spring, Md. : National Association of Social Workers, c1982.</t>
  </si>
  <si>
    <t>Readings in social work series</t>
  </si>
  <si>
    <t>54504344:eng</t>
  </si>
  <si>
    <t>8474621</t>
  </si>
  <si>
    <t>991005247849702656</t>
  </si>
  <si>
    <t>2257467070002656</t>
  </si>
  <si>
    <t>9780871010919</t>
  </si>
  <si>
    <t>32285000890045</t>
  </si>
  <si>
    <t>893600880</t>
  </si>
  <si>
    <t>HV741 .C4527 1983</t>
  </si>
  <si>
    <t>0                      HV 0741000C  4527        1983</t>
  </si>
  <si>
    <t>Child abuse and neglect : a guide with case studies for treating the child and family / edited by Nancy B. Ebeling, Deborah A. Hill.</t>
  </si>
  <si>
    <t>Boston : John Wright - PSG Inc., 1983.</t>
  </si>
  <si>
    <t>375319080:eng</t>
  </si>
  <si>
    <t>8532291</t>
  </si>
  <si>
    <t>991000007199702656</t>
  </si>
  <si>
    <t>2269227290002656</t>
  </si>
  <si>
    <t>9780723670407</t>
  </si>
  <si>
    <t>32285000078872</t>
  </si>
  <si>
    <t>893871314</t>
  </si>
  <si>
    <t>HV741 .C458</t>
  </si>
  <si>
    <t>0                      HV 0741000C  458</t>
  </si>
  <si>
    <t>Child abuse : intervention and treatment / edited by Nancy B. Ebeling, Deborah A. Hill.</t>
  </si>
  <si>
    <t>Acton, Mass. : Publishing Sciences Group, c1975.</t>
  </si>
  <si>
    <t>1997-03-27</t>
  </si>
  <si>
    <t>984841558:eng</t>
  </si>
  <si>
    <t>1334483</t>
  </si>
  <si>
    <t>991003699389702656</t>
  </si>
  <si>
    <t>2258633390002656</t>
  </si>
  <si>
    <t>9780884160267</t>
  </si>
  <si>
    <t>32285000081660</t>
  </si>
  <si>
    <t>893793928</t>
  </si>
  <si>
    <t>HV741 .C4598 1982</t>
  </si>
  <si>
    <t>0                      HV 0741000C  4598        1982</t>
  </si>
  <si>
    <t>Child abuse prediction : policy implications / edited by Raymond H. Starr, Jr.</t>
  </si>
  <si>
    <t>Cambridge, MA : Ballinger, c1982.</t>
  </si>
  <si>
    <t>1994-09-28</t>
  </si>
  <si>
    <t>544426:eng</t>
  </si>
  <si>
    <t>8221330</t>
  </si>
  <si>
    <t>991005220169702656</t>
  </si>
  <si>
    <t>2268592420002656</t>
  </si>
  <si>
    <t>9780884103783</t>
  </si>
  <si>
    <t>32285001410140</t>
  </si>
  <si>
    <t>893905314</t>
  </si>
  <si>
    <t>HV741 .C465</t>
  </si>
  <si>
    <t>0                      HV 0741000C  465</t>
  </si>
  <si>
    <t>Child abuse : an agenda for action / edited by George Gerbner, Catherine J. Ross, and Edward Zigler.</t>
  </si>
  <si>
    <t>2007-02-13</t>
  </si>
  <si>
    <t>1993-05-20</t>
  </si>
  <si>
    <t>889635705:eng</t>
  </si>
  <si>
    <t>5675342</t>
  </si>
  <si>
    <t>991004856429702656</t>
  </si>
  <si>
    <t>2260807440002656</t>
  </si>
  <si>
    <t>9780195027204</t>
  </si>
  <si>
    <t>32285001583227</t>
  </si>
  <si>
    <t>893235997</t>
  </si>
  <si>
    <t>HV741 .C536145 1991</t>
  </si>
  <si>
    <t>0                      HV 0741000C  536145      1991</t>
  </si>
  <si>
    <t>Children in poverty : child development and public policy / edited by Aletha C. Huston.</t>
  </si>
  <si>
    <t>Cambridge ; New York : Cambridge University Press, 1991.</t>
  </si>
  <si>
    <t>2010-11-14</t>
  </si>
  <si>
    <t>1992-11-12</t>
  </si>
  <si>
    <t>836841324:eng</t>
  </si>
  <si>
    <t>23286432</t>
  </si>
  <si>
    <t>991005413269702656</t>
  </si>
  <si>
    <t>2269804200002656</t>
  </si>
  <si>
    <t>9780521391627</t>
  </si>
  <si>
    <t>32285001362341</t>
  </si>
  <si>
    <t>893254966</t>
  </si>
  <si>
    <t>HV741 .C536155 1999</t>
  </si>
  <si>
    <t>0                      HV 0741000C  536155      1999</t>
  </si>
  <si>
    <t>Children of color : research, health, and policy issues / edited by Hiram E. Fitzgerald, Barry M. Lester, Barry S. Zuckerman.</t>
  </si>
  <si>
    <t>New York : Garland Pub., 1999.</t>
  </si>
  <si>
    <t>Garland reference library of social science ; vol. 1093</t>
  </si>
  <si>
    <t>2009-10-08</t>
  </si>
  <si>
    <t>2001-03-13</t>
  </si>
  <si>
    <t>836988160:eng</t>
  </si>
  <si>
    <t>39765166</t>
  </si>
  <si>
    <t>991003481499702656</t>
  </si>
  <si>
    <t>2264701340002656</t>
  </si>
  <si>
    <t>9780815322887</t>
  </si>
  <si>
    <t>32285004305214</t>
  </si>
  <si>
    <t>893422605</t>
  </si>
  <si>
    <t>HV741 .C5377 1994</t>
  </si>
  <si>
    <t>0                      HV 0741000C  5377        1994</t>
  </si>
  <si>
    <t>Wasting America's future : the Children's Defense Fund report on the costs of child poverty / by Arloc Sherman ; introduction by Marian Wright Edelman ; foreward by Robert M. Solow.</t>
  </si>
  <si>
    <t>Sherman, Arloc.</t>
  </si>
  <si>
    <t>Boston : Beacon Press, c1994.</t>
  </si>
  <si>
    <t>2008-11-19</t>
  </si>
  <si>
    <t>1995-04-03</t>
  </si>
  <si>
    <t>33357616:eng</t>
  </si>
  <si>
    <t>30895712</t>
  </si>
  <si>
    <t>991002376949702656</t>
  </si>
  <si>
    <t>2271154580002656</t>
  </si>
  <si>
    <t>9780807041062</t>
  </si>
  <si>
    <t>32285002015971</t>
  </si>
  <si>
    <t>893898686</t>
  </si>
  <si>
    <t>HV741 .C623 1997</t>
  </si>
  <si>
    <t>0                      HV 0741000C  623         1997</t>
  </si>
  <si>
    <t>Consequences of growing up poor / Greg J. Duncan, Jeanne Brooks-Gunn, editors.</t>
  </si>
  <si>
    <t>New York : Russell Sage Foundation, c1997.</t>
  </si>
  <si>
    <t>2008-12-02</t>
  </si>
  <si>
    <t>1997-07-22</t>
  </si>
  <si>
    <t>350286671:eng</t>
  </si>
  <si>
    <t>36130764</t>
  </si>
  <si>
    <t>991002754099702656</t>
  </si>
  <si>
    <t>2254991550002656</t>
  </si>
  <si>
    <t>9780871541437</t>
  </si>
  <si>
    <t>32285002883857</t>
  </si>
  <si>
    <t>893622681</t>
  </si>
  <si>
    <t>HV741 .C78 2004</t>
  </si>
  <si>
    <t>0                      HV 0741000C  78          2004</t>
  </si>
  <si>
    <t>Culturally competent practice with immigrant and refugee children and families / edited by Rowena Fong ; series editor's note by Nancy Boyd Webb.</t>
  </si>
  <si>
    <t>2009-02-25</t>
  </si>
  <si>
    <t>2006-01-04</t>
  </si>
  <si>
    <t>783270:eng</t>
  </si>
  <si>
    <t>52942772</t>
  </si>
  <si>
    <t>991004680949702656</t>
  </si>
  <si>
    <t>2270578750002656</t>
  </si>
  <si>
    <t>9781572309319</t>
  </si>
  <si>
    <t>32285005153787</t>
  </si>
  <si>
    <t>893700533</t>
  </si>
  <si>
    <t>HV741 .D35</t>
  </si>
  <si>
    <t>0                      HV 0741000D  35</t>
  </si>
  <si>
    <t>Damaged parents, an anatomy of child neglect / Norman A. Polansky ... [et al.].</t>
  </si>
  <si>
    <t>Chicago : University of Chicago Press, 1981.</t>
  </si>
  <si>
    <t>24380596:eng</t>
  </si>
  <si>
    <t>6789242</t>
  </si>
  <si>
    <t>991005039929702656</t>
  </si>
  <si>
    <t>2263931330002656</t>
  </si>
  <si>
    <t>9780226672212</t>
  </si>
  <si>
    <t>32285000078856</t>
  </si>
  <si>
    <t>893263571</t>
  </si>
  <si>
    <t>HV741 .D47 1992</t>
  </si>
  <si>
    <t>0                      HV 0741000D  47          1992</t>
  </si>
  <si>
    <t>A Coordinated response to child abuse and neglect : a basic manual / Diane DePanfilis, Marsha K. Salus.</t>
  </si>
  <si>
    <t>DePanfilis, Diane.</t>
  </si>
  <si>
    <t>McLean, Va. : The Circle ; [Washington, D.C.] : U.S. Dept. of Health and Human Services ; Administration for Children and Families ; Administration on Children, Youth and Families, National Center on Child Abuse and Neglect, [1992]</t>
  </si>
  <si>
    <t>1996-08-21</t>
  </si>
  <si>
    <t>1808845305:eng</t>
  </si>
  <si>
    <t>28843329</t>
  </si>
  <si>
    <t>991002235859702656</t>
  </si>
  <si>
    <t>2263446260002656</t>
  </si>
  <si>
    <t>32285002291291</t>
  </si>
  <si>
    <t>893238812</t>
  </si>
  <si>
    <t>HV741 .D53 2009</t>
  </si>
  <si>
    <t>0                      HV 0741000D  53          2009</t>
  </si>
  <si>
    <t>Reversing the odds : improving outcomes for babies in the child welfare system / by Sheryl Dicker ; [foreword by Carol H. Rasco].</t>
  </si>
  <si>
    <t>Dicker, Sheryl.</t>
  </si>
  <si>
    <t>Baltimore : Paul H. Brookes Pub. Co., c2009.</t>
  </si>
  <si>
    <t>802026087:eng</t>
  </si>
  <si>
    <t>317361697</t>
  </si>
  <si>
    <t>991005334659702656</t>
  </si>
  <si>
    <t>2270629900002656</t>
  </si>
  <si>
    <t>9781557669612</t>
  </si>
  <si>
    <t>32285005545206</t>
  </si>
  <si>
    <t>893351107</t>
  </si>
  <si>
    <t>HV741 .F35</t>
  </si>
  <si>
    <t>0                      HV 0741000F  35</t>
  </si>
  <si>
    <t>Child abuse and the school / by Jeanette Willan Fairorth.</t>
  </si>
  <si>
    <t>Fairorth, Jeanette Willan.</t>
  </si>
  <si>
    <t>Palo Alto, Calif. : R &amp; E Research Associates, c1982.</t>
  </si>
  <si>
    <t>1996-04-11</t>
  </si>
  <si>
    <t>42856822:eng</t>
  </si>
  <si>
    <t>8762662</t>
  </si>
  <si>
    <t>991005230889702656</t>
  </si>
  <si>
    <t>2262957510002656</t>
  </si>
  <si>
    <t>9780882476155</t>
  </si>
  <si>
    <t>32285000086289</t>
  </si>
  <si>
    <t>893514275</t>
  </si>
  <si>
    <t>HV741 .F65 1973</t>
  </si>
  <si>
    <t>0                      HV 0741000F  65          1973</t>
  </si>
  <si>
    <t>Somewhere a child is crying : maltreatment--causes and prevention / [by] Vincent J. Fontana.</t>
  </si>
  <si>
    <t>Fontana, Vincent J.</t>
  </si>
  <si>
    <t>New York : Macmillan, [1973]</t>
  </si>
  <si>
    <t>1995-11-02</t>
  </si>
  <si>
    <t>399097:eng</t>
  </si>
  <si>
    <t>771314</t>
  </si>
  <si>
    <t>991003246759702656</t>
  </si>
  <si>
    <t>2264951370002656</t>
  </si>
  <si>
    <t>32285001910115</t>
  </si>
  <si>
    <t>893352740</t>
  </si>
  <si>
    <t>HV741 .G37</t>
  </si>
  <si>
    <t>0                      HV 0741000G  37</t>
  </si>
  <si>
    <t>Understanding abusive families / James Garbarino, Gwen Gilliam.</t>
  </si>
  <si>
    <t>Lexington, Mass. : Lexington Books, c1980.</t>
  </si>
  <si>
    <t>1997-09-22</t>
  </si>
  <si>
    <t>3353074:eng</t>
  </si>
  <si>
    <t>6249836</t>
  </si>
  <si>
    <t>991004950999702656</t>
  </si>
  <si>
    <t>2263069780002656</t>
  </si>
  <si>
    <t>9780669036213</t>
  </si>
  <si>
    <t>32285000133131</t>
  </si>
  <si>
    <t>893332208</t>
  </si>
  <si>
    <t>HV741 .G38 1992</t>
  </si>
  <si>
    <t>0                      HV 0741000G  38          1992</t>
  </si>
  <si>
    <t>Assuring child support : an extension of Social Security / Irwin Garfinkel.</t>
  </si>
  <si>
    <t>Garfinkel, Irwin.</t>
  </si>
  <si>
    <t>New York : Russell Sage Foundation, 1992.</t>
  </si>
  <si>
    <t>28515404:eng</t>
  </si>
  <si>
    <t>25712575</t>
  </si>
  <si>
    <t>991001652789702656</t>
  </si>
  <si>
    <t>2266458410002656</t>
  </si>
  <si>
    <t>9780871543004</t>
  </si>
  <si>
    <t>32285001496867</t>
  </si>
  <si>
    <t>893315938</t>
  </si>
  <si>
    <t>HV741 .G53 1989</t>
  </si>
  <si>
    <t>0                      HV 0741000G  53          1989</t>
  </si>
  <si>
    <t>Giving children a chance : the case for more effective national policies / George Miller, editor.</t>
  </si>
  <si>
    <t>Washington, D.C. : Center for National Policy Press ; Lanham, MD : Distributed by arrangement with UPA, Inc., c1989.</t>
  </si>
  <si>
    <t>1998-09-25</t>
  </si>
  <si>
    <t>836766528:eng</t>
  </si>
  <si>
    <t>18949360</t>
  </si>
  <si>
    <t>991001416439702656</t>
  </si>
  <si>
    <t>2270559000002656</t>
  </si>
  <si>
    <t>9780944237274</t>
  </si>
  <si>
    <t>32285000064344</t>
  </si>
  <si>
    <t>893785101</t>
  </si>
  <si>
    <t>HV741 .H338 1996</t>
  </si>
  <si>
    <t>0                      HV 0741000H  338         1996</t>
  </si>
  <si>
    <t>Children in jeopardy : can we break the cycle of poverty? / Irving B. Harris.</t>
  </si>
  <si>
    <t>Harris, Irving B. (Irving Brooks), 1910-2004.</t>
  </si>
  <si>
    <t>New Haven : Yale Child Study Center : Distributed by Yale University Press, c1996.</t>
  </si>
  <si>
    <t>The Yale Child Study Center monograph series on child psychiatry, child development, and social policy ; vol. 1</t>
  </si>
  <si>
    <t>905751389:eng</t>
  </si>
  <si>
    <t>34283281</t>
  </si>
  <si>
    <t>991003474179702656</t>
  </si>
  <si>
    <t>2257485470002656</t>
  </si>
  <si>
    <t>9780300068924</t>
  </si>
  <si>
    <t>32285004310800</t>
  </si>
  <si>
    <t>893627600</t>
  </si>
  <si>
    <t>HV741 .H4 1974</t>
  </si>
  <si>
    <t>0                      HV 0741000H  4           1974</t>
  </si>
  <si>
    <t>The battered child / edited by Ray E. Helfer and C. Henry Kempe.</t>
  </si>
  <si>
    <t>Helfer, Ray E.</t>
  </si>
  <si>
    <t>Chicago : University of Chicago Press, 1974.</t>
  </si>
  <si>
    <t>1995-09-25</t>
  </si>
  <si>
    <t>1991-10-16</t>
  </si>
  <si>
    <t>989130</t>
  </si>
  <si>
    <t>991003451139702656</t>
  </si>
  <si>
    <t>2269365910002656</t>
  </si>
  <si>
    <t>9780226326290</t>
  </si>
  <si>
    <t>32285000773969</t>
  </si>
  <si>
    <t>893317987</t>
  </si>
  <si>
    <t>HV741 .H47</t>
  </si>
  <si>
    <t>0                      HV 0741000H  47</t>
  </si>
  <si>
    <t>Breaking the cycle of child abuse / by Christine Comstock Herbruck.</t>
  </si>
  <si>
    <t>Herbruck, Christine Comstock.</t>
  </si>
  <si>
    <t>Minneapolis : Winston Press, c1979.</t>
  </si>
  <si>
    <t>1995-09-27</t>
  </si>
  <si>
    <t>401307:eng</t>
  </si>
  <si>
    <t>5068146</t>
  </si>
  <si>
    <t>991005250359702656</t>
  </si>
  <si>
    <t>2266817390002656</t>
  </si>
  <si>
    <t>9780030456916</t>
  </si>
  <si>
    <t>32285000133149</t>
  </si>
  <si>
    <t>893877193</t>
  </si>
  <si>
    <t>HV741 .I537 1997</t>
  </si>
  <si>
    <t>0                      HV 0741000I  537         1997</t>
  </si>
  <si>
    <t>Indicators of children's well-being / Robert M. Hauser, Brett V. Brown, William R. Prosser, editors.</t>
  </si>
  <si>
    <t>366560111:eng</t>
  </si>
  <si>
    <t>36663079</t>
  </si>
  <si>
    <t>991005426109702656</t>
  </si>
  <si>
    <t>2260550660002656</t>
  </si>
  <si>
    <t>9780871543868</t>
  </si>
  <si>
    <t>32285003551974</t>
  </si>
  <si>
    <t>893871174</t>
  </si>
  <si>
    <t>HV741 .I7 1998</t>
  </si>
  <si>
    <t>0                      HV 0741000I  7           1998</t>
  </si>
  <si>
    <t>Invisible children in the society and its schools / edited by Sue Books.</t>
  </si>
  <si>
    <t>Mahwah, N.J. : Lawrence Erlbaum Associates, 1998.</t>
  </si>
  <si>
    <t>Sociocultural, political, and historical studies in education</t>
  </si>
  <si>
    <t>1998-08-11</t>
  </si>
  <si>
    <t>866492815:eng</t>
  </si>
  <si>
    <t>37361792</t>
  </si>
  <si>
    <t>991002836849702656</t>
  </si>
  <si>
    <t>2268115680002656</t>
  </si>
  <si>
    <t>9780805823684</t>
  </si>
  <si>
    <t>32285003451829</t>
  </si>
  <si>
    <t>893799086</t>
  </si>
  <si>
    <t>HV741 .J63 1999</t>
  </si>
  <si>
    <t>0                      HV 0741000J  63          1999</t>
  </si>
  <si>
    <t>Fathers' fair share : helping poor men manage child support and fatherhood / Earl S. Johnson, Ann Levine, and Fred C. Doolittle.</t>
  </si>
  <si>
    <t>Johnson, Earl S.</t>
  </si>
  <si>
    <t>New York : Russell Sage Foundation, c1999.</t>
  </si>
  <si>
    <t>2007-11-27</t>
  </si>
  <si>
    <t>477655899:eng</t>
  </si>
  <si>
    <t>40113509</t>
  </si>
  <si>
    <t>991005429569702656</t>
  </si>
  <si>
    <t>2255185300002656</t>
  </si>
  <si>
    <t>9780871544117</t>
  </si>
  <si>
    <t>32285003555470</t>
  </si>
  <si>
    <t>893254998</t>
  </si>
  <si>
    <t>HV741 .K44</t>
  </si>
  <si>
    <t>0                      HV 0741000K  44</t>
  </si>
  <si>
    <t>Child abuse / Ruth S. Kempe and C. Henry Kempe.</t>
  </si>
  <si>
    <t>Kempe, Ruth S.</t>
  </si>
  <si>
    <t>Cambridge, Mass. : Harvard University Press, 1978.</t>
  </si>
  <si>
    <t>The Developing child</t>
  </si>
  <si>
    <t>520911:eng</t>
  </si>
  <si>
    <t>3845307</t>
  </si>
  <si>
    <t>991004530859702656</t>
  </si>
  <si>
    <t>2262552610002656</t>
  </si>
  <si>
    <t>9780674114258</t>
  </si>
  <si>
    <t>32285001056430</t>
  </si>
  <si>
    <t>893526215</t>
  </si>
  <si>
    <t>HV741 .L4</t>
  </si>
  <si>
    <t>0                      HV 0741000L  4</t>
  </si>
  <si>
    <t>The battered child : selected readings / [compiled by] Jerome E. Leavitt.</t>
  </si>
  <si>
    <t>Leavitt, Jerome E. (Jerome Edward), 1916-2003, compiler.</t>
  </si>
  <si>
    <t>[Morristown, N.J. : General Learning Press, 1974]</t>
  </si>
  <si>
    <t>370263809:eng</t>
  </si>
  <si>
    <t>866256</t>
  </si>
  <si>
    <t>991003334959702656</t>
  </si>
  <si>
    <t>2262792220002656</t>
  </si>
  <si>
    <t>9780382180781</t>
  </si>
  <si>
    <t>32285000081652</t>
  </si>
  <si>
    <t>893881063</t>
  </si>
  <si>
    <t>HV741 .L445 1992</t>
  </si>
  <si>
    <t>0                      HV 0741000L  445         1992</t>
  </si>
  <si>
    <t>Helping children : a social history / Murray Levine and Adeline Levine.</t>
  </si>
  <si>
    <t>Levine, Murray, 1928-</t>
  </si>
  <si>
    <t>2001-03-21</t>
  </si>
  <si>
    <t>1992-10-27</t>
  </si>
  <si>
    <t>152322573:eng</t>
  </si>
  <si>
    <t>23254054</t>
  </si>
  <si>
    <t>991001853319702656</t>
  </si>
  <si>
    <t>2268354910002656</t>
  </si>
  <si>
    <t>9780195066999</t>
  </si>
  <si>
    <t>32285001319796</t>
  </si>
  <si>
    <t>893226180</t>
  </si>
  <si>
    <t>HV741 .M34</t>
  </si>
  <si>
    <t>0                      HV 0741000M  34</t>
  </si>
  <si>
    <t>The Maltreatment of the school-aged child / edited by Richard Volpe, and Margot Breton, Judith Mitton.</t>
  </si>
  <si>
    <t>364274632:eng</t>
  </si>
  <si>
    <t>6424274</t>
  </si>
  <si>
    <t>991004982199702656</t>
  </si>
  <si>
    <t>2271898550002656</t>
  </si>
  <si>
    <t>9780669034639</t>
  </si>
  <si>
    <t>32285001032159</t>
  </si>
  <si>
    <t>893895706</t>
  </si>
  <si>
    <t>HV741 .M35 1983</t>
  </si>
  <si>
    <t>0                      HV 0741000M  35          1983</t>
  </si>
  <si>
    <t>Child abuse and neglect : sharing responsibility / Pamela D. Mayhall, Katherine Eastlack Norgard.</t>
  </si>
  <si>
    <t>Mayhall, Pamela D. (Pamela Douglass), 1939-</t>
  </si>
  <si>
    <t>New York : Wiley, c1983.</t>
  </si>
  <si>
    <t>1990-04-26</t>
  </si>
  <si>
    <t>11667839:eng</t>
  </si>
  <si>
    <t>9154327</t>
  </si>
  <si>
    <t>991000139959702656</t>
  </si>
  <si>
    <t>2264525480002656</t>
  </si>
  <si>
    <t>9780471099291</t>
  </si>
  <si>
    <t>32285000126481</t>
  </si>
  <si>
    <t>893695628</t>
  </si>
  <si>
    <t>HV741 .M67 2004</t>
  </si>
  <si>
    <t>0                      HV 0741000M  67          2004</t>
  </si>
  <si>
    <t>Youth involvement in the child welfare and juvenile justice systems : a case of double jeopardy? / Leslee Morris and Madelyn Freundlich.</t>
  </si>
  <si>
    <t>Morris, Leslee.</t>
  </si>
  <si>
    <t>Washington, DC : CWLA Press, c2004.</t>
  </si>
  <si>
    <t>2005-01-08</t>
  </si>
  <si>
    <t>15847024:eng</t>
  </si>
  <si>
    <t>56068734</t>
  </si>
  <si>
    <t>991004403569702656</t>
  </si>
  <si>
    <t>2272177000002656</t>
  </si>
  <si>
    <t>9781587600258</t>
  </si>
  <si>
    <t>32285005019632</t>
  </si>
  <si>
    <t>893794814</t>
  </si>
  <si>
    <t>HV741 .M85 1997</t>
  </si>
  <si>
    <t>0                      HV 0741000M  85          1997</t>
  </si>
  <si>
    <t>Wasted : the plight of America's unwanted children / Patrick T. Murphy.</t>
  </si>
  <si>
    <t>Murphy, Patrick T. (Patrick Thomas), 1939-</t>
  </si>
  <si>
    <t>Chicago, Ill. : Ivan R. Dee, 1997.</t>
  </si>
  <si>
    <t>2000-07-19</t>
  </si>
  <si>
    <t>346371467:eng</t>
  </si>
  <si>
    <t>36407875</t>
  </si>
  <si>
    <t>991003207459702656</t>
  </si>
  <si>
    <t>2257283350002656</t>
  </si>
  <si>
    <t>9781566631631</t>
  </si>
  <si>
    <t>32285003740908</t>
  </si>
  <si>
    <t>893774504</t>
  </si>
  <si>
    <t>HV741 .N383 1997</t>
  </si>
  <si>
    <t>0                      HV 0741000N  383         1997</t>
  </si>
  <si>
    <t>Neighborhood poverty / Jeanne Brooks-Gunn, Greg J. Duncan, J. Lawrence Aber, editors.</t>
  </si>
  <si>
    <t>V. 1</t>
  </si>
  <si>
    <t>2009-02-27</t>
  </si>
  <si>
    <t>2000-07-20</t>
  </si>
  <si>
    <t>356267173:eng</t>
  </si>
  <si>
    <t>36458217</t>
  </si>
  <si>
    <t>991003209669702656</t>
  </si>
  <si>
    <t>2267006530002656</t>
  </si>
  <si>
    <t>9780871541451</t>
  </si>
  <si>
    <t>32285003741468</t>
  </si>
  <si>
    <t>893899727</t>
  </si>
  <si>
    <t>HV741 .N39 1984</t>
  </si>
  <si>
    <t>0                      HV 0741000N  39          1984</t>
  </si>
  <si>
    <t>Making an issue of child abuse : political agenda setting for social problems / Barbara J. Nelson.</t>
  </si>
  <si>
    <t>Nelson, Barbara J., 1949-</t>
  </si>
  <si>
    <t>Chicago : University of Chicago Press, 1984.</t>
  </si>
  <si>
    <t>865037218:eng</t>
  </si>
  <si>
    <t>10100651</t>
  </si>
  <si>
    <t>991000312399702656</t>
  </si>
  <si>
    <t>2256218450002656</t>
  </si>
  <si>
    <t>9780226572000</t>
  </si>
  <si>
    <t>32285000113331</t>
  </si>
  <si>
    <t>893614085</t>
  </si>
  <si>
    <t>HV741 .N397 1988</t>
  </si>
  <si>
    <t>0                      HV 0741000N  397         1988</t>
  </si>
  <si>
    <t>The New child protection team handbook / editors, Donald C. Bross ... [et al.].</t>
  </si>
  <si>
    <t>New York : Garland, 1988.</t>
  </si>
  <si>
    <t>Garland reference library of social science ; vol. 380</t>
  </si>
  <si>
    <t>2006-10-12</t>
  </si>
  <si>
    <t>1991-01-28</t>
  </si>
  <si>
    <t>2812722:eng</t>
  </si>
  <si>
    <t>17510085</t>
  </si>
  <si>
    <t>991001227769702656</t>
  </si>
  <si>
    <t>2257296680002656</t>
  </si>
  <si>
    <t>9780824085193</t>
  </si>
  <si>
    <t>32285000461243</t>
  </si>
  <si>
    <t>893340259</t>
  </si>
  <si>
    <t>HV741 .O27</t>
  </si>
  <si>
    <t>0                      HV 0741000O  27</t>
  </si>
  <si>
    <t>Child abuse, a crying shame / Shirley O'Brien.</t>
  </si>
  <si>
    <t>O'Brien, Shirley, 1938-</t>
  </si>
  <si>
    <t>Provo, Utah : Brigham Young University Press, c1980.</t>
  </si>
  <si>
    <t>1998-09-24</t>
  </si>
  <si>
    <t>506334:eng</t>
  </si>
  <si>
    <t>6487603</t>
  </si>
  <si>
    <t>991004992029702656</t>
  </si>
  <si>
    <t>2256328720002656</t>
  </si>
  <si>
    <t>9780842518291</t>
  </si>
  <si>
    <t>32285000828789</t>
  </si>
  <si>
    <t>893501174</t>
  </si>
  <si>
    <t>HV741 .O29 2004</t>
  </si>
  <si>
    <t>0                      HV 0741000O  29          2004</t>
  </si>
  <si>
    <t>Trends in the well-being of America's children / by William P. O'Hare.</t>
  </si>
  <si>
    <t>O'Hare, William P.</t>
  </si>
  <si>
    <t>New York, NY : Russell Sage Foundation ; Washington, DC : Population Reference Bureau, c2004.</t>
  </si>
  <si>
    <t>The American people. Census 2000</t>
  </si>
  <si>
    <t>2005-01-26</t>
  </si>
  <si>
    <t>19533174:eng</t>
  </si>
  <si>
    <t>57442579</t>
  </si>
  <si>
    <t>991004440919702656</t>
  </si>
  <si>
    <t>2263261650002656</t>
  </si>
  <si>
    <t>32285005023063</t>
  </si>
  <si>
    <t>893624738</t>
  </si>
  <si>
    <t>HV741 .P37 1985</t>
  </si>
  <si>
    <t>0                      HV 0741000P  37          1985</t>
  </si>
  <si>
    <t>The politics of child abuse / Nigel Parton.</t>
  </si>
  <si>
    <t>Parton, Nigel.</t>
  </si>
  <si>
    <t>New York : St. Martin's Press, 1985.</t>
  </si>
  <si>
    <t>3906479:eng</t>
  </si>
  <si>
    <t>11467824</t>
  </si>
  <si>
    <t>991000537009702656</t>
  </si>
  <si>
    <t>2265228760002656</t>
  </si>
  <si>
    <t>9780312626754</t>
  </si>
  <si>
    <t>32285001120558</t>
  </si>
  <si>
    <t>893515364</t>
  </si>
  <si>
    <t>HV741 .P42 2000</t>
  </si>
  <si>
    <t>0                      HV 0741000P  42          2000</t>
  </si>
  <si>
    <t>The child welfare challenge : policy, practice, and research / Peter J. Pecora ... [et al.].</t>
  </si>
  <si>
    <t>New York : Aldine de Gruyter, c2000.</t>
  </si>
  <si>
    <t>2008-09-23</t>
  </si>
  <si>
    <t>2000-12-04</t>
  </si>
  <si>
    <t>897687367:eng</t>
  </si>
  <si>
    <t>43757522</t>
  </si>
  <si>
    <t>991003330219702656</t>
  </si>
  <si>
    <t>2270334560002656</t>
  </si>
  <si>
    <t>9780202361253</t>
  </si>
  <si>
    <t>32285004269295</t>
  </si>
  <si>
    <t>893780868</t>
  </si>
  <si>
    <t>HV741 .P445 1989</t>
  </si>
  <si>
    <t>0                      HV 0741000P  445         1989</t>
  </si>
  <si>
    <t>For reasons of poverty : a critical analysis of the public child welfare system in the United States / Leroy H. Pelton.</t>
  </si>
  <si>
    <t>Pelton, Leroy H.</t>
  </si>
  <si>
    <t>836701349:eng</t>
  </si>
  <si>
    <t>19742172</t>
  </si>
  <si>
    <t>991001494829702656</t>
  </si>
  <si>
    <t>2262534530002656</t>
  </si>
  <si>
    <t>9780275930738</t>
  </si>
  <si>
    <t>32285000138437</t>
  </si>
  <si>
    <t>893414271</t>
  </si>
  <si>
    <t>HV741 .P6 1974</t>
  </si>
  <si>
    <t>0                      HV 0741000P  6           1974</t>
  </si>
  <si>
    <t>Everyone's children, nobody's child.</t>
  </si>
  <si>
    <t>Polier, Justine Wise, 1903-1987.</t>
  </si>
  <si>
    <t>New York, Arno Press, 1974 [c1941]</t>
  </si>
  <si>
    <t>Children and youth : social problems and social policy</t>
  </si>
  <si>
    <t>2008-03-14</t>
  </si>
  <si>
    <t>9565879203:eng</t>
  </si>
  <si>
    <t>900968</t>
  </si>
  <si>
    <t>991003364639702656</t>
  </si>
  <si>
    <t>2266325860002656</t>
  </si>
  <si>
    <t>9780405059759</t>
  </si>
  <si>
    <t>32285003156410</t>
  </si>
  <si>
    <t>893805722</t>
  </si>
  <si>
    <t>HV741 .R35 1999</t>
  </si>
  <si>
    <t>0                      HV 0741000R  35          1999</t>
  </si>
  <si>
    <t>Raising our children out of poverty / John J. Stretch ... [et al.], editors.</t>
  </si>
  <si>
    <t>New York : Haworth Pastoral Press, c1999.</t>
  </si>
  <si>
    <t>2001-02-27</t>
  </si>
  <si>
    <t>1902964565:eng</t>
  </si>
  <si>
    <t>43118207</t>
  </si>
  <si>
    <t>991003473929702656</t>
  </si>
  <si>
    <t>2266422110002656</t>
  </si>
  <si>
    <t>9780789008350</t>
  </si>
  <si>
    <t>32285004297676</t>
  </si>
  <si>
    <t>893904379</t>
  </si>
  <si>
    <t>HV741 .R565 2004</t>
  </si>
  <si>
    <t>0                      HV 0741000R  565         2004</t>
  </si>
  <si>
    <t>Risk and resilience in childhood : an ecological perspective / Mark W. Fraser, editor.</t>
  </si>
  <si>
    <t>Washington, DC : NASW Press, c2004.</t>
  </si>
  <si>
    <t>2007-08-24</t>
  </si>
  <si>
    <t>2004-02-24</t>
  </si>
  <si>
    <t>796401745:eng</t>
  </si>
  <si>
    <t>52429395</t>
  </si>
  <si>
    <t>991004162779702656</t>
  </si>
  <si>
    <t>2261444470002656</t>
  </si>
  <si>
    <t>9780871013569</t>
  </si>
  <si>
    <t>32285004890561</t>
  </si>
  <si>
    <t>893435966</t>
  </si>
  <si>
    <t>HV741 .R65 1987</t>
  </si>
  <si>
    <t>0                      HV 0741000R  65          1987</t>
  </si>
  <si>
    <t>Working with children and adolescents in groups / Sheldon D. Rose, Jeffrey L. Edleson.</t>
  </si>
  <si>
    <t>Rose, Sheldon D.</t>
  </si>
  <si>
    <t>San Francisco : Jossey-Bass, c1987.</t>
  </si>
  <si>
    <t>1996-01-29</t>
  </si>
  <si>
    <t>1990-06-06</t>
  </si>
  <si>
    <t>7200429:eng</t>
  </si>
  <si>
    <t>14067662</t>
  </si>
  <si>
    <t>991000901119702656</t>
  </si>
  <si>
    <t>2255891610002656</t>
  </si>
  <si>
    <t>9781555420093</t>
  </si>
  <si>
    <t>32285000182229</t>
  </si>
  <si>
    <t>893407635</t>
  </si>
  <si>
    <t>HV741 .S34 1992</t>
  </si>
  <si>
    <t>0                      HV 0741000S  34          1992</t>
  </si>
  <si>
    <t>Saving children at risk : poverty and disabilities / Travis Thompson, Susan C. Hupp, editors.</t>
  </si>
  <si>
    <t>Newbury Park : Sage Publications, c1992.</t>
  </si>
  <si>
    <t>Sage focus editions ; 131</t>
  </si>
  <si>
    <t>836724876:eng</t>
  </si>
  <si>
    <t>23253372</t>
  </si>
  <si>
    <t>991001852819702656</t>
  </si>
  <si>
    <t>2265992370002656</t>
  </si>
  <si>
    <t>9780803939684</t>
  </si>
  <si>
    <t>32285001157279</t>
  </si>
  <si>
    <t>893690969</t>
  </si>
  <si>
    <t>HV741 .S385 2000</t>
  </si>
  <si>
    <t>0                      HV 0741000S  385         2000</t>
  </si>
  <si>
    <t>Securing the future : investing in children from birth to college / Sheldon Danziger and Jane Waldfogel, editors.</t>
  </si>
  <si>
    <t>New York : Russell Sage Foundation, 2000.</t>
  </si>
  <si>
    <t>The Ford Foundation series on asset building</t>
  </si>
  <si>
    <t>2001-01-22</t>
  </si>
  <si>
    <t>836946915:eng</t>
  </si>
  <si>
    <t>43599139</t>
  </si>
  <si>
    <t>991003331139702656</t>
  </si>
  <si>
    <t>2266531900002656</t>
  </si>
  <si>
    <t>9780871548993</t>
  </si>
  <si>
    <t>32285004290267</t>
  </si>
  <si>
    <t>893227959</t>
  </si>
  <si>
    <t>HV741 .S42 1991</t>
  </si>
  <si>
    <t>0                      HV 0741000S  42          1991</t>
  </si>
  <si>
    <t>Outside the dream : child poverty in America / photographs by Stephen Shames ; introduction by Jonathan Kozol ; afterword by Marian Wright Edelman.</t>
  </si>
  <si>
    <t>Shames, Stephen.</t>
  </si>
  <si>
    <t>New York, N.Y. : Aperture ; [Washington, D.C.] : Children's Defense Fund, c1991.</t>
  </si>
  <si>
    <t>251116592:eng</t>
  </si>
  <si>
    <t>24138392</t>
  </si>
  <si>
    <t>991003572519702656</t>
  </si>
  <si>
    <t>2260231810002656</t>
  </si>
  <si>
    <t>9780893814687</t>
  </si>
  <si>
    <t>32285004333661</t>
  </si>
  <si>
    <t>893810051</t>
  </si>
  <si>
    <t>HV741 .S6</t>
  </si>
  <si>
    <t>0                      HV 0741000S  6</t>
  </si>
  <si>
    <t>The Social context of child abuse and neglect / edited by Leroy H. Pelton.</t>
  </si>
  <si>
    <t>54372393:eng</t>
  </si>
  <si>
    <t>6196915</t>
  </si>
  <si>
    <t>991004944129702656</t>
  </si>
  <si>
    <t>2266390610002656</t>
  </si>
  <si>
    <t>9780877055044</t>
  </si>
  <si>
    <t>32285000130814</t>
  </si>
  <si>
    <t>893338311</t>
  </si>
  <si>
    <t>HV741 .S62 1996</t>
  </si>
  <si>
    <t>0                      HV 0741000S  62          1996</t>
  </si>
  <si>
    <t>Social policies for children / Irwin Garfinkel, Jennifer L. Hochschild, Sara S. McLanahan, editors.</t>
  </si>
  <si>
    <t>2006-03-20</t>
  </si>
  <si>
    <t>366776225:eng</t>
  </si>
  <si>
    <t>33078182</t>
  </si>
  <si>
    <t>991002544789702656</t>
  </si>
  <si>
    <t>2256480120002656</t>
  </si>
  <si>
    <t>9780815736653</t>
  </si>
  <si>
    <t>32285002476702</t>
  </si>
  <si>
    <t>893329222</t>
  </si>
  <si>
    <t>HV741 .S7442 1984</t>
  </si>
  <si>
    <t>0                      HV 0741000S  7442        1984</t>
  </si>
  <si>
    <t>Decision making in child welfare services : intake and planning / Theodore J. Stein, Tina L. Rzepnicki.</t>
  </si>
  <si>
    <t>Stein, Theodore J.</t>
  </si>
  <si>
    <t>Boston : Kluwer-Nijhoff Pub. ; Hingham, MA : Distributors for North America, Kluwer Boston, c1984.</t>
  </si>
  <si>
    <t>International series in social welfare</t>
  </si>
  <si>
    <t>43195337:eng</t>
  </si>
  <si>
    <t>9622499</t>
  </si>
  <si>
    <t>991000228769702656</t>
  </si>
  <si>
    <t>2269465250002656</t>
  </si>
  <si>
    <t>9780898381382</t>
  </si>
  <si>
    <t>32285001682359</t>
  </si>
  <si>
    <t>893425543</t>
  </si>
  <si>
    <t>HV741 .T65 1998</t>
  </si>
  <si>
    <t>0                      HV 0741000T  65          1998</t>
  </si>
  <si>
    <t>Child advocacy : history, theory, and practice / James R. Tompkins, Benjamin L. Brooks, Timothy J. Tompkins.</t>
  </si>
  <si>
    <t>Tompkins, James R., 1935-</t>
  </si>
  <si>
    <t>Durham, N.C. : Carolina Academic Press, c1998.</t>
  </si>
  <si>
    <t>1998-09-03</t>
  </si>
  <si>
    <t>152265177:eng</t>
  </si>
  <si>
    <t>38249822</t>
  </si>
  <si>
    <t>991002901149702656</t>
  </si>
  <si>
    <t>2272327970002656</t>
  </si>
  <si>
    <t>9780890899595</t>
  </si>
  <si>
    <t>32285003465019</t>
  </si>
  <si>
    <t>893893151</t>
  </si>
  <si>
    <t>HV741 .T682 2001</t>
  </si>
  <si>
    <t>0                      HV 0741000T  682         2001</t>
  </si>
  <si>
    <t>Exploring child welfare : a practice perspective / Cynthia Crosson-Tower.</t>
  </si>
  <si>
    <t>Boston, MA : Allyn and Bacon, c2001.</t>
  </si>
  <si>
    <t>2001-09-27</t>
  </si>
  <si>
    <t>3768849511:eng</t>
  </si>
  <si>
    <t>43615507</t>
  </si>
  <si>
    <t>991003617769702656</t>
  </si>
  <si>
    <t>2264294420002656</t>
  </si>
  <si>
    <t>9780205319534</t>
  </si>
  <si>
    <t>32285004393665</t>
  </si>
  <si>
    <t>893604995</t>
  </si>
  <si>
    <t>HV741 .W25 1975</t>
  </si>
  <si>
    <t>0                      HV 0741000W  25          1975</t>
  </si>
  <si>
    <t>Physical and sexual abuse of children : causes and treatment / David R. Walters.</t>
  </si>
  <si>
    <t>Walters, David R., 1934-</t>
  </si>
  <si>
    <t>Bloomington : Indiana University Press, [1975]</t>
  </si>
  <si>
    <t>1996-10-31</t>
  </si>
  <si>
    <t>836620307:eng</t>
  </si>
  <si>
    <t>1418648</t>
  </si>
  <si>
    <t>991003746359702656</t>
  </si>
  <si>
    <t>2261239810002656</t>
  </si>
  <si>
    <t>9780253344908</t>
  </si>
  <si>
    <t>32285000426170</t>
  </si>
  <si>
    <t>893793972</t>
  </si>
  <si>
    <t>HV741 .W32 1996</t>
  </si>
  <si>
    <t>0                      HV 0741000W  32          1996</t>
  </si>
  <si>
    <t>The vulnerable child : what really hurts America's children and what we can do about it / Richard Weissbourd.</t>
  </si>
  <si>
    <t>Weissbourd, Rick.</t>
  </si>
  <si>
    <t>Reading, Mass. : Addison-Wesley Pub., c1996.</t>
  </si>
  <si>
    <t>2009-03-27</t>
  </si>
  <si>
    <t>600523:eng</t>
  </si>
  <si>
    <t>32924332</t>
  </si>
  <si>
    <t>991002533989702656</t>
  </si>
  <si>
    <t>2262437280002656</t>
  </si>
  <si>
    <t>9780201483956</t>
  </si>
  <si>
    <t>32285002208949</t>
  </si>
  <si>
    <t>893616238</t>
  </si>
  <si>
    <t>HV741 .W395 1994</t>
  </si>
  <si>
    <t>0                      HV 0741000W  395         1994</t>
  </si>
  <si>
    <t>When there's no place like home : options for children living apart from their natural families / edited by Jan Blacher.</t>
  </si>
  <si>
    <t>Baltimore : P.H. Brookes Pub. Co., c1994.</t>
  </si>
  <si>
    <t>2004-02-16</t>
  </si>
  <si>
    <t>1997-01-03</t>
  </si>
  <si>
    <t>31892164:eng</t>
  </si>
  <si>
    <t>29594585</t>
  </si>
  <si>
    <t>991002281959702656</t>
  </si>
  <si>
    <t>2260627210002656</t>
  </si>
  <si>
    <t>9781557661456</t>
  </si>
  <si>
    <t>32285002404837</t>
  </si>
  <si>
    <t>893798398</t>
  </si>
  <si>
    <t>HV741 .Z82 1983</t>
  </si>
  <si>
    <t>0                      HV 0741000Z  82          1983</t>
  </si>
  <si>
    <t>Child welfare / Erva Zuckerman.</t>
  </si>
  <si>
    <t>Zuckerman, Erva.</t>
  </si>
  <si>
    <t>New York : Free Press ; London : Collier Macmillan, c1983.</t>
  </si>
  <si>
    <t>Fields of practice series</t>
  </si>
  <si>
    <t>43166171:eng</t>
  </si>
  <si>
    <t>8784835</t>
  </si>
  <si>
    <t>991000070649702656</t>
  </si>
  <si>
    <t>2265567130002656</t>
  </si>
  <si>
    <t>9780029359006</t>
  </si>
  <si>
    <t>32285000890052</t>
  </si>
  <si>
    <t>893224703</t>
  </si>
  <si>
    <t>HV7415 .M63</t>
  </si>
  <si>
    <t>0                      HV 7415000M  63</t>
  </si>
  <si>
    <t>Models in quantitative criminology / edited by James Alan Fox.</t>
  </si>
  <si>
    <t>New York : Academic Press, 1981.</t>
  </si>
  <si>
    <t>408976:eng</t>
  </si>
  <si>
    <t>7204801</t>
  </si>
  <si>
    <t>991005088869702656</t>
  </si>
  <si>
    <t>2265082910002656</t>
  </si>
  <si>
    <t>9780122639500</t>
  </si>
  <si>
    <t>32285001182244</t>
  </si>
  <si>
    <t>893242183</t>
  </si>
  <si>
    <t>HV7419 .C65 1996</t>
  </si>
  <si>
    <t>0                      HV 7419000C  65          1996</t>
  </si>
  <si>
    <t>Comparative and international criminal justice systems : policing, judiciary and corrections / edited by Obi N. Ignatius Ebbe.</t>
  </si>
  <si>
    <t>Boston : Butterworth-Heinemann, c1996.</t>
  </si>
  <si>
    <t>864035471:eng</t>
  </si>
  <si>
    <t>33440314</t>
  </si>
  <si>
    <t>991002573079702656</t>
  </si>
  <si>
    <t>2265739560002656</t>
  </si>
  <si>
    <t>9780750696883</t>
  </si>
  <si>
    <t>32285002159654</t>
  </si>
  <si>
    <t>893530188</t>
  </si>
  <si>
    <t>HV7419 .J87 1998</t>
  </si>
  <si>
    <t>0                      HV 7419000J  87          1998</t>
  </si>
  <si>
    <t>Justice, crime, and ethics / [edited by] Michael C. Braswell, Belinda R. McCarthy, Bernard J. McCarthy.</t>
  </si>
  <si>
    <t>Cincinnati, OH : Anderson Pub. Co., c1998.</t>
  </si>
  <si>
    <t>349967647:eng</t>
  </si>
  <si>
    <t>38853987</t>
  </si>
  <si>
    <t>991002923339702656</t>
  </si>
  <si>
    <t>2272599710002656</t>
  </si>
  <si>
    <t>9780870840739</t>
  </si>
  <si>
    <t>32285003514808</t>
  </si>
  <si>
    <t>893622910</t>
  </si>
  <si>
    <t>32285003514790</t>
  </si>
  <si>
    <t>893604221</t>
  </si>
  <si>
    <t>HV742.C2 G46 1979</t>
  </si>
  <si>
    <t>0                      HV 0742000C  2                  G  46          1979</t>
  </si>
  <si>
    <t>Defining child abuse / Jeanne M. Giovannoni and Rosina Becerra.</t>
  </si>
  <si>
    <t>Giovannoni, Jeanne M.</t>
  </si>
  <si>
    <t>1997-11-22</t>
  </si>
  <si>
    <t>400520:eng</t>
  </si>
  <si>
    <t>5171856</t>
  </si>
  <si>
    <t>991004792889702656</t>
  </si>
  <si>
    <t>2259021350002656</t>
  </si>
  <si>
    <t>9780029117507</t>
  </si>
  <si>
    <t>32285000890060</t>
  </si>
  <si>
    <t>893526531</t>
  </si>
  <si>
    <t>HV742.M4 K56 1982</t>
  </si>
  <si>
    <t>0                      HV 0742000M  4                  K  56          1982</t>
  </si>
  <si>
    <t>Emotional development in physically abused children : a study of self concept and aggression / by E. Milling Kinard.</t>
  </si>
  <si>
    <t>Kinard, E. Milling (Ellenor Milling)</t>
  </si>
  <si>
    <t>Palo Alto, Calif. : R &amp; E Research Associates, [1982] c1978.</t>
  </si>
  <si>
    <t>134842484:eng</t>
  </si>
  <si>
    <t>8355149</t>
  </si>
  <si>
    <t>991005234519702656</t>
  </si>
  <si>
    <t>2257870270002656</t>
  </si>
  <si>
    <t>9780882476216</t>
  </si>
  <si>
    <t>32285000134923</t>
  </si>
  <si>
    <t>893424778</t>
  </si>
  <si>
    <t>HV7428 .M35 1997</t>
  </si>
  <si>
    <t>0                      HV 7428000M  35          1997</t>
  </si>
  <si>
    <t>Policy and practice in the justice system / C. Aaron McNeece, Albert R. Roberts.</t>
  </si>
  <si>
    <t>McNeece, Carl Aaron.</t>
  </si>
  <si>
    <t>Chicago : Nelson-Hall Publishers, 1997.</t>
  </si>
  <si>
    <t>2010-07-30</t>
  </si>
  <si>
    <t>476302020:eng</t>
  </si>
  <si>
    <t>34281714</t>
  </si>
  <si>
    <t>991002614459702656</t>
  </si>
  <si>
    <t>2259015220002656</t>
  </si>
  <si>
    <t>9780830414178</t>
  </si>
  <si>
    <t>32285002444395</t>
  </si>
  <si>
    <t>893622489</t>
  </si>
  <si>
    <t>HV7428 .P7 1982</t>
  </si>
  <si>
    <t>0                      HV 7428000P  7           1982</t>
  </si>
  <si>
    <t>Practical program evaluation in youth treatment / edited by A. John McSweeny, William J. Fremouw, Robert P. Hawkins ; with a foreword by Lee Sechrest.</t>
  </si>
  <si>
    <t>2001-01-30</t>
  </si>
  <si>
    <t>360343047:eng</t>
  </si>
  <si>
    <t>8785583</t>
  </si>
  <si>
    <t>991000071849702656</t>
  </si>
  <si>
    <t>2266951200002656</t>
  </si>
  <si>
    <t>9780398045890</t>
  </si>
  <si>
    <t>32285001182269</t>
  </si>
  <si>
    <t>893249057</t>
  </si>
  <si>
    <t>HV7431 .F37 1986</t>
  </si>
  <si>
    <t>0                      HV 7431000F  37          1986</t>
  </si>
  <si>
    <t>Understanding and controlling crime : toward a new research strategy / David P. Farrington, Lloyd E. Ohlin, James Q. Wilson.</t>
  </si>
  <si>
    <t>Farrington, David P.</t>
  </si>
  <si>
    <t>New York : Springer-Verlag, c1986.</t>
  </si>
  <si>
    <t>Research in criminology</t>
  </si>
  <si>
    <t>1996-09-12</t>
  </si>
  <si>
    <t>796612695:eng</t>
  </si>
  <si>
    <t>13559762</t>
  </si>
  <si>
    <t>991000845329702656</t>
  </si>
  <si>
    <t>2270990100002656</t>
  </si>
  <si>
    <t>9780387962986</t>
  </si>
  <si>
    <t>32285000112838</t>
  </si>
  <si>
    <t>893243644</t>
  </si>
  <si>
    <t>HV7431 .M56 1999</t>
  </si>
  <si>
    <t>0                      HV 7431000M  56          1999</t>
  </si>
  <si>
    <t>Minimizing harm : a new crime policy for modern America / edited by Edward L. Rubin.</t>
  </si>
  <si>
    <t>Boulder, Colo. : Westview Press, 1999.</t>
  </si>
  <si>
    <t>2009-11-01</t>
  </si>
  <si>
    <t>2000-10-30</t>
  </si>
  <si>
    <t>802577173:eng</t>
  </si>
  <si>
    <t>39465187</t>
  </si>
  <si>
    <t>991003264349702656</t>
  </si>
  <si>
    <t>2267425810002656</t>
  </si>
  <si>
    <t>9780813335360</t>
  </si>
  <si>
    <t>32285004261623</t>
  </si>
  <si>
    <t>893240034</t>
  </si>
  <si>
    <t>HV7431 .N44 1990</t>
  </si>
  <si>
    <t>0                      HV 7431000N  44          1990</t>
  </si>
  <si>
    <t>Take back your neighborhood : a case for modern-day "vigilantism" / Richard Neely.</t>
  </si>
  <si>
    <t>Neely, Richard, 1941-</t>
  </si>
  <si>
    <t>New York, N.Y. : D.I. Fine, c1990.</t>
  </si>
  <si>
    <t>2000-11-17</t>
  </si>
  <si>
    <t>197236903:eng</t>
  </si>
  <si>
    <t>21976511</t>
  </si>
  <si>
    <t>991001739239702656</t>
  </si>
  <si>
    <t>2270105460002656</t>
  </si>
  <si>
    <t>9781556111822</t>
  </si>
  <si>
    <t>32285000406149</t>
  </si>
  <si>
    <t>893256460</t>
  </si>
  <si>
    <t>HV7431 .P45 1980</t>
  </si>
  <si>
    <t>0                      HV 7431000P  45          1980</t>
  </si>
  <si>
    <t>Crime control strategies : an introduction to the study of crime / Harold E. Pepinsky.</t>
  </si>
  <si>
    <t>Pepinsky, Harold E.</t>
  </si>
  <si>
    <t>1993-07-23</t>
  </si>
  <si>
    <t>858228824:eng</t>
  </si>
  <si>
    <t>5029149</t>
  </si>
  <si>
    <t>991004765769702656</t>
  </si>
  <si>
    <t>2271719410002656</t>
  </si>
  <si>
    <t>9780195026078</t>
  </si>
  <si>
    <t>32285001745032</t>
  </si>
  <si>
    <t>893895461</t>
  </si>
  <si>
    <t>HV7431 .P72</t>
  </si>
  <si>
    <t>0                      HV 7431000P  72</t>
  </si>
  <si>
    <t>Preventing crime / James A. Cramer, editor.</t>
  </si>
  <si>
    <t>Beverly Hills : Sage Publications, c1978.</t>
  </si>
  <si>
    <t>Sage criminal justice system annuals ; v. 10</t>
  </si>
  <si>
    <t>1991-08-16</t>
  </si>
  <si>
    <t>456969:eng</t>
  </si>
  <si>
    <t>3869115</t>
  </si>
  <si>
    <t>991001788239702656</t>
  </si>
  <si>
    <t>2262983560002656</t>
  </si>
  <si>
    <t>9780803910478</t>
  </si>
  <si>
    <t>32285000065697</t>
  </si>
  <si>
    <t>893232267</t>
  </si>
  <si>
    <t>HV7431 .S8 1975</t>
  </si>
  <si>
    <t>0                      HV 7431000S  8           1975</t>
  </si>
  <si>
    <t>Personal safety and defense for women / by F. Patricia Pechanec Stock ; ill. by Helen Folsom Hubbard.</t>
  </si>
  <si>
    <t>Stock, F. Patricia Pechanec.</t>
  </si>
  <si>
    <t>Minneapolis : Burgess Pub. Co., [1975]</t>
  </si>
  <si>
    <t>1356464:eng</t>
  </si>
  <si>
    <t>1427011</t>
  </si>
  <si>
    <t>991003750969702656</t>
  </si>
  <si>
    <t>2262631510002656</t>
  </si>
  <si>
    <t>9780808719953</t>
  </si>
  <si>
    <t>32285000071208</t>
  </si>
  <si>
    <t>893258804</t>
  </si>
  <si>
    <t>HV7435 .K66 1992</t>
  </si>
  <si>
    <t>0                      HV 7435000K  66          1992</t>
  </si>
  <si>
    <t>The samurai, the mountie, and the cowboy : should America adopt the gun controls of other democracies? / David B. Kopel.</t>
  </si>
  <si>
    <t>Kopel, David B.</t>
  </si>
  <si>
    <t>Buffalo, N.Y. : Prometheus Books, 1992.</t>
  </si>
  <si>
    <t>930392:eng</t>
  </si>
  <si>
    <t>25509646</t>
  </si>
  <si>
    <t>991001652239702656</t>
  </si>
  <si>
    <t>2271858760002656</t>
  </si>
  <si>
    <t>9780879757564</t>
  </si>
  <si>
    <t>32285001319721</t>
  </si>
  <si>
    <t>893414370</t>
  </si>
  <si>
    <t>HV7436 .D43 2001</t>
  </si>
  <si>
    <t>0                      HV 7436000D  43          2001</t>
  </si>
  <si>
    <t>Gun violence in America : the struggle for control / Alexander DeConde.</t>
  </si>
  <si>
    <t>DeConde, Alexander.</t>
  </si>
  <si>
    <t>Boston : Northeastern University Press, c2001.</t>
  </si>
  <si>
    <t>2002-09-24</t>
  </si>
  <si>
    <t>2001-07-03</t>
  </si>
  <si>
    <t>772037:eng</t>
  </si>
  <si>
    <t>45618242</t>
  </si>
  <si>
    <t>991003541739702656</t>
  </si>
  <si>
    <t>2258727690002656</t>
  </si>
  <si>
    <t>9781555534868</t>
  </si>
  <si>
    <t>32285004330154</t>
  </si>
  <si>
    <t>893348787</t>
  </si>
  <si>
    <t>HV7436 .F47 1984</t>
  </si>
  <si>
    <t>0                      HV 7436000F  47          1984</t>
  </si>
  <si>
    <t>Firearms and violence : issues of public policy / edited by Don B. Kates, Jr. ; foreword by John Kaplan.</t>
  </si>
  <si>
    <t>San Francisco, Calif. : Pacific Institute for Public Policy Research ; Cambridge, Mass. : Ballinger, c1984.</t>
  </si>
  <si>
    <t>Pacific studies in public policy</t>
  </si>
  <si>
    <t>917298187:eng</t>
  </si>
  <si>
    <t>10228822</t>
  </si>
  <si>
    <t>991001626889702656</t>
  </si>
  <si>
    <t>2264269420002656</t>
  </si>
  <si>
    <t>9780884109228</t>
  </si>
  <si>
    <t>32285000133248</t>
  </si>
  <si>
    <t>893340553</t>
  </si>
  <si>
    <t>HV7436 .V59 2000</t>
  </si>
  <si>
    <t>0                      HV 7436000V  59          2000</t>
  </si>
  <si>
    <t>Shots in the dark : the policy, politics, and symbolism of gun control / William J. Vizzard.</t>
  </si>
  <si>
    <t>Vizzard, William J., 1944-</t>
  </si>
  <si>
    <t>Lanham, Md. : Rowman &amp; Littlefield Publishers, c2000.</t>
  </si>
  <si>
    <t>2001-10-29</t>
  </si>
  <si>
    <t>140937137:eng</t>
  </si>
  <si>
    <t>43811241</t>
  </si>
  <si>
    <t>991003645519702656</t>
  </si>
  <si>
    <t>2269127270002656</t>
  </si>
  <si>
    <t>9780847695591</t>
  </si>
  <si>
    <t>32285004415930</t>
  </si>
  <si>
    <t>893605041</t>
  </si>
  <si>
    <t>HV751.A6 C52 2008</t>
  </si>
  <si>
    <t>0                      HV 0751000A  6                  C  52          2008</t>
  </si>
  <si>
    <t>Changing children's services : working and learning together / edited by Pam Foley and Andy Rixon.</t>
  </si>
  <si>
    <t>Bristol : Policy Press in association with Open University, 2008.</t>
  </si>
  <si>
    <t>Working together for children ; bk. 3</t>
  </si>
  <si>
    <t>1104453584:eng</t>
  </si>
  <si>
    <t>178197914</t>
  </si>
  <si>
    <t>991005293469702656</t>
  </si>
  <si>
    <t>2260863620002656</t>
  </si>
  <si>
    <t>9781847420602</t>
  </si>
  <si>
    <t>32285005505606</t>
  </si>
  <si>
    <t>893351058</t>
  </si>
  <si>
    <t>HV7911.A77 A3 2008</t>
  </si>
  <si>
    <t>0                      HV 7911000A  77                 A  3           2008</t>
  </si>
  <si>
    <t>Joe's law : America's toughest sheriff takes on illegal immigration, drugs, and everything else that threatens America / Joe Arpaio and Len Sherman.</t>
  </si>
  <si>
    <t>Arpaio, Joe, 1932-</t>
  </si>
  <si>
    <t>New York : AMACOM, c2008.</t>
  </si>
  <si>
    <t>2009-10-30</t>
  </si>
  <si>
    <t>2008-06-18</t>
  </si>
  <si>
    <t>796532305:eng</t>
  </si>
  <si>
    <t>183265120</t>
  </si>
  <si>
    <t>991005226699702656</t>
  </si>
  <si>
    <t>2270234840002656</t>
  </si>
  <si>
    <t>9780814401996</t>
  </si>
  <si>
    <t>32285005446488</t>
  </si>
  <si>
    <t>893688803</t>
  </si>
  <si>
    <t>HV7911.C66 A3 2004</t>
  </si>
  <si>
    <t>0                      HV 7911000C  66                 A  3           2004</t>
  </si>
  <si>
    <t>Blue blood / Edward Conlon.</t>
  </si>
  <si>
    <t>Conlon, Edward, 1965-</t>
  </si>
  <si>
    <t>New York : Riverhead Books, c2004.</t>
  </si>
  <si>
    <t>2007-09-06</t>
  </si>
  <si>
    <t>2004-06-07</t>
  </si>
  <si>
    <t>3855944630:eng</t>
  </si>
  <si>
    <t>53289713</t>
  </si>
  <si>
    <t>991004302529702656</t>
  </si>
  <si>
    <t>2255990300002656</t>
  </si>
  <si>
    <t>9781573222662</t>
  </si>
  <si>
    <t>32285004907696</t>
  </si>
  <si>
    <t>893806892</t>
  </si>
  <si>
    <t>HV7911.D443 A3 2001</t>
  </si>
  <si>
    <t>0                      HV 7911000D  443                A  3           2001</t>
  </si>
  <si>
    <t>Special agent : my life on the front lines as a woman in the FBI / Candice DeLong and Elisa Petrini.</t>
  </si>
  <si>
    <t>DeLong, Candice.</t>
  </si>
  <si>
    <t>New York : Hyperion, c2001.</t>
  </si>
  <si>
    <t>2007-09-09</t>
  </si>
  <si>
    <t>2001-07-10</t>
  </si>
  <si>
    <t>10227335230:eng</t>
  </si>
  <si>
    <t>45634521</t>
  </si>
  <si>
    <t>991003557069702656</t>
  </si>
  <si>
    <t>2260593890002656</t>
  </si>
  <si>
    <t>9780786867073</t>
  </si>
  <si>
    <t>32285004331111</t>
  </si>
  <si>
    <t>893342688</t>
  </si>
  <si>
    <t>HV7911.H6 G46 1991</t>
  </si>
  <si>
    <t>0                      HV 7911000H  6                  G  46          1991</t>
  </si>
  <si>
    <t>J. Edgar Hoover : the man and the secrets / Curt Gentry.</t>
  </si>
  <si>
    <t>Gentry, Curt, 1931-2014.</t>
  </si>
  <si>
    <t>New York : Norton, c1991.</t>
  </si>
  <si>
    <t>1991-09-27</t>
  </si>
  <si>
    <t>45039:eng</t>
  </si>
  <si>
    <t>21040965</t>
  </si>
  <si>
    <t>991001644559702656</t>
  </si>
  <si>
    <t>2270127660002656</t>
  </si>
  <si>
    <t>9780393024043</t>
  </si>
  <si>
    <t>32285000725332</t>
  </si>
  <si>
    <t>893621521</t>
  </si>
  <si>
    <t>HV7911.H6 H33 2004</t>
  </si>
  <si>
    <t>0                      HV 7911000H  6                  H  33          2004</t>
  </si>
  <si>
    <t>Puppetmaster : the secret life of J. Edgar Hoover / Richard Hack.</t>
  </si>
  <si>
    <t>Hack, Richard.</t>
  </si>
  <si>
    <t>Beverly Hills, CA : New Millennium Press, c2004.</t>
  </si>
  <si>
    <t>2006-02-07</t>
  </si>
  <si>
    <t>2004-07-29</t>
  </si>
  <si>
    <t>799550:eng</t>
  </si>
  <si>
    <t>54534326</t>
  </si>
  <si>
    <t>991004288629702656</t>
  </si>
  <si>
    <t>2254732410002656</t>
  </si>
  <si>
    <t>9781893224872</t>
  </si>
  <si>
    <t>32285004926472</t>
  </si>
  <si>
    <t>893247397</t>
  </si>
  <si>
    <t>HV7911.H6 P68 1987</t>
  </si>
  <si>
    <t>0                      HV 7911000H  6                  P  68          1987</t>
  </si>
  <si>
    <t>Secrecy and power : the life of J. Edgar Hoover / Richard Gid Powers.</t>
  </si>
  <si>
    <t>Powers, Richard Gid, 1944-</t>
  </si>
  <si>
    <t>2002-05-06</t>
  </si>
  <si>
    <t>8360634:eng</t>
  </si>
  <si>
    <t>14413188</t>
  </si>
  <si>
    <t>991000941719702656</t>
  </si>
  <si>
    <t>2266368830002656</t>
  </si>
  <si>
    <t>9780029250600</t>
  </si>
  <si>
    <t>32285000032630</t>
  </si>
  <si>
    <t>893327738</t>
  </si>
  <si>
    <t>HV7911.H6 T54 1988</t>
  </si>
  <si>
    <t>0                      HV 7911000H  6                  T  54          1988</t>
  </si>
  <si>
    <t>The boss : J. Edgar Hoover and the great American inquisition / Athan G. Theoharis and John Stuart Cox.</t>
  </si>
  <si>
    <t>Theoharis, Athan G.</t>
  </si>
  <si>
    <t>Philadelphia : Temple University Press, 1988.</t>
  </si>
  <si>
    <t>13214466:eng</t>
  </si>
  <si>
    <t>16756858</t>
  </si>
  <si>
    <t>991001144369702656</t>
  </si>
  <si>
    <t>2262330570002656</t>
  </si>
  <si>
    <t>9780877225324</t>
  </si>
  <si>
    <t>32285000052604</t>
  </si>
  <si>
    <t>893346286</t>
  </si>
  <si>
    <t>HV7911.W426 S86 2008</t>
  </si>
  <si>
    <t>0                      HV 7911000W  426                S  86          2008</t>
  </si>
  <si>
    <t>The suspicions of Mr. Whicher : or, The murder at Road Hill House / by Kate Summerscale.</t>
  </si>
  <si>
    <t>Summerscale, Kate, 1965-</t>
  </si>
  <si>
    <t>London : Bloomsbury, 2008.</t>
  </si>
  <si>
    <t>2008-10-29</t>
  </si>
  <si>
    <t>153980243:eng</t>
  </si>
  <si>
    <t>246554929</t>
  </si>
  <si>
    <t>991005269639702656</t>
  </si>
  <si>
    <t>2263223310002656</t>
  </si>
  <si>
    <t>9780747582151</t>
  </si>
  <si>
    <t>32285005460042</t>
  </si>
  <si>
    <t>893520746</t>
  </si>
  <si>
    <t>HV7921 .B38 1985</t>
  </si>
  <si>
    <t>0                      HV 7921000B  38          1985</t>
  </si>
  <si>
    <t>Patterns of policing : a comparative international analysis / David H. Bayley.</t>
  </si>
  <si>
    <t>Bayley, David H.</t>
  </si>
  <si>
    <t>New Brunswick, N.J. : Rutgers University Press, c1985.</t>
  </si>
  <si>
    <t>Crime, law, and deviance series</t>
  </si>
  <si>
    <t>2002-04-01</t>
  </si>
  <si>
    <t>4129601:eng</t>
  </si>
  <si>
    <t>11397255</t>
  </si>
  <si>
    <t>991000529729702656</t>
  </si>
  <si>
    <t>2267516360002656</t>
  </si>
  <si>
    <t>9780813510941</t>
  </si>
  <si>
    <t>32285001182327</t>
  </si>
  <si>
    <t>893419551</t>
  </si>
  <si>
    <t>HV7921 .B6</t>
  </si>
  <si>
    <t>0                      HV 7921000B  6</t>
  </si>
  <si>
    <t>The police : six sociological essays / edited by David J. Bordua.</t>
  </si>
  <si>
    <t>Bordua, David J., editor.</t>
  </si>
  <si>
    <t>New York : Wiley, [1967]</t>
  </si>
  <si>
    <t>2001-11-02</t>
  </si>
  <si>
    <t>233121485:eng</t>
  </si>
  <si>
    <t>2118302</t>
  </si>
  <si>
    <t>991001752809702656</t>
  </si>
  <si>
    <t>2265422480002656</t>
  </si>
  <si>
    <t>9780471088912</t>
  </si>
  <si>
    <t>32285001910107</t>
  </si>
  <si>
    <t>893779033</t>
  </si>
  <si>
    <t>HV7921 .K56</t>
  </si>
  <si>
    <t>0                      HV 7921000K  56</t>
  </si>
  <si>
    <t>Policing / Adrian Kinnane.</t>
  </si>
  <si>
    <t>Kinnane, Adrian.</t>
  </si>
  <si>
    <t>Chicago : Nelson-Hall, c1979.</t>
  </si>
  <si>
    <t>541339:eng</t>
  </si>
  <si>
    <t>4493815</t>
  </si>
  <si>
    <t>991004650739702656</t>
  </si>
  <si>
    <t>2260903740002656</t>
  </si>
  <si>
    <t>9780882293271</t>
  </si>
  <si>
    <t>32285001182335</t>
  </si>
  <si>
    <t>893442897</t>
  </si>
  <si>
    <t>HV7921 .P34</t>
  </si>
  <si>
    <t>0                      HV 7921000P  34</t>
  </si>
  <si>
    <t>Police operations / Gwynne Peirson.</t>
  </si>
  <si>
    <t>Peirson, Gwynne Walker.</t>
  </si>
  <si>
    <t>Chicago : Nelson-Hall, c1976.</t>
  </si>
  <si>
    <t>Nelson-Hall law enforcement series</t>
  </si>
  <si>
    <t>2003-11-03</t>
  </si>
  <si>
    <t>1992-05-14</t>
  </si>
  <si>
    <t>2485476597:eng</t>
  </si>
  <si>
    <t>2517291</t>
  </si>
  <si>
    <t>991004148039702656</t>
  </si>
  <si>
    <t>2257698310002656</t>
  </si>
  <si>
    <t>9780911012866</t>
  </si>
  <si>
    <t>32285001109726</t>
  </si>
  <si>
    <t>893353243</t>
  </si>
  <si>
    <t>HV7921 .P54 1977</t>
  </si>
  <si>
    <t>0                      HV 7921000P  54          1977</t>
  </si>
  <si>
    <t>Police and society / edited by David H. Bayley.</t>
  </si>
  <si>
    <t>Beverly Hills, Calif. : Sage Publications, c1977.</t>
  </si>
  <si>
    <t>Sage focus editions ; 1</t>
  </si>
  <si>
    <t>365720172:eng</t>
  </si>
  <si>
    <t>3294523</t>
  </si>
  <si>
    <t>991004399989702656</t>
  </si>
  <si>
    <t>2257208760002656</t>
  </si>
  <si>
    <t>9780803908628</t>
  </si>
  <si>
    <t>32285000056449</t>
  </si>
  <si>
    <t>893319175</t>
  </si>
  <si>
    <t>HV7921 .P5715 1994</t>
  </si>
  <si>
    <t>0                      HV 7921000P  5715        1994</t>
  </si>
  <si>
    <t>Police practices : an international review / edited by Dilip K. Das.</t>
  </si>
  <si>
    <t>Metuchen, N.J. : Scarecrow Press, 1994.</t>
  </si>
  <si>
    <t>2004-03-22</t>
  </si>
  <si>
    <t>836896451:eng</t>
  </si>
  <si>
    <t>30544790</t>
  </si>
  <si>
    <t>991002346029702656</t>
  </si>
  <si>
    <t>2261688050002656</t>
  </si>
  <si>
    <t>9780810829084</t>
  </si>
  <si>
    <t>32285002053501</t>
  </si>
  <si>
    <t>893786023</t>
  </si>
  <si>
    <t>HV7921 .S656 2010</t>
  </si>
  <si>
    <t>0                      HV 7921000S  656         2010</t>
  </si>
  <si>
    <t>Spatial policing : the influence of time, space, and geography on law enforcement practices / edited by Charles E. Crawford.</t>
  </si>
  <si>
    <t>Durham, N.C. : Carolina Academic Press, c2010.</t>
  </si>
  <si>
    <t>2010-04-15</t>
  </si>
  <si>
    <t>378365609:eng</t>
  </si>
  <si>
    <t>426391201</t>
  </si>
  <si>
    <t>991005383369702656</t>
  </si>
  <si>
    <t>2257274780002656</t>
  </si>
  <si>
    <t>9781594605666</t>
  </si>
  <si>
    <t>32285005564520</t>
  </si>
  <si>
    <t>893345118</t>
  </si>
  <si>
    <t>HV7921 .U56 1992</t>
  </si>
  <si>
    <t>0                      HV 7921000U  56          1992</t>
  </si>
  <si>
    <t>Understanding policing / edited by K.R.E. McCormick &amp; L.A. Visano.</t>
  </si>
  <si>
    <t>Toronto : Canadian Scholars' Press, 1992.</t>
  </si>
  <si>
    <t>1998-12-02</t>
  </si>
  <si>
    <t>25162944:eng</t>
  </si>
  <si>
    <t>27072058</t>
  </si>
  <si>
    <t>991002113599702656</t>
  </si>
  <si>
    <t>2271935720002656</t>
  </si>
  <si>
    <t>9781551300054</t>
  </si>
  <si>
    <t>32285003493037</t>
  </si>
  <si>
    <t>893226479</t>
  </si>
  <si>
    <t>HV7924 .C56 1995</t>
  </si>
  <si>
    <t>0                      HV 7924000C  56          1995</t>
  </si>
  <si>
    <t>Morality in criminal justice : an introduction to ethics / Daryl Close, Nicholas Meier.</t>
  </si>
  <si>
    <t>Close, Daryl.</t>
  </si>
  <si>
    <t>Belmont, Calif. : Wadsworth, c1995.</t>
  </si>
  <si>
    <t>1995-03-07</t>
  </si>
  <si>
    <t>836885889:eng</t>
  </si>
  <si>
    <t>30667404</t>
  </si>
  <si>
    <t>991002357129702656</t>
  </si>
  <si>
    <t>2268218330002656</t>
  </si>
  <si>
    <t>9780534221164</t>
  </si>
  <si>
    <t>32285002001344</t>
  </si>
  <si>
    <t>893433778</t>
  </si>
  <si>
    <t>HV7924 .D45 1996</t>
  </si>
  <si>
    <t>0                      HV 7924000D  45          1996</t>
  </si>
  <si>
    <t>Character and cops : ethics in policing / Edwin J. Delattre.</t>
  </si>
  <si>
    <t>Delattre, Edwin J.</t>
  </si>
  <si>
    <t>Washington, DC : AEI Press, 1996.</t>
  </si>
  <si>
    <t>1997-04-28</t>
  </si>
  <si>
    <t>19495759:eng</t>
  </si>
  <si>
    <t>35049597</t>
  </si>
  <si>
    <t>991002682749702656</t>
  </si>
  <si>
    <t>2271105470002656</t>
  </si>
  <si>
    <t>9780844739731</t>
  </si>
  <si>
    <t>32285002541489</t>
  </si>
  <si>
    <t>893892855</t>
  </si>
  <si>
    <t>HV7924 .M34 1982</t>
  </si>
  <si>
    <t>0                      HV 7924000M  34          1982</t>
  </si>
  <si>
    <t>The ethics of law enforcement and criminal punishment / Edward A. Malloy.</t>
  </si>
  <si>
    <t>Malloy, Edward A.</t>
  </si>
  <si>
    <t>Washington, D.C. : University Press of America, c1982.</t>
  </si>
  <si>
    <t>1999-03-28</t>
  </si>
  <si>
    <t>3930364:eng</t>
  </si>
  <si>
    <t>8866702</t>
  </si>
  <si>
    <t>991000087719702656</t>
  </si>
  <si>
    <t>2262352490002656</t>
  </si>
  <si>
    <t>9780819128430</t>
  </si>
  <si>
    <t>32285000133255</t>
  </si>
  <si>
    <t>893502218</t>
  </si>
  <si>
    <t>HV7924 .M67 1985</t>
  </si>
  <si>
    <t>0                      HV 7924000M  67          1985</t>
  </si>
  <si>
    <t>Moral issues in police work / edited by Frederick A. Elliston and Michael Feldberg.</t>
  </si>
  <si>
    <t>Totowa, N.J. : Rowman &amp; Allanheld, 1985.</t>
  </si>
  <si>
    <t>352470920:eng</t>
  </si>
  <si>
    <t>11316243</t>
  </si>
  <si>
    <t>991000519119702656</t>
  </si>
  <si>
    <t>2256869790002656</t>
  </si>
  <si>
    <t>9780847671922</t>
  </si>
  <si>
    <t>32285001182350</t>
  </si>
  <si>
    <t>893595618</t>
  </si>
  <si>
    <t>HV7935 .P66</t>
  </si>
  <si>
    <t>0                      HV 7935000P  66</t>
  </si>
  <si>
    <t>Police behavior : a sociological perspective / [edited by] Richard J. Lundman.</t>
  </si>
  <si>
    <t>2004-10-14</t>
  </si>
  <si>
    <t>836629533:eng</t>
  </si>
  <si>
    <t>5196827</t>
  </si>
  <si>
    <t>991004798459702656</t>
  </si>
  <si>
    <t>2258547540002656</t>
  </si>
  <si>
    <t>9780195026801</t>
  </si>
  <si>
    <t>32285001182368</t>
  </si>
  <si>
    <t>893810702</t>
  </si>
  <si>
    <t>HV7936.C8 D7</t>
  </si>
  <si>
    <t>0                      HV 7936000C  8                  D  7</t>
  </si>
  <si>
    <t>Laboratory simulation of a police communications system under stress, by Thomas E. Drabek.</t>
  </si>
  <si>
    <t>Drabek, Thomas E., 1940-</t>
  </si>
  <si>
    <t>Columbus, College of Administrative Science, Ohio State University, 1969.</t>
  </si>
  <si>
    <t>College of Administrative Science monograph ; no. D2</t>
  </si>
  <si>
    <t>9658166061:eng</t>
  </si>
  <si>
    <t>92258</t>
  </si>
  <si>
    <t>991000549369702656</t>
  </si>
  <si>
    <t>2265126190002656</t>
  </si>
  <si>
    <t>32285003158788</t>
  </si>
  <si>
    <t>893689797</t>
  </si>
  <si>
    <t>HV7936.C83 C663 1998</t>
  </si>
  <si>
    <t>0                      HV 7936000C  83                 C  663         1998</t>
  </si>
  <si>
    <t>Community policing : a contemporary perspective / Robert Trojanowicz ... [et al.].</t>
  </si>
  <si>
    <t>Cincinnati, OH : Anderson Publ., c1998.</t>
  </si>
  <si>
    <t>2001-11-19</t>
  </si>
  <si>
    <t>4922057827:eng</t>
  </si>
  <si>
    <t>37725503</t>
  </si>
  <si>
    <t>991002862429702656</t>
  </si>
  <si>
    <t>2255747030002656</t>
  </si>
  <si>
    <t>9780870848766</t>
  </si>
  <si>
    <t>32285003514667</t>
  </si>
  <si>
    <t>893622839</t>
  </si>
  <si>
    <t>HV7936.C83 M6 1999</t>
  </si>
  <si>
    <t>0                      HV 7936000C  83                 M  6           1999</t>
  </si>
  <si>
    <t>Gender and community policing : walking the talk / Susan L. Miller.</t>
  </si>
  <si>
    <t>Miller, Susan L.</t>
  </si>
  <si>
    <t>Boston : Northeastern University Press, c1999.</t>
  </si>
  <si>
    <t>The Northeastern series on gender, crime, and law</t>
  </si>
  <si>
    <t>2002-06-21</t>
  </si>
  <si>
    <t>905542322:eng</t>
  </si>
  <si>
    <t>41017505</t>
  </si>
  <si>
    <t>991003283149702656</t>
  </si>
  <si>
    <t>2255126890002656</t>
  </si>
  <si>
    <t>9781555534134</t>
  </si>
  <si>
    <t>32285003769071</t>
  </si>
  <si>
    <t>893336332</t>
  </si>
  <si>
    <t>HV7936.C85 B37 1994</t>
  </si>
  <si>
    <t>0                      HV 7936000C  85                 B  37          1994</t>
  </si>
  <si>
    <t>Police deviance / Thomas Barker, David L. Carter.</t>
  </si>
  <si>
    <t>Barker, Thomas.</t>
  </si>
  <si>
    <t>Cincinnati, Ohio : Anderson Pub. Co., c1994.</t>
  </si>
  <si>
    <t>2005-10-24</t>
  </si>
  <si>
    <t>24545694:eng</t>
  </si>
  <si>
    <t>29704889</t>
  </si>
  <si>
    <t>991002292619702656</t>
  </si>
  <si>
    <t>2260269900002656</t>
  </si>
  <si>
    <t>9780870847141</t>
  </si>
  <si>
    <t>32285003514618</t>
  </si>
  <si>
    <t>893716277</t>
  </si>
  <si>
    <t>HV7936.C85 P86 1985</t>
  </si>
  <si>
    <t>0                      HV 7936000C  85                 P  86          1985</t>
  </si>
  <si>
    <t>Conduct unbecoming : the social construction of police deviance and control / Maurice Punch.</t>
  </si>
  <si>
    <t>Punch, Maurice.</t>
  </si>
  <si>
    <t>London ; New York : Tavistock Publications, 1985.</t>
  </si>
  <si>
    <t>SSP ; 298</t>
  </si>
  <si>
    <t>312651143:eng</t>
  </si>
  <si>
    <t>12081644</t>
  </si>
  <si>
    <t>991000636529702656</t>
  </si>
  <si>
    <t>2264294520002656</t>
  </si>
  <si>
    <t>9780422792103</t>
  </si>
  <si>
    <t>32285001182376</t>
  </si>
  <si>
    <t>893878221</t>
  </si>
  <si>
    <t>HV7936.D54 B76 1988</t>
  </si>
  <si>
    <t>0                      HV 7936000D  54                 B  76          1988</t>
  </si>
  <si>
    <t>Working the street : police discretion and the dilemmas of reform / Michael K. Brown.</t>
  </si>
  <si>
    <t>Brown, Michael K.</t>
  </si>
  <si>
    <t>New York : Russell Sage Foundation, 1988.</t>
  </si>
  <si>
    <t>2001-02-19</t>
  </si>
  <si>
    <t>16580085:eng</t>
  </si>
  <si>
    <t>18165672</t>
  </si>
  <si>
    <t>991001314469702656</t>
  </si>
  <si>
    <t>2262314060002656</t>
  </si>
  <si>
    <t>9780871541918</t>
  </si>
  <si>
    <t>32285001182400</t>
  </si>
  <si>
    <t>893231902</t>
  </si>
  <si>
    <t>HV7936.P75 P79 1983</t>
  </si>
  <si>
    <t>0                      HV 7936000P  75                 P  79          1983</t>
  </si>
  <si>
    <t>Psychology for police officers / Ray Bull ... [et al.].</t>
  </si>
  <si>
    <t>Chichester ; New York : Wiley, c1983.</t>
  </si>
  <si>
    <t>42858836:eng</t>
  </si>
  <si>
    <t>9488675</t>
  </si>
  <si>
    <t>991000205119702656</t>
  </si>
  <si>
    <t>2259139480002656</t>
  </si>
  <si>
    <t>9780471901945</t>
  </si>
  <si>
    <t>32285001182418</t>
  </si>
  <si>
    <t>893224830</t>
  </si>
  <si>
    <t>HV7936.R3 G56 2009</t>
  </si>
  <si>
    <t>0                      HV 7936000R  3                  G  56          2009</t>
  </si>
  <si>
    <t>Racial profiling : research, racism, and resistance / Karen S. Glover.</t>
  </si>
  <si>
    <t>Glover, Karen S., 1964-</t>
  </si>
  <si>
    <t>Lanham, Md. : Rowman &amp; Littlefield, c2009.</t>
  </si>
  <si>
    <t>Issues in crime &amp; justice</t>
  </si>
  <si>
    <t>2010-08-16</t>
  </si>
  <si>
    <t>801769698:eng</t>
  </si>
  <si>
    <t>305419658</t>
  </si>
  <si>
    <t>991000044739702656</t>
  </si>
  <si>
    <t>2263180550002656</t>
  </si>
  <si>
    <t>9780742561052</t>
  </si>
  <si>
    <t>32285005592612</t>
  </si>
  <si>
    <t>893249023</t>
  </si>
  <si>
    <t>HV7936.R3 H65 2004</t>
  </si>
  <si>
    <t>0                      HV 7936000R  3                  H  65          2004</t>
  </si>
  <si>
    <t>The color of guilt &amp; innocence : racial profiling and police practices in America / Steve Holbert &amp; Lisa Rose.</t>
  </si>
  <si>
    <t>Holbert, Steve.</t>
  </si>
  <si>
    <t>San Ramon, Calif. : Page Marque Press, c2004.</t>
  </si>
  <si>
    <t>2006-01-19</t>
  </si>
  <si>
    <t>859151:eng</t>
  </si>
  <si>
    <t>56477728</t>
  </si>
  <si>
    <t>991004700599702656</t>
  </si>
  <si>
    <t>2261895860002656</t>
  </si>
  <si>
    <t>9780974664002</t>
  </si>
  <si>
    <t>32285005155865</t>
  </si>
  <si>
    <t>893889155</t>
  </si>
  <si>
    <t>HV7936.R3 R325 2006</t>
  </si>
  <si>
    <t>0                      HV 7936000R  3                  R  325         2006</t>
  </si>
  <si>
    <t>Racial profiling / Kris Hirschmann, book editor.</t>
  </si>
  <si>
    <t>Detroit : Greenhaven Press, c2006.</t>
  </si>
  <si>
    <t>At issue</t>
  </si>
  <si>
    <t>2008-01-29</t>
  </si>
  <si>
    <t>2473985:eng</t>
  </si>
  <si>
    <t>64596025</t>
  </si>
  <si>
    <t>991005173329702656</t>
  </si>
  <si>
    <t>2271929290002656</t>
  </si>
  <si>
    <t>9780737719796</t>
  </si>
  <si>
    <t>32285005390975</t>
  </si>
  <si>
    <t>893795743</t>
  </si>
  <si>
    <t>HV7997 .B6</t>
  </si>
  <si>
    <t>0                      HV 7997000B  6</t>
  </si>
  <si>
    <t>Kids and cops; a study in mutual hostility, by Donald H. Bouma.</t>
  </si>
  <si>
    <t>Bouma, Donald H. (Donald Herbert)</t>
  </si>
  <si>
    <t>Grand Rapids, Mich. Eerdmans [1969]</t>
  </si>
  <si>
    <t>1998-11-10</t>
  </si>
  <si>
    <t>1214206:eng</t>
  </si>
  <si>
    <t>44829</t>
  </si>
  <si>
    <t>991000101719702656</t>
  </si>
  <si>
    <t>2261392490002656</t>
  </si>
  <si>
    <t>32285003158796</t>
  </si>
  <si>
    <t>893345385</t>
  </si>
  <si>
    <t>HV8001 .W455</t>
  </si>
  <si>
    <t>0                      HV 8001000W  455</t>
  </si>
  <si>
    <t>Police supervision : theory and practice / [by] Paul M. Whisenand.</t>
  </si>
  <si>
    <t>Whisenand, Paul M.</t>
  </si>
  <si>
    <t>Englewood Cliffs, N.J. : Prentice-Hall, [1971]</t>
  </si>
  <si>
    <t>1994-04-12</t>
  </si>
  <si>
    <t>411838:eng</t>
  </si>
  <si>
    <t>148820</t>
  </si>
  <si>
    <t>991000842769702656</t>
  </si>
  <si>
    <t>2260130720002656</t>
  </si>
  <si>
    <t>9780136862468</t>
  </si>
  <si>
    <t>32285001886257</t>
  </si>
  <si>
    <t>893255786</t>
  </si>
  <si>
    <t>HV8009 .G47 2001</t>
  </si>
  <si>
    <t>0                      HV 8009000G  47          2001</t>
  </si>
  <si>
    <t>Women and men police officers : status, gender, and personality / Gwendolyn L. Gerber.</t>
  </si>
  <si>
    <t>Gerber, Gwendolyn L.</t>
  </si>
  <si>
    <t>Westport, Conn. : Praeger, c2001.</t>
  </si>
  <si>
    <t>2002-01-17</t>
  </si>
  <si>
    <t>2001-11-14</t>
  </si>
  <si>
    <t>837079877:eng</t>
  </si>
  <si>
    <t>45100317</t>
  </si>
  <si>
    <t>991003653219702656</t>
  </si>
  <si>
    <t>2269523140002656</t>
  </si>
  <si>
    <t>9780275967499</t>
  </si>
  <si>
    <t>32285004410881</t>
  </si>
  <si>
    <t>893525056</t>
  </si>
  <si>
    <t>HV8059 .G78 2006</t>
  </si>
  <si>
    <t>0                      HV 8059000G  78          2006</t>
  </si>
  <si>
    <t>One nation under guns : an essay on an American epidemic / Arnold Grossman.</t>
  </si>
  <si>
    <t>Grossman, Arnold.</t>
  </si>
  <si>
    <t>Golden, Colo. : Fulcrum Pub., c2006.</t>
  </si>
  <si>
    <t>Speaker's corner books</t>
  </si>
  <si>
    <t>2007-01-02</t>
  </si>
  <si>
    <t>52000719:eng</t>
  </si>
  <si>
    <t>68694022</t>
  </si>
  <si>
    <t>991004993949702656</t>
  </si>
  <si>
    <t>2270406880002656</t>
  </si>
  <si>
    <t>9781555915575</t>
  </si>
  <si>
    <t>32285005267702</t>
  </si>
  <si>
    <t>893260412</t>
  </si>
  <si>
    <t>HV8059 .K45</t>
  </si>
  <si>
    <t>0                      HV 8059000K  45</t>
  </si>
  <si>
    <t>The gun in America : the origins of a national dilemma / Lee Kennett and James La Verne Anderson.</t>
  </si>
  <si>
    <t>Kennett, Lee B.</t>
  </si>
  <si>
    <t>Westport, Conn. : Greenwood Press, 1975.</t>
  </si>
  <si>
    <t>Contributions in American history ; no. 37</t>
  </si>
  <si>
    <t>501054:eng</t>
  </si>
  <si>
    <t>1091610</t>
  </si>
  <si>
    <t>991003527709702656</t>
  </si>
  <si>
    <t>2265915400002656</t>
  </si>
  <si>
    <t>9780837175300</t>
  </si>
  <si>
    <t>32285001093896</t>
  </si>
  <si>
    <t>893252461</t>
  </si>
  <si>
    <t>HV8059 .K65 2004</t>
  </si>
  <si>
    <t>0                      HV 8059000K  65          2004</t>
  </si>
  <si>
    <t>Shooters : myths and realities of America's gun cultures / by Abigail A. Kohn.</t>
  </si>
  <si>
    <t>Kohn, Abigail A.</t>
  </si>
  <si>
    <t>New York : Oxford University Press, 2004.</t>
  </si>
  <si>
    <t>792590148:eng</t>
  </si>
  <si>
    <t>52838709</t>
  </si>
  <si>
    <t>991004788689702656</t>
  </si>
  <si>
    <t>2267258900002656</t>
  </si>
  <si>
    <t>9780195150513</t>
  </si>
  <si>
    <t>32285005064018</t>
  </si>
  <si>
    <t>893882941</t>
  </si>
  <si>
    <t>HV8059 .K79</t>
  </si>
  <si>
    <t>0                      HV 8059000K  79</t>
  </si>
  <si>
    <t>Gun control / [by] Robert J. Kukla. Edited by Harlon B. Carter.</t>
  </si>
  <si>
    <t>Kukla, Robert J.</t>
  </si>
  <si>
    <t>[Harrisburg, Pa.] : Stackpole Books, [1973]</t>
  </si>
  <si>
    <t>1999-06-24</t>
  </si>
  <si>
    <t>1597454:eng</t>
  </si>
  <si>
    <t>650673</t>
  </si>
  <si>
    <t>991003101979702656</t>
  </si>
  <si>
    <t>2266362440002656</t>
  </si>
  <si>
    <t>9780811711906</t>
  </si>
  <si>
    <t>32285001410132</t>
  </si>
  <si>
    <t>893899627</t>
  </si>
  <si>
    <t>HV8059 .S47</t>
  </si>
  <si>
    <t>0                      HV 8059000S  47</t>
  </si>
  <si>
    <t>The Saturday night special ; and, other guns with which Americans won the West, protected bootleg franchises, slew wildlife, robbed countless banks, shot husbands purposely and by mistake, and killed presidents--together with the debate over continuing same / illustrated by Julio Fernandez.</t>
  </si>
  <si>
    <t>Sherrill, Robert.</t>
  </si>
  <si>
    <t>New York : Charterhouse, [1973]</t>
  </si>
  <si>
    <t>1661242:eng</t>
  </si>
  <si>
    <t>766954</t>
  </si>
  <si>
    <t>991003243879702656</t>
  </si>
  <si>
    <t>2267362880002656</t>
  </si>
  <si>
    <t>9780883270165</t>
  </si>
  <si>
    <t>32285001410124</t>
  </si>
  <si>
    <t>893348474</t>
  </si>
  <si>
    <t>HV8069 .C8</t>
  </si>
  <si>
    <t>0                      HV 8069000C  8</t>
  </si>
  <si>
    <t>Race tensions and the police / by J.E. Curry and Glen D. King ; with a foreword by George Eastman.</t>
  </si>
  <si>
    <t>Curry, J. E. (Jesse E.)</t>
  </si>
  <si>
    <t>Springfield, Ill. : Thomas, c1962.</t>
  </si>
  <si>
    <t>Police science series</t>
  </si>
  <si>
    <t>1998-12-09</t>
  </si>
  <si>
    <t>1991-04-19</t>
  </si>
  <si>
    <t>806404:eng</t>
  </si>
  <si>
    <t>377019</t>
  </si>
  <si>
    <t>991002599559702656</t>
  </si>
  <si>
    <t>2260852640002656</t>
  </si>
  <si>
    <t>32285000583483</t>
  </si>
  <si>
    <t>893329297</t>
  </si>
  <si>
    <t>HV8069 .P65 2010</t>
  </si>
  <si>
    <t>0                      HV 8069000P  65          2010</t>
  </si>
  <si>
    <t>Police use of force : a global perspective / Joseph B. Kuhns and Johannes Knutsson, editors ; foreword by David H. Bayley.</t>
  </si>
  <si>
    <t>Santa Barbara, Calif. : Praeger, c2010.</t>
  </si>
  <si>
    <t>Global crime and justice</t>
  </si>
  <si>
    <t>864081916:eng</t>
  </si>
  <si>
    <t>502158365</t>
  </si>
  <si>
    <t>991000224649702656</t>
  </si>
  <si>
    <t>2257644540002656</t>
  </si>
  <si>
    <t>9780313363269</t>
  </si>
  <si>
    <t>32285005651541</t>
  </si>
  <si>
    <t>893708230</t>
  </si>
  <si>
    <t>HV8073 .F58</t>
  </si>
  <si>
    <t>0                      HV 8073000F  58</t>
  </si>
  <si>
    <t>Forensic science : a symposium at the 168th meeting of the American Chemical Society, Atlantic City, N.J., September 8-9, 1974 / Geoffrey Davies, editor ; co-sponsored by the Division of Analytical Chemistry and the Division of Chemical Education, inc.</t>
  </si>
  <si>
    <t>Washington : American Chemical Society, 1975.</t>
  </si>
  <si>
    <t>ACS symposium series ; 13</t>
  </si>
  <si>
    <t>2003-04-18</t>
  </si>
  <si>
    <t>1994-05-24</t>
  </si>
  <si>
    <t>4918507692:eng</t>
  </si>
  <si>
    <t>1490115</t>
  </si>
  <si>
    <t>991003778959702656</t>
  </si>
  <si>
    <t>2266227930002656</t>
  </si>
  <si>
    <t>9780841202801</t>
  </si>
  <si>
    <t>32285001913325</t>
  </si>
  <si>
    <t>893693147</t>
  </si>
  <si>
    <t>HV8073 .G53 1993</t>
  </si>
  <si>
    <t>0                      HV 8073000G  53          1993</t>
  </si>
  <si>
    <t>Criminal investigation / James N. Gilbert.</t>
  </si>
  <si>
    <t>Gilbert, James N.</t>
  </si>
  <si>
    <t>New York, N.Y. : Macmillan ; Toronto, Ont. : Maxwell Macmillan Canada, c1993.</t>
  </si>
  <si>
    <t>3855333646:eng</t>
  </si>
  <si>
    <t>25874241</t>
  </si>
  <si>
    <t>991002032819702656</t>
  </si>
  <si>
    <t>2269143310002656</t>
  </si>
  <si>
    <t>9780023429019</t>
  </si>
  <si>
    <t>32285001580819</t>
  </si>
  <si>
    <t>893621836</t>
  </si>
  <si>
    <t>HV8073 .G827</t>
  </si>
  <si>
    <t>0                      HV 8073000G  827</t>
  </si>
  <si>
    <t>The criminal investigation process / Peter W. Greenwood, Jan M. Chaiken, Joan Petersilia ; with contributions from Linda Prusoff ... [et al.].</t>
  </si>
  <si>
    <t>Greenwood, Peter W.</t>
  </si>
  <si>
    <t>Lexington, Mass. : D.C. Heath, c1977.</t>
  </si>
  <si>
    <t>514770:eng</t>
  </si>
  <si>
    <t>2598062</t>
  </si>
  <si>
    <t>991004177949702656</t>
  </si>
  <si>
    <t>2265995860002656</t>
  </si>
  <si>
    <t>9780669009729</t>
  </si>
  <si>
    <t>32285001109718</t>
  </si>
  <si>
    <t>893693633</t>
  </si>
  <si>
    <t>HV8073 .H624 1990</t>
  </si>
  <si>
    <t>0                      HV 8073000H  624         1990</t>
  </si>
  <si>
    <t>The acoustics of crime : the new science of forensic phonetics / Harry Hollien.</t>
  </si>
  <si>
    <t>Hollien, Harry Francis, 1926-</t>
  </si>
  <si>
    <t>New York : Plenum Press, c1990.</t>
  </si>
  <si>
    <t>Applied psycholinguistics and communication disorders</t>
  </si>
  <si>
    <t>1991-06-24</t>
  </si>
  <si>
    <t>324343864:eng</t>
  </si>
  <si>
    <t>21559691</t>
  </si>
  <si>
    <t>991001704539702656</t>
  </si>
  <si>
    <t>2272469160002656</t>
  </si>
  <si>
    <t>9780306434679</t>
  </si>
  <si>
    <t>32285000658467</t>
  </si>
  <si>
    <t>893590570</t>
  </si>
  <si>
    <t>HV8073 .H73</t>
  </si>
  <si>
    <t>0                      HV 8073000H  73</t>
  </si>
  <si>
    <t>Criminal investigation / [by] John J. Horgan.</t>
  </si>
  <si>
    <t>Horgan, John J.</t>
  </si>
  <si>
    <t>New York : McGraw-Hill, [1973, c1974]</t>
  </si>
  <si>
    <t>3943708450:eng</t>
  </si>
  <si>
    <t>516364</t>
  </si>
  <si>
    <t>991002900139702656</t>
  </si>
  <si>
    <t>2256531810002656</t>
  </si>
  <si>
    <t>9780070303379</t>
  </si>
  <si>
    <t>32285000737733</t>
  </si>
  <si>
    <t>893805189</t>
  </si>
  <si>
    <t>HV8073 .O83</t>
  </si>
  <si>
    <t>0                      HV 8073000O  83</t>
  </si>
  <si>
    <t>The crime laboratory; case studies of scientific criminal investigation, by James W. Osterburg.</t>
  </si>
  <si>
    <t>Osterburg, James W.</t>
  </si>
  <si>
    <t>Bloomington, Indiana University Press [1968]</t>
  </si>
  <si>
    <t>1471579:eng</t>
  </si>
  <si>
    <t>376964</t>
  </si>
  <si>
    <t>991001632719702656</t>
  </si>
  <si>
    <t>2263657740002656</t>
  </si>
  <si>
    <t>32285003158804</t>
  </si>
  <si>
    <t>893340557</t>
  </si>
  <si>
    <t>HV8073 .S733 1984</t>
  </si>
  <si>
    <t>0                      HV 8073000S  733         1984</t>
  </si>
  <si>
    <t>The time of the assassins / Claire Sterling.</t>
  </si>
  <si>
    <t>Sterling, Claire.</t>
  </si>
  <si>
    <t>New York : Holt, Rinehart, and Winston, 1984, c1983.</t>
  </si>
  <si>
    <t>2005-05-06</t>
  </si>
  <si>
    <t>367710501:eng</t>
  </si>
  <si>
    <t>9894274</t>
  </si>
  <si>
    <t>991000274879702656</t>
  </si>
  <si>
    <t>2262726210002656</t>
  </si>
  <si>
    <t>9780030635540</t>
  </si>
  <si>
    <t>32285001182483</t>
  </si>
  <si>
    <t>893902954</t>
  </si>
  <si>
    <t>HV8073.5 .H65 1989</t>
  </si>
  <si>
    <t>0                      HV 8073500H  65          1989</t>
  </si>
  <si>
    <t>Profiling violent crimes : an investigative tool / by Ronald M. Holmes.</t>
  </si>
  <si>
    <t>Holmes, Ronald M.</t>
  </si>
  <si>
    <t>2008-03-30</t>
  </si>
  <si>
    <t>898602:eng</t>
  </si>
  <si>
    <t>20172007</t>
  </si>
  <si>
    <t>991001548389702656</t>
  </si>
  <si>
    <t>2257834780002656</t>
  </si>
  <si>
    <t>9780803936829</t>
  </si>
  <si>
    <t>32285000035781</t>
  </si>
  <si>
    <t>893439201</t>
  </si>
  <si>
    <t>HV8078 .M36 1996</t>
  </si>
  <si>
    <t>0                      HV 8078000M  36          1996</t>
  </si>
  <si>
    <t>Forensic psychophysiology using the polygraph : scientific truth verification, lie detection / by James Allan Matté.</t>
  </si>
  <si>
    <t>Matté, James Allan.</t>
  </si>
  <si>
    <t>Williamsville, New York, U.S.A. : J.A.M. Publications, c1996.</t>
  </si>
  <si>
    <t>2009-11-14</t>
  </si>
  <si>
    <t>663678:eng</t>
  </si>
  <si>
    <t>36283551</t>
  </si>
  <si>
    <t>991002764839702656</t>
  </si>
  <si>
    <t>2272450870002656</t>
  </si>
  <si>
    <t>9780965579407</t>
  </si>
  <si>
    <t>32285003381174</t>
  </si>
  <si>
    <t>893409501</t>
  </si>
  <si>
    <t>HV8078 .P37</t>
  </si>
  <si>
    <t>0                      HV 8078000P  37</t>
  </si>
  <si>
    <t>Lie detection via the polygraph / compiled and written by Travis B. Patterson.</t>
  </si>
  <si>
    <t>Patterson, Travis B.</t>
  </si>
  <si>
    <t>South Lake Tahoe, Ca. : Marmaduke Press, c1979.</t>
  </si>
  <si>
    <t>1998-03-06</t>
  </si>
  <si>
    <t>16445461:eng</t>
  </si>
  <si>
    <t>5220773</t>
  </si>
  <si>
    <t>991004802979702656</t>
  </si>
  <si>
    <t>2267450030002656</t>
  </si>
  <si>
    <t>9780932344007</t>
  </si>
  <si>
    <t>32285003261160</t>
  </si>
  <si>
    <t>893801380</t>
  </si>
  <si>
    <t>HV8078 .P65 1988</t>
  </si>
  <si>
    <t>0                      HV 8078000P  65          1988</t>
  </si>
  <si>
    <t>The Polygraph test : lies, truth and science / edited by Anthony Gale.</t>
  </si>
  <si>
    <t>London ; Newbury Park, Calif. : Sage Publications in association with the British Psychological Society, 1988.</t>
  </si>
  <si>
    <t>1990-04-04</t>
  </si>
  <si>
    <t>837250391:eng</t>
  </si>
  <si>
    <t>18140503</t>
  </si>
  <si>
    <t>991001311199702656</t>
  </si>
  <si>
    <t>2255321600002656</t>
  </si>
  <si>
    <t>9780803981225</t>
  </si>
  <si>
    <t>32285000111285</t>
  </si>
  <si>
    <t>893791367</t>
  </si>
  <si>
    <t>HV8079.C46 B47 1987</t>
  </si>
  <si>
    <t>0                      HV 8079000C  46                 B  47          1987</t>
  </si>
  <si>
    <t>Child abuse : a police guide / Douglas J. Besharov.</t>
  </si>
  <si>
    <t>Besharov, Douglas J.</t>
  </si>
  <si>
    <t>[Washington, D.C.] : Police Foundation : American Bar Association, National Legal Resource Center for Child Advocacy and Protection, c1987.</t>
  </si>
  <si>
    <t>1996-07-22</t>
  </si>
  <si>
    <t>36782471:eng</t>
  </si>
  <si>
    <t>16648143</t>
  </si>
  <si>
    <t>991001125479702656</t>
  </si>
  <si>
    <t>2265755940002656</t>
  </si>
  <si>
    <t>9780897073240</t>
  </si>
  <si>
    <t>32285002207537</t>
  </si>
  <si>
    <t>893590039</t>
  </si>
  <si>
    <t>HV8079.C46 B48 1990</t>
  </si>
  <si>
    <t>0                      HV 8079000C  46                 B  48          1990</t>
  </si>
  <si>
    <t>Recognizing child abuse : a guide for the concerned / Douglas J. Besharov.</t>
  </si>
  <si>
    <t>New York : Free Press ; London : Collier Macmillan ; New York : Maxwell Macmillan, c1990.</t>
  </si>
  <si>
    <t>2004-06-30</t>
  </si>
  <si>
    <t>1991-03-21</t>
  </si>
  <si>
    <t>1059641:eng</t>
  </si>
  <si>
    <t>20671624</t>
  </si>
  <si>
    <t>991001602379702656</t>
  </si>
  <si>
    <t>2260286500002656</t>
  </si>
  <si>
    <t>9780029030820</t>
  </si>
  <si>
    <t>32285000512672</t>
  </si>
  <si>
    <t>893797660</t>
  </si>
  <si>
    <t>HV8079.C46 W48 1990</t>
  </si>
  <si>
    <t>0                      HV 8079000C  46                 W  48          1990</t>
  </si>
  <si>
    <t>Wounded innocents : the real victims of the war against child abuse / Richard Wexler.</t>
  </si>
  <si>
    <t>Wexler, Richard, 1953-</t>
  </si>
  <si>
    <t>Buffalo, N.Y. : Prometheus Books, c1990.</t>
  </si>
  <si>
    <t>2004-08-13</t>
  </si>
  <si>
    <t>930469:eng</t>
  </si>
  <si>
    <t>21870351</t>
  </si>
  <si>
    <t>991001681379702656</t>
  </si>
  <si>
    <t>2272080340002656</t>
  </si>
  <si>
    <t>9780879756024</t>
  </si>
  <si>
    <t>32285000566561</t>
  </si>
  <si>
    <t>893256405</t>
  </si>
  <si>
    <t>HV8079.C48 A54 1998</t>
  </si>
  <si>
    <t>0                      HV 8079000C  48                 A  54          1998</t>
  </si>
  <si>
    <t>Interviewing children : a guide for child care and forensic practitioners / Michelle Aldridge and Joanne Wood.</t>
  </si>
  <si>
    <t>Aldridge, Michelle.</t>
  </si>
  <si>
    <t>Chichester ; New York : Wiley, c1998.</t>
  </si>
  <si>
    <t>2004-04-12</t>
  </si>
  <si>
    <t>1020743:eng</t>
  </si>
  <si>
    <t>39354290</t>
  </si>
  <si>
    <t>991004265579702656</t>
  </si>
  <si>
    <t>2255157930002656</t>
  </si>
  <si>
    <t>9780471970521</t>
  </si>
  <si>
    <t>32285004898838</t>
  </si>
  <si>
    <t>893700041</t>
  </si>
  <si>
    <t>HV8079.C48 M36 1995</t>
  </si>
  <si>
    <t>0                      HV 8079000C  48                 M  36          1995</t>
  </si>
  <si>
    <t>Child eyewitness testimony in sexual abuse investigations / Bruce E. Mapes.</t>
  </si>
  <si>
    <t>Mapes, Bruce E., 1946-</t>
  </si>
  <si>
    <t>Brandon, Vt. : Clinical Psychology Pub. Co., c1995.</t>
  </si>
  <si>
    <t>vtu</t>
  </si>
  <si>
    <t>2010-11-01</t>
  </si>
  <si>
    <t>18423893:eng</t>
  </si>
  <si>
    <t>31604608</t>
  </si>
  <si>
    <t>991002422399702656</t>
  </si>
  <si>
    <t>2270951300002656</t>
  </si>
  <si>
    <t>9780884221548</t>
  </si>
  <si>
    <t>32285002317021</t>
  </si>
  <si>
    <t>893792447</t>
  </si>
  <si>
    <t>HV8079.C48 W35 1988</t>
  </si>
  <si>
    <t>0                      HV 8079000C  48                 W  35          1988</t>
  </si>
  <si>
    <t>Accusations of child sexual abuse / by Hollida Wakefield and Ralph Underwager, with Ross Legrand, Joseph Erickson, Christine Samples Bartz ; introduction by Douglas J. Besharov ; foreword by Brook Hart and Anthony Bartholomew.</t>
  </si>
  <si>
    <t>Wakefield, Hollida.</t>
  </si>
  <si>
    <t>Springfield, Ill., U.S.A. : C.C. Thomas, c1988.</t>
  </si>
  <si>
    <t>1999-02-16</t>
  </si>
  <si>
    <t>13077449:eng</t>
  </si>
  <si>
    <t>16900688</t>
  </si>
  <si>
    <t>991001161539702656</t>
  </si>
  <si>
    <t>2266628550002656</t>
  </si>
  <si>
    <t>9780398054236</t>
  </si>
  <si>
    <t>32285002208766</t>
  </si>
  <si>
    <t>893420129</t>
  </si>
  <si>
    <t>HV8079.H6 B4613 2005</t>
  </si>
  <si>
    <t>0                      HV 8079000H  6                  B  4613        2005</t>
  </si>
  <si>
    <t>Murderous methods : using forensic science to solve lethal crimes / Mark Benecke ; translated by Karin Heusch.</t>
  </si>
  <si>
    <t>Benecke, Mark.</t>
  </si>
  <si>
    <t>New York : Columbia University Press, 2005.</t>
  </si>
  <si>
    <t>English-language ed.</t>
  </si>
  <si>
    <t>2005-12-05</t>
  </si>
  <si>
    <t>10567380161:eng</t>
  </si>
  <si>
    <t>58599750</t>
  </si>
  <si>
    <t>991004693359702656</t>
  </si>
  <si>
    <t>2272296590002656</t>
  </si>
  <si>
    <t>9780231131186</t>
  </si>
  <si>
    <t>32285005150809</t>
  </si>
  <si>
    <t>893436605</t>
  </si>
  <si>
    <t>HV8079.H6 E93 2004</t>
  </si>
  <si>
    <t>0                      HV 8079000H  6                  E  93          2004</t>
  </si>
  <si>
    <t>Murder two : the second casebook of forensic detection / Colin Evans.</t>
  </si>
  <si>
    <t>Evans, Colin, 1948-</t>
  </si>
  <si>
    <t>Hoboken, New Jersey : John Wiley &amp; Sons, c2004.</t>
  </si>
  <si>
    <t>2006-09-15</t>
  </si>
  <si>
    <t>863925969:eng</t>
  </si>
  <si>
    <t>53443269</t>
  </si>
  <si>
    <t>991004853369702656</t>
  </si>
  <si>
    <t>2270870980002656</t>
  </si>
  <si>
    <t>9780471215325</t>
  </si>
  <si>
    <t>32285005197438</t>
  </si>
  <si>
    <t>893694409</t>
  </si>
  <si>
    <t>HV8079.H6 M66 2003</t>
  </si>
  <si>
    <t>0                      HV 8079000H  6                  M  66          2003</t>
  </si>
  <si>
    <t>Three weeks in October : the manhunt for the serial sniper / Charles A. Moose and Charles Fleming.</t>
  </si>
  <si>
    <t>Moose, Charles A. (Charles Alexander)</t>
  </si>
  <si>
    <t>New York : Dutton, c2003.</t>
  </si>
  <si>
    <t>712261:eng</t>
  </si>
  <si>
    <t>52547597</t>
  </si>
  <si>
    <t>991004176539702656</t>
  </si>
  <si>
    <t>2272349970002656</t>
  </si>
  <si>
    <t>9780525947776</t>
  </si>
  <si>
    <t>32285004796594</t>
  </si>
  <si>
    <t>893869387</t>
  </si>
  <si>
    <t>HV8079.H6 W45 2004</t>
  </si>
  <si>
    <t>0                      HV 8079000H  6                  W  45          2004</t>
  </si>
  <si>
    <t>American taboo : a murder in the Peace Corps / Philip Weiss.</t>
  </si>
  <si>
    <t>Weiss, Philip, 1955-</t>
  </si>
  <si>
    <t>New York : HarperCollins, c2004.</t>
  </si>
  <si>
    <t>2005-09-08</t>
  </si>
  <si>
    <t>2004-07-12</t>
  </si>
  <si>
    <t>884492:eng</t>
  </si>
  <si>
    <t>55608104</t>
  </si>
  <si>
    <t>991004318449702656</t>
  </si>
  <si>
    <t>2272330450002656</t>
  </si>
  <si>
    <t>9780060096861</t>
  </si>
  <si>
    <t>32285004922679</t>
  </si>
  <si>
    <t>893506699</t>
  </si>
  <si>
    <t>HV8079.N3 B55 2005</t>
  </si>
  <si>
    <t>0                      HV 8079000N  3                  B  55          2005</t>
  </si>
  <si>
    <t>Tulia : race, cocaine, and corruption in a small Texas town / Nate Blakeslee.</t>
  </si>
  <si>
    <t>Blakeslee, Nate, 1970-</t>
  </si>
  <si>
    <t>New York : Public Affairs, c2005.</t>
  </si>
  <si>
    <t>2005-10-28</t>
  </si>
  <si>
    <t>2005-10-12</t>
  </si>
  <si>
    <t>796448761:eng</t>
  </si>
  <si>
    <t>60705704</t>
  </si>
  <si>
    <t>991004647029702656</t>
  </si>
  <si>
    <t>2265419300002656</t>
  </si>
  <si>
    <t>9781586482190</t>
  </si>
  <si>
    <t>32285005088751</t>
  </si>
  <si>
    <t>893430318</t>
  </si>
  <si>
    <t>HV8079.O73 D45 2008</t>
  </si>
  <si>
    <t>0                      HV 8079000O  73                 D  45          2008</t>
  </si>
  <si>
    <t>Covert : my years infiltrating the Mob / by Bob Delaney, with Dave Scheiber ; [foreword by Bill Walton].</t>
  </si>
  <si>
    <t>Delaney, Bob, 1951-</t>
  </si>
  <si>
    <t>New York, NY : Union Square Press, c2008.</t>
  </si>
  <si>
    <t>2008-04-29</t>
  </si>
  <si>
    <t>112886874:eng</t>
  </si>
  <si>
    <t>166362080</t>
  </si>
  <si>
    <t>991005207219702656</t>
  </si>
  <si>
    <t>2255196560002656</t>
  </si>
  <si>
    <t>9781402754432</t>
  </si>
  <si>
    <t>32285005404990</t>
  </si>
  <si>
    <t>893248551</t>
  </si>
  <si>
    <t>HV8079.O73 S36 2000</t>
  </si>
  <si>
    <t>0                      HV 8079000O  73                 S  36          2000</t>
  </si>
  <si>
    <t>Europol and police cooperation in Europe / Michael Santiago.</t>
  </si>
  <si>
    <t>Santiago, Michael.</t>
  </si>
  <si>
    <t>Lewiston, N.Y. : E. Mellen, c2000.</t>
  </si>
  <si>
    <t>Criminology studies ; v. 11</t>
  </si>
  <si>
    <t>44835760:eng</t>
  </si>
  <si>
    <t>43694438</t>
  </si>
  <si>
    <t>991004346649702656</t>
  </si>
  <si>
    <t>2272611440002656</t>
  </si>
  <si>
    <t>9780773477315</t>
  </si>
  <si>
    <t>32285005004493</t>
  </si>
  <si>
    <t>893599739</t>
  </si>
  <si>
    <t>HV8079.S48 S48 2006</t>
  </si>
  <si>
    <t>0                      HV 8079000S  48                 S  48          2006</t>
  </si>
  <si>
    <t>Sex crimes investigation : catching and prosecuting the perpetrators / Robert L. Snow.</t>
  </si>
  <si>
    <t>Snow, Robert L.</t>
  </si>
  <si>
    <t>Westport, Conn. : Praeger, 2006.</t>
  </si>
  <si>
    <t>47024792:eng</t>
  </si>
  <si>
    <t>62697098</t>
  </si>
  <si>
    <t>991004838459702656</t>
  </si>
  <si>
    <t>2267079600002656</t>
  </si>
  <si>
    <t>9780275989347</t>
  </si>
  <si>
    <t>32285005193981</t>
  </si>
  <si>
    <t>893700737</t>
  </si>
  <si>
    <t>HV8079.W47 M35 2005</t>
  </si>
  <si>
    <t>0                      HV 8079000W  47                 M  35          2005</t>
  </si>
  <si>
    <t>Financial investigation and forensic accounting / George A. Manning.</t>
  </si>
  <si>
    <t>Manning, George A.</t>
  </si>
  <si>
    <t>Boca Raton, FL : Taylor &amp; Francis Group, 2005.</t>
  </si>
  <si>
    <t>16766130:eng</t>
  </si>
  <si>
    <t>56672354</t>
  </si>
  <si>
    <t>991004515909702656</t>
  </si>
  <si>
    <t>2269104000002656</t>
  </si>
  <si>
    <t>9780849322235</t>
  </si>
  <si>
    <t>32285005094635</t>
  </si>
  <si>
    <t>893331694</t>
  </si>
  <si>
    <t>HV8087.P75 H6</t>
  </si>
  <si>
    <t>0                      HV 8087000P  75                 H  6</t>
  </si>
  <si>
    <t>The Pinkerton story, by James D. Horan and Howard Swiggett.</t>
  </si>
  <si>
    <t>Horan, James D. (James David), 1914-1981.</t>
  </si>
  <si>
    <t>New York, Putnam [1951]</t>
  </si>
  <si>
    <t>2002-04-23</t>
  </si>
  <si>
    <t>2034556:eng</t>
  </si>
  <si>
    <t>1313186</t>
  </si>
  <si>
    <t>991003685099702656</t>
  </si>
  <si>
    <t>2257547220002656</t>
  </si>
  <si>
    <t>32285003158820</t>
  </si>
  <si>
    <t>893228327</t>
  </si>
  <si>
    <t>HV8132 1976 .C74</t>
  </si>
  <si>
    <t>0                      HV 8132000               1976   C  74</t>
  </si>
  <si>
    <t>Criminal justice planning and development / edited by Alvin W. Cohn.</t>
  </si>
  <si>
    <t>Sage research progress series in criminology ; v. 4</t>
  </si>
  <si>
    <t>2003-12-03</t>
  </si>
  <si>
    <t>456914:eng</t>
  </si>
  <si>
    <t>3893027</t>
  </si>
  <si>
    <t>991004540549702656</t>
  </si>
  <si>
    <t>2271892280002656</t>
  </si>
  <si>
    <t>9780803909182</t>
  </si>
  <si>
    <t>32285001182558</t>
  </si>
  <si>
    <t>893719057</t>
  </si>
  <si>
    <t>HV8138 .B73 1996</t>
  </si>
  <si>
    <t>0                      HV 8138000B  73          1996</t>
  </si>
  <si>
    <t>Classics in policing / Steven G. Brandl, David E. Barlow.</t>
  </si>
  <si>
    <t>Brandl, Steven G. (Steven Gerard)</t>
  </si>
  <si>
    <t>Cincinnati, OH : Anderson Pub. Co., c1996.</t>
  </si>
  <si>
    <t>1999-01-14</t>
  </si>
  <si>
    <t>1028158213:eng</t>
  </si>
  <si>
    <t>36107300</t>
  </si>
  <si>
    <t>991002751529702656</t>
  </si>
  <si>
    <t>2254919110002656</t>
  </si>
  <si>
    <t>9780870842344</t>
  </si>
  <si>
    <t>32285003512133</t>
  </si>
  <si>
    <t>893685736</t>
  </si>
  <si>
    <t>HV8138 .C484</t>
  </si>
  <si>
    <t>0                      HV 8138000C  484</t>
  </si>
  <si>
    <t>Criminal law in action / [compiled by] William J. Chambliss.</t>
  </si>
  <si>
    <t>Chambliss, William J. compiler.</t>
  </si>
  <si>
    <t>Santa Barbara, Calif. : Hamilton Pub. Co., [1975]</t>
  </si>
  <si>
    <t>54589209:eng</t>
  </si>
  <si>
    <t>1137984</t>
  </si>
  <si>
    <t>991003565439702656</t>
  </si>
  <si>
    <t>2268482310002656</t>
  </si>
  <si>
    <t>9780471144748</t>
  </si>
  <si>
    <t>32285003158846</t>
  </si>
  <si>
    <t>893611172</t>
  </si>
  <si>
    <t>HV8138 .C49</t>
  </si>
  <si>
    <t>0                      HV 8138000C  49</t>
  </si>
  <si>
    <t>Introduction to criminal justice / [by] Neil C. Chamelin, Vernon B. Fox [and] Paul M. Whisenand.</t>
  </si>
  <si>
    <t>Chamelin, Neil C., 1942-</t>
  </si>
  <si>
    <t>Englewood Cliffs, N.J. : Prentice-Hall, [1975]</t>
  </si>
  <si>
    <t>1992-05-01</t>
  </si>
  <si>
    <t>1910761:eng</t>
  </si>
  <si>
    <t>960187</t>
  </si>
  <si>
    <t>991003419289702656</t>
  </si>
  <si>
    <t>2259088130002656</t>
  </si>
  <si>
    <t>9780134800202</t>
  </si>
  <si>
    <t>32285001090512</t>
  </si>
  <si>
    <t>893623460</t>
  </si>
  <si>
    <t>HV8138 .C595</t>
  </si>
  <si>
    <t>0                      HV 8138000C  595</t>
  </si>
  <si>
    <t>The criminal justice system and its psychology / Alfred Cohn and Roy Udolf.</t>
  </si>
  <si>
    <t>Cohn, Alfred, 1936-</t>
  </si>
  <si>
    <t>New York : Van Nostrand Reinhold, c1979.</t>
  </si>
  <si>
    <t>14768751:eng</t>
  </si>
  <si>
    <t>4494479</t>
  </si>
  <si>
    <t>991004652899702656</t>
  </si>
  <si>
    <t>2267621100002656</t>
  </si>
  <si>
    <t>9780442288822</t>
  </si>
  <si>
    <t>32285001182574</t>
  </si>
  <si>
    <t>893895251</t>
  </si>
  <si>
    <t>HV8138 .F44</t>
  </si>
  <si>
    <t>0                      HV 8138000F  44</t>
  </si>
  <si>
    <t>The criminal justice system : its functions and personnel / [by] George T. Felkenes.</t>
  </si>
  <si>
    <t>Felkenes, George T.</t>
  </si>
  <si>
    <t>Englewood Cliffs, N.J. : Prentice-Hall, [1974, c1973]</t>
  </si>
  <si>
    <t>2003-03-21</t>
  </si>
  <si>
    <t>1993-04-07</t>
  </si>
  <si>
    <t>1812983:eng</t>
  </si>
  <si>
    <t>695773</t>
  </si>
  <si>
    <t>991001669649702656</t>
  </si>
  <si>
    <t>2267862160002656</t>
  </si>
  <si>
    <t>9780131930520</t>
  </si>
  <si>
    <t>32285001604072</t>
  </si>
  <si>
    <t>893529103</t>
  </si>
  <si>
    <t>HV8138 .F56 1976</t>
  </si>
  <si>
    <t>0                      HV 8138000F  56          1976</t>
  </si>
  <si>
    <t>American law enforcement / Vern L. Folley.</t>
  </si>
  <si>
    <t>Folley, Vern L.</t>
  </si>
  <si>
    <t>Boston : Holbrook Press, c1976.</t>
  </si>
  <si>
    <t>2007-11-08</t>
  </si>
  <si>
    <t>1726399:eng</t>
  </si>
  <si>
    <t>2074289</t>
  </si>
  <si>
    <t>991004001799702656</t>
  </si>
  <si>
    <t>2264082570002656</t>
  </si>
  <si>
    <t>32285001182608</t>
  </si>
  <si>
    <t>893512673</t>
  </si>
  <si>
    <t>HV8138 .H82 1984</t>
  </si>
  <si>
    <t>0                      HV 8138000H  82          1984</t>
  </si>
  <si>
    <t>Federal aid to criminal justice : rhetoric, results, lessons / John K. Hudzik with contributions by Thomas J. Madden ... [et al.].</t>
  </si>
  <si>
    <t>Hudzik, John K.</t>
  </si>
  <si>
    <t>Washington, D.C. : National Criminal Justice Association, c1984.</t>
  </si>
  <si>
    <t>3771830:eng</t>
  </si>
  <si>
    <t>10796982</t>
  </si>
  <si>
    <t>991000435819702656</t>
  </si>
  <si>
    <t>2271009820002656</t>
  </si>
  <si>
    <t>32285001090504</t>
  </si>
  <si>
    <t>893407180</t>
  </si>
  <si>
    <t>HV8138 .I46</t>
  </si>
  <si>
    <t>0                      HV 8138000I  46</t>
  </si>
  <si>
    <t>Improving management in criminal justice / edited by Alvin W. Cohn and Benjamin Ward.</t>
  </si>
  <si>
    <t>Beverly Hills, Calif. : Sage Publications ; [Columbus, OH] : American Society of Criminology, c1980.</t>
  </si>
  <si>
    <t>Sage research progress series in criminology ; v. 17</t>
  </si>
  <si>
    <t>426816075:eng</t>
  </si>
  <si>
    <t>6487133</t>
  </si>
  <si>
    <t>991004990589702656</t>
  </si>
  <si>
    <t>2271771370002656</t>
  </si>
  <si>
    <t>9780803915152</t>
  </si>
  <si>
    <t>32285001182624</t>
  </si>
  <si>
    <t>893520265</t>
  </si>
  <si>
    <t>HV8138 .L317</t>
  </si>
  <si>
    <t>0                      HV 8138000L  317</t>
  </si>
  <si>
    <t>Law and order in American history / edited by Joseph M. Hawes.</t>
  </si>
  <si>
    <t>Port Washington, N.Y. : Kennikat Press, 1979.</t>
  </si>
  <si>
    <t>Multi-disciplinary studies in the law</t>
  </si>
  <si>
    <t>1993-11-23</t>
  </si>
  <si>
    <t>459092:eng</t>
  </si>
  <si>
    <t>4639074</t>
  </si>
  <si>
    <t>991004695489702656</t>
  </si>
  <si>
    <t>2255488610002656</t>
  </si>
  <si>
    <t>9780804692380</t>
  </si>
  <si>
    <t>32285001688075</t>
  </si>
  <si>
    <t>893417888</t>
  </si>
  <si>
    <t>HV8138 .L57</t>
  </si>
  <si>
    <t>0                      HV 8138000L  57</t>
  </si>
  <si>
    <t>Bureaucratic justice : police, prosecutors, and plea bargaining / W. Boyd Littrell ; foreword by Gresham M. Sykes.</t>
  </si>
  <si>
    <t>Littrell, W. Boyd.</t>
  </si>
  <si>
    <t>Beverly Hills, Calif. : Sage Publications, c1979.</t>
  </si>
  <si>
    <t>Sage library of social research ; v. 93</t>
  </si>
  <si>
    <t>2010-05-04</t>
  </si>
  <si>
    <t>198408219:eng</t>
  </si>
  <si>
    <t>5239497</t>
  </si>
  <si>
    <t>991004804529702656</t>
  </si>
  <si>
    <t>2264380980002656</t>
  </si>
  <si>
    <t>9780803912649</t>
  </si>
  <si>
    <t>32285001182665</t>
  </si>
  <si>
    <t>893706856</t>
  </si>
  <si>
    <t>HV8138 .M29</t>
  </si>
  <si>
    <t>0                      HV 8138000M  29</t>
  </si>
  <si>
    <t>Christian faith and criminal justice : toward a Christian response to crime and punishment / by Gerald Austin McHugh.</t>
  </si>
  <si>
    <t>McHugh, Gerald Austin.</t>
  </si>
  <si>
    <t>New York : Paulist Press, c1978.</t>
  </si>
  <si>
    <t>A Deus book</t>
  </si>
  <si>
    <t>1993-05-28</t>
  </si>
  <si>
    <t>905775140:eng</t>
  </si>
  <si>
    <t>4392293</t>
  </si>
  <si>
    <t>991001792899702656</t>
  </si>
  <si>
    <t>2254810840002656</t>
  </si>
  <si>
    <t>9780809121052</t>
  </si>
  <si>
    <t>32285001693398</t>
  </si>
  <si>
    <t>893503703</t>
  </si>
  <si>
    <t>HV8138 .M34 1982</t>
  </si>
  <si>
    <t>0                      HV 8138000M  34          1982</t>
  </si>
  <si>
    <t>Managing police work : issues and analysis / edited by Jack R. Greene.</t>
  </si>
  <si>
    <t>Beverly Hills : Sage Publications, c1982.</t>
  </si>
  <si>
    <t>Perspectives in criminal justice ; 4</t>
  </si>
  <si>
    <t>147018857:eng</t>
  </si>
  <si>
    <t>7998105</t>
  </si>
  <si>
    <t>991005189989702656</t>
  </si>
  <si>
    <t>2258572710002656</t>
  </si>
  <si>
    <t>9780803917873</t>
  </si>
  <si>
    <t>32285001182673</t>
  </si>
  <si>
    <t>893719949</t>
  </si>
  <si>
    <t>HV8138 .M48 2001</t>
  </si>
  <si>
    <t>0                      HV 8138000M  48          2001</t>
  </si>
  <si>
    <t>Militarizing the American criminal justice system : the changing roles of the Armed Forces and the police / edited by Peter B. Kraska.</t>
  </si>
  <si>
    <t>Boston : Northeastern University Press, 2001.</t>
  </si>
  <si>
    <t>2003-09-03</t>
  </si>
  <si>
    <t>2001-12-05</t>
  </si>
  <si>
    <t>2002-02-22</t>
  </si>
  <si>
    <t>987693949:eng</t>
  </si>
  <si>
    <t>46729157</t>
  </si>
  <si>
    <t>991001709529702656</t>
  </si>
  <si>
    <t>2256356360002656</t>
  </si>
  <si>
    <t>9781555534752</t>
  </si>
  <si>
    <t>32285004425939</t>
  </si>
  <si>
    <t>893529147</t>
  </si>
  <si>
    <t>HV8138 .S55</t>
  </si>
  <si>
    <t>0                      HV 8138000S  55</t>
  </si>
  <si>
    <t>Organizing the non-system : governmental structuring of criminal justice systems / Daniel L. Skoler.</t>
  </si>
  <si>
    <t>Skoler, Daniel L.</t>
  </si>
  <si>
    <t>Lexington, Mass. : Lexington Books, c1977.</t>
  </si>
  <si>
    <t>2001-09-28</t>
  </si>
  <si>
    <t>6720028:eng</t>
  </si>
  <si>
    <t>3003584</t>
  </si>
  <si>
    <t>991004315289702656</t>
  </si>
  <si>
    <t>2271163930002656</t>
  </si>
  <si>
    <t>9780669009415</t>
  </si>
  <si>
    <t>32285003158895</t>
  </si>
  <si>
    <t>893525932</t>
  </si>
  <si>
    <t>HV8138 .S657 1985</t>
  </si>
  <si>
    <t>0                      HV 8138000S  657         1985</t>
  </si>
  <si>
    <t>Ideological warfare : the FBI's path toward power / by Frank M. Sorrentino ; foreword by Louis W. Koenig.</t>
  </si>
  <si>
    <t>Sorrentino, Frank M., 1949-</t>
  </si>
  <si>
    <t>Port Washington, N.Y. : Associated Faculty Press, 1985.</t>
  </si>
  <si>
    <t>National university publications</t>
  </si>
  <si>
    <t>1996-12-01</t>
  </si>
  <si>
    <t>3374131:eng</t>
  </si>
  <si>
    <t>10275845</t>
  </si>
  <si>
    <t>991000343439702656</t>
  </si>
  <si>
    <t>2270829100002656</t>
  </si>
  <si>
    <t>9780804693455</t>
  </si>
  <si>
    <t>32285000126507</t>
  </si>
  <si>
    <t>893695758</t>
  </si>
  <si>
    <t>HV8138 .S9 1971</t>
  </si>
  <si>
    <t>0                      HV 8138000S  9           1971</t>
  </si>
  <si>
    <t>Introduction to police science / [by] John L. Sullivan.</t>
  </si>
  <si>
    <t>Sullivan, John L.</t>
  </si>
  <si>
    <t>New York : McGraw-Hill, [1971]</t>
  </si>
  <si>
    <t>1994-04-26</t>
  </si>
  <si>
    <t>1993-12-09</t>
  </si>
  <si>
    <t>406578:eng</t>
  </si>
  <si>
    <t>137121</t>
  </si>
  <si>
    <t>991000796149702656</t>
  </si>
  <si>
    <t>2262141950002656</t>
  </si>
  <si>
    <t>9780070624092</t>
  </si>
  <si>
    <t>32285001807329</t>
  </si>
  <si>
    <t>893891029</t>
  </si>
  <si>
    <t>HV8138 .T849 1993</t>
  </si>
  <si>
    <t>0                      HV 8138000T  849         1993</t>
  </si>
  <si>
    <t>Hoover's FBI / William W. Turner.</t>
  </si>
  <si>
    <t>Turner, William W.</t>
  </si>
  <si>
    <t>New York : Thunder's Mouth Press ; Emeryville, CA : Distributed by Publisher's Group West, c1993.</t>
  </si>
  <si>
    <t>1999-02-23</t>
  </si>
  <si>
    <t>1993-10-19</t>
  </si>
  <si>
    <t>2568160:eng</t>
  </si>
  <si>
    <t>27146385</t>
  </si>
  <si>
    <t>991002118219702656</t>
  </si>
  <si>
    <t>2255474170002656</t>
  </si>
  <si>
    <t>9781560250630</t>
  </si>
  <si>
    <t>32285001786960</t>
  </si>
  <si>
    <t>893779446</t>
  </si>
  <si>
    <t>HV8138 .U53</t>
  </si>
  <si>
    <t>0                      HV 8138000U  53</t>
  </si>
  <si>
    <t>FBI / Sanford J. Ungar.</t>
  </si>
  <si>
    <t>Ungar, Sanford J.</t>
  </si>
  <si>
    <t>Boston : Little, Brown, c1976.</t>
  </si>
  <si>
    <t>1990-02-12</t>
  </si>
  <si>
    <t>3246154:eng</t>
  </si>
  <si>
    <t>1945521</t>
  </si>
  <si>
    <t>991003946349702656</t>
  </si>
  <si>
    <t>2264776200002656</t>
  </si>
  <si>
    <t>9780316887441</t>
  </si>
  <si>
    <t>32285000041813</t>
  </si>
  <si>
    <t>893900601</t>
  </si>
  <si>
    <t>HV8138 .W34</t>
  </si>
  <si>
    <t>0                      HV 8138000W  34</t>
  </si>
  <si>
    <t>A critical history of police reform : the emergence of professionalism / Samuel Walker.</t>
  </si>
  <si>
    <t>Walker, Samuel, 1942-</t>
  </si>
  <si>
    <t>7051764:eng</t>
  </si>
  <si>
    <t>2985007</t>
  </si>
  <si>
    <t>991001777899702656</t>
  </si>
  <si>
    <t>2262085730002656</t>
  </si>
  <si>
    <t>9780669012927</t>
  </si>
  <si>
    <t>32285003158929</t>
  </si>
  <si>
    <t>893328368</t>
  </si>
  <si>
    <t>HV8138 .W627 2000</t>
  </si>
  <si>
    <t>0                      HV 8138000W  627         2000</t>
  </si>
  <si>
    <t>Cop knowledge : police power and cultural narrative in twentieth-century America / Christopher P. Wilson.</t>
  </si>
  <si>
    <t>Wilson, Christopher P. (Christopher Pierce), 1952-</t>
  </si>
  <si>
    <t>Chicago : University of Chicago Press, 2000.</t>
  </si>
  <si>
    <t>140955343:eng</t>
  </si>
  <si>
    <t>42580137</t>
  </si>
  <si>
    <t>991003472289702656</t>
  </si>
  <si>
    <t>2262793690002656</t>
  </si>
  <si>
    <t>9780226901329</t>
  </si>
  <si>
    <t>32285004297270</t>
  </si>
  <si>
    <t>893234200</t>
  </si>
  <si>
    <t>HV8141 .A27 1983</t>
  </si>
  <si>
    <t>0                      HV 8141000A  27          1983</t>
  </si>
  <si>
    <t>ABSCAM ethics : moral issues and deception in law enforcement / edited by Gerald M. Caplan (The Police Foundation).</t>
  </si>
  <si>
    <t>[Cambridge, Mass.] : Ballinger Pub. Co., c1983.</t>
  </si>
  <si>
    <t>1997-12-18</t>
  </si>
  <si>
    <t>889417277:eng</t>
  </si>
  <si>
    <t>9352555</t>
  </si>
  <si>
    <t>991000176719702656</t>
  </si>
  <si>
    <t>2263455040002656</t>
  </si>
  <si>
    <t>9780884106340</t>
  </si>
  <si>
    <t>32285001182707</t>
  </si>
  <si>
    <t>893230936</t>
  </si>
  <si>
    <t>HV8141 .B6 1976</t>
  </si>
  <si>
    <t>0                      HV 8141000B  6           1976</t>
  </si>
  <si>
    <t>Cointelpro : the FBI's secret war on political freedom / by Nelson Blackstock ; with an introd. by Noam Chomsky.</t>
  </si>
  <si>
    <t>Blackstock, Nelson, 1944-</t>
  </si>
  <si>
    <t>New York : Vintage Books, 1976, c1975.</t>
  </si>
  <si>
    <t>1998-12-16</t>
  </si>
  <si>
    <t>1991-01-10</t>
  </si>
  <si>
    <t>53168:eng</t>
  </si>
  <si>
    <t>2213129</t>
  </si>
  <si>
    <t>991004051369702656</t>
  </si>
  <si>
    <t>2256111290002656</t>
  </si>
  <si>
    <t>9780394721866</t>
  </si>
  <si>
    <t>32285000430107</t>
  </si>
  <si>
    <t>893593211</t>
  </si>
  <si>
    <t>HV8141 .C46 1988</t>
  </si>
  <si>
    <t>0                      HV 8141000C  46          1988</t>
  </si>
  <si>
    <t>Agents of repression : the FBI's secret wars against the Black Panther Party and the American Indian Movement / by Ward Churchill and Jim Vander Wall.</t>
  </si>
  <si>
    <t>Churchill, Ward.</t>
  </si>
  <si>
    <t>Boston, MA : South End Press, c1988.</t>
  </si>
  <si>
    <t>1989-11-01</t>
  </si>
  <si>
    <t>2034340:eng</t>
  </si>
  <si>
    <t>17982227</t>
  </si>
  <si>
    <t>991001289169702656</t>
  </si>
  <si>
    <t>2259321500002656</t>
  </si>
  <si>
    <t>9780896082939</t>
  </si>
  <si>
    <t>32285000011402</t>
  </si>
  <si>
    <t>893522468</t>
  </si>
  <si>
    <t>HV8141 .C6</t>
  </si>
  <si>
    <t>0                      HV 8141000C  6</t>
  </si>
  <si>
    <t>The FBI in peace and war / by Frederick L. Collins, with an introduction by J. Edgar Hoover.</t>
  </si>
  <si>
    <t>Collins, Frederick L. (Frederick Lewis), 1882-1950.</t>
  </si>
  <si>
    <t>New York, G.P. Putnam's Sons [1943]</t>
  </si>
  <si>
    <t>1992-08-29</t>
  </si>
  <si>
    <t>1856646:eng</t>
  </si>
  <si>
    <t>880379</t>
  </si>
  <si>
    <t>991003348309702656</t>
  </si>
  <si>
    <t>2261697090002656</t>
  </si>
  <si>
    <t>32285000008358</t>
  </si>
  <si>
    <t>893610943</t>
  </si>
  <si>
    <t>HV8141 .D59 2000</t>
  </si>
  <si>
    <t>0                      HV 8141000D  59          2000</t>
  </si>
  <si>
    <t>Police brutality and international human rights in the United States : the report on hearings held in Los Angeles, California, Chicago, Illinois, and Pittsburgh, Pennsylvania, fall 1999 / Kwame Dixon and Patricia E. Allard for Amnesty International USA.</t>
  </si>
  <si>
    <t>Dixon, Kwame.</t>
  </si>
  <si>
    <t>New York, NY ; Amnesty International USA, 2000.</t>
  </si>
  <si>
    <t>2000-08-14</t>
  </si>
  <si>
    <t>5659806879:eng</t>
  </si>
  <si>
    <t>44531381</t>
  </si>
  <si>
    <t>991003265429702656</t>
  </si>
  <si>
    <t>2257514000002656</t>
  </si>
  <si>
    <t>9781887204200</t>
  </si>
  <si>
    <t>32285003757381</t>
  </si>
  <si>
    <t>893893551</t>
  </si>
  <si>
    <t>HV8141 .E6 1970</t>
  </si>
  <si>
    <t>0                      HV 8141000E  6           1970</t>
  </si>
  <si>
    <t>Intergroup relations for police officers.</t>
  </si>
  <si>
    <t>Epstein, Charlotte.</t>
  </si>
  <si>
    <t>Darien, Conn. : Hafner Pub. Co., 1970 [c1962]</t>
  </si>
  <si>
    <t>1169995:eng</t>
  </si>
  <si>
    <t>101016</t>
  </si>
  <si>
    <t>991000613559702656</t>
  </si>
  <si>
    <t>2261400610002656</t>
  </si>
  <si>
    <t>32285001808566</t>
  </si>
  <si>
    <t>893231259</t>
  </si>
  <si>
    <t>HV8141 .M5</t>
  </si>
  <si>
    <t>0                      HV 8141000M  5</t>
  </si>
  <si>
    <t>Crime control by the national government, by Arthur C. Millspaugh.</t>
  </si>
  <si>
    <t>Millspaugh, Arthur Chester, 1883-1955.</t>
  </si>
  <si>
    <t>Washington, D.C., The Brookings Institution, 1937.</t>
  </si>
  <si>
    <t>1937</t>
  </si>
  <si>
    <t>The Institute for Government Research of the Brookings Institution. Studies in administration, no. 34</t>
  </si>
  <si>
    <t>438903:eng</t>
  </si>
  <si>
    <t>376705</t>
  </si>
  <si>
    <t>991001632529702656</t>
  </si>
  <si>
    <t>2263620710002656</t>
  </si>
  <si>
    <t>32285003158937</t>
  </si>
  <si>
    <t>893346642</t>
  </si>
  <si>
    <t>HV8141 .P36 1994</t>
  </si>
  <si>
    <t>0                      HV 8141000P  36          1994</t>
  </si>
  <si>
    <t>Common sense about police review / Douglas W. Perez.</t>
  </si>
  <si>
    <t>Perez, Douglas Werner.</t>
  </si>
  <si>
    <t>Philadelphia, Penn. : Temple University Press, 1994.</t>
  </si>
  <si>
    <t>1995-04-17</t>
  </si>
  <si>
    <t>30819248:eng</t>
  </si>
  <si>
    <t>28147956</t>
  </si>
  <si>
    <t>991002185469702656</t>
  </si>
  <si>
    <t>2254802980002656</t>
  </si>
  <si>
    <t>9781566391320</t>
  </si>
  <si>
    <t>32285002019114</t>
  </si>
  <si>
    <t>893316486</t>
  </si>
  <si>
    <t>HV8141 .S29 1983</t>
  </si>
  <si>
    <t>0                      HV 8141000S  29          1983</t>
  </si>
  <si>
    <t>The badge and the bullet : police use of deadly force / Peter Scharf, Arnold Binder.</t>
  </si>
  <si>
    <t>Scharf, Peter, 1945-</t>
  </si>
  <si>
    <t>New York, NY, USA : Praeger, 1983.</t>
  </si>
  <si>
    <t>144909163:eng</t>
  </si>
  <si>
    <t>9371088</t>
  </si>
  <si>
    <t>991000179429702656</t>
  </si>
  <si>
    <t>2267014920002656</t>
  </si>
  <si>
    <t>9780030629648</t>
  </si>
  <si>
    <t>32285001745040</t>
  </si>
  <si>
    <t>893620278</t>
  </si>
  <si>
    <t>HV8141 .S53 1998</t>
  </si>
  <si>
    <t>0                      HV 8141000S  53          1998</t>
  </si>
  <si>
    <t>Shielded from justice : police brutality and accountability in the United States.</t>
  </si>
  <si>
    <t>New York : Human Rights Watch, c1998.</t>
  </si>
  <si>
    <t>2005-01-11</t>
  </si>
  <si>
    <t>836968391:eng</t>
  </si>
  <si>
    <t>39521365</t>
  </si>
  <si>
    <t>991002958159702656</t>
  </si>
  <si>
    <t>2255148600002656</t>
  </si>
  <si>
    <t>9781564321831</t>
  </si>
  <si>
    <t>32285003506002</t>
  </si>
  <si>
    <t>893428267</t>
  </si>
  <si>
    <t>HV8141 .W42</t>
  </si>
  <si>
    <t>0                      HV 8141000W  42</t>
  </si>
  <si>
    <t>Violence and the police : a sociological study of law, custom, and morality / [by] William A. Westley.</t>
  </si>
  <si>
    <t>Westley, William A.</t>
  </si>
  <si>
    <t>Cambridge, Mass. : MIT Press, [1970].</t>
  </si>
  <si>
    <t>1993-12-16</t>
  </si>
  <si>
    <t>1334347:eng</t>
  </si>
  <si>
    <t>99759</t>
  </si>
  <si>
    <t>991001703519702656</t>
  </si>
  <si>
    <t>2268999480002656</t>
  </si>
  <si>
    <t>9780262230421</t>
  </si>
  <si>
    <t>32285001809648</t>
  </si>
  <si>
    <t>893261914</t>
  </si>
  <si>
    <t>HV8141 .W45</t>
  </si>
  <si>
    <t>0                      HV 8141000W  45</t>
  </si>
  <si>
    <t>The FBI story; a report to the people. Foreword by J. Edgar Hoover.</t>
  </si>
  <si>
    <t>Whitehead, Don, 1908-1981.</t>
  </si>
  <si>
    <t>New York, Random House [1956]</t>
  </si>
  <si>
    <t>1956</t>
  </si>
  <si>
    <t>4020143919:eng</t>
  </si>
  <si>
    <t>964581</t>
  </si>
  <si>
    <t>991003425829702656</t>
  </si>
  <si>
    <t>2261694820002656</t>
  </si>
  <si>
    <t>32285003158945</t>
  </si>
  <si>
    <t>893881145</t>
  </si>
  <si>
    <t>HV8143 .S43</t>
  </si>
  <si>
    <t>0                      HV 8143000S  43</t>
  </si>
  <si>
    <t>Police corruption; a sociological perspective, edited by Lawrence W. Sherman.</t>
  </si>
  <si>
    <t>Sherman, Lawrence W. compiler.</t>
  </si>
  <si>
    <t>Garden City, N.Y., Anchor Press, 1974.</t>
  </si>
  <si>
    <t>364269976:eng</t>
  </si>
  <si>
    <t>827889</t>
  </si>
  <si>
    <t>991001683949702656</t>
  </si>
  <si>
    <t>2270608280002656</t>
  </si>
  <si>
    <t>9780385030687</t>
  </si>
  <si>
    <t>32285003158952</t>
  </si>
  <si>
    <t>893315962</t>
  </si>
  <si>
    <t>HV8144.F43 C37 2009</t>
  </si>
  <si>
    <t>0                      HV 8144000F  43                 C  37          2009</t>
  </si>
  <si>
    <t>From the bureau to the boardroom : 30 management lessons from the FBI / Dan Carrison.</t>
  </si>
  <si>
    <t>Carrison, Dan.</t>
  </si>
  <si>
    <t>New York : AMACOM, c2009.</t>
  </si>
  <si>
    <t>2009-01-19</t>
  </si>
  <si>
    <t>799758977:eng</t>
  </si>
  <si>
    <t>227033781</t>
  </si>
  <si>
    <t>991005290699702656</t>
  </si>
  <si>
    <t>2260803930002656</t>
  </si>
  <si>
    <t>9780814410639</t>
  </si>
  <si>
    <t>32285005479182</t>
  </si>
  <si>
    <t>893619753</t>
  </si>
  <si>
    <t>HV8148.A7 R45 1981</t>
  </si>
  <si>
    <t>0                      HV 8148000A  7                  R  45          1981</t>
  </si>
  <si>
    <t>Policing, the occupation and the introduction of female officers : an anthropologist's study / Patricia W. Remmington.</t>
  </si>
  <si>
    <t>Remmington, Patricia W. (Patricia Weiser)</t>
  </si>
  <si>
    <t>Washington, D.C. : University Press of America, c1981.</t>
  </si>
  <si>
    <t>483242:eng</t>
  </si>
  <si>
    <t>7574165</t>
  </si>
  <si>
    <t>991005133019702656</t>
  </si>
  <si>
    <t>2271041250002656</t>
  </si>
  <si>
    <t>9780819116468</t>
  </si>
  <si>
    <t>32285001182723</t>
  </si>
  <si>
    <t>893889723</t>
  </si>
  <si>
    <t>HV8148.D4 B392 1971</t>
  </si>
  <si>
    <t>0                      HV 8148000D  4                  B  392         1971</t>
  </si>
  <si>
    <t>Minorities and the police ; confrontation in America / by David H. Bayley and Harold Mendelsohn.</t>
  </si>
  <si>
    <t>New York : Free Press [1971, c1968]</t>
  </si>
  <si>
    <t>2001-03-11</t>
  </si>
  <si>
    <t>1199079:eng</t>
  </si>
  <si>
    <t>36116</t>
  </si>
  <si>
    <t>991003941249702656</t>
  </si>
  <si>
    <t>2268157680002656</t>
  </si>
  <si>
    <t>32285001182731</t>
  </si>
  <si>
    <t>893900594</t>
  </si>
  <si>
    <t>HV8148.H73 M37 1977</t>
  </si>
  <si>
    <t>0                      HV 8148000H  73                 M  37          1977</t>
  </si>
  <si>
    <t>The Houston Police, 1878-1948 / Louis J. Marchiafava.</t>
  </si>
  <si>
    <t>Marchiafava, Louis J.</t>
  </si>
  <si>
    <t>Houston, Tex. : William Marsh Rice University, 1977.</t>
  </si>
  <si>
    <t>txu</t>
  </si>
  <si>
    <t>Rice University studies, 00354996 ; v. 63, no. 2</t>
  </si>
  <si>
    <t>9993615:eng</t>
  </si>
  <si>
    <t>3413936</t>
  </si>
  <si>
    <t>991004428409702656</t>
  </si>
  <si>
    <t>2261628220002656</t>
  </si>
  <si>
    <t>9780892632329</t>
  </si>
  <si>
    <t>32285001182749</t>
  </si>
  <si>
    <t>893901229</t>
  </si>
  <si>
    <t>HV8148.L55 B37 1999</t>
  </si>
  <si>
    <t>0                      HV 8148000L  55                 B  37          1999</t>
  </si>
  <si>
    <t>Danger, duty, and disillusion : the worldview of Los Angeles police officers / Joan C. Barker.</t>
  </si>
  <si>
    <t>Barker, Joan C.</t>
  </si>
  <si>
    <t>Prospect Heights, Ill. : Waveland Press, c1999.</t>
  </si>
  <si>
    <t>2000-02-23</t>
  </si>
  <si>
    <t>960887873:eng</t>
  </si>
  <si>
    <t>40599661</t>
  </si>
  <si>
    <t>991002999179702656</t>
  </si>
  <si>
    <t>2260708160002656</t>
  </si>
  <si>
    <t>9781577660415</t>
  </si>
  <si>
    <t>32285003662979</t>
  </si>
  <si>
    <t>893809776</t>
  </si>
  <si>
    <t>HV8148.L552 D58 1992</t>
  </si>
  <si>
    <t>0                      HV 8148000L  552                D  58          1992</t>
  </si>
  <si>
    <t>Diversity, affirmative action, and law enforcement / [edited] by George T. Felkenes and Peter Charles Unsinger.</t>
  </si>
  <si>
    <t>Springfield, Ill., U.S.A. : Thomas, c1992.</t>
  </si>
  <si>
    <t>26214899:eng</t>
  </si>
  <si>
    <t>25050373</t>
  </si>
  <si>
    <t>991001976519702656</t>
  </si>
  <si>
    <t>2269441450002656</t>
  </si>
  <si>
    <t>9780398057770</t>
  </si>
  <si>
    <t>32285001289296</t>
  </si>
  <si>
    <t>893603053</t>
  </si>
  <si>
    <t>HV8148.N5 B5</t>
  </si>
  <si>
    <t>0                      HV 8148000N  5                  B  5</t>
  </si>
  <si>
    <t>The people and the police / by Algernon D. Black.</t>
  </si>
  <si>
    <t>Black, Algernon D. (Algernon David), 1900-1993.</t>
  </si>
  <si>
    <t>New York : McGraw-Hill, [1968]</t>
  </si>
  <si>
    <t>1999-02-13</t>
  </si>
  <si>
    <t>1993-09-29</t>
  </si>
  <si>
    <t>144110284:eng</t>
  </si>
  <si>
    <t>265539</t>
  </si>
  <si>
    <t>991002095679702656</t>
  </si>
  <si>
    <t>2267819110002656</t>
  </si>
  <si>
    <t>32285001771392</t>
  </si>
  <si>
    <t>893809304</t>
  </si>
  <si>
    <t>HV8148.N5 C45</t>
  </si>
  <si>
    <t>0                      HV 8148000N  5                  C  45</t>
  </si>
  <si>
    <t>Police power : police abuses in New York City.</t>
  </si>
  <si>
    <t>Chevigny, Paul, 1935-</t>
  </si>
  <si>
    <t>New York : Pantheon Books, [1969]</t>
  </si>
  <si>
    <t>1994-04-29</t>
  </si>
  <si>
    <t>198862334:eng</t>
  </si>
  <si>
    <t>242789</t>
  </si>
  <si>
    <t>991001812629702656</t>
  </si>
  <si>
    <t>2269557660002656</t>
  </si>
  <si>
    <t>32285001894822</t>
  </si>
  <si>
    <t>893433158</t>
  </si>
  <si>
    <t>HV8148.N52 A46</t>
  </si>
  <si>
    <t>0                      HV 8148000N  52                 A  46</t>
  </si>
  <si>
    <t>The Knapp Commission report on police corruption.</t>
  </si>
  <si>
    <t>New York (N.Y.). Knapp Commission.</t>
  </si>
  <si>
    <t>New York, G. Braziller [1973?]</t>
  </si>
  <si>
    <t>148704646:eng</t>
  </si>
  <si>
    <t>628474</t>
  </si>
  <si>
    <t>991003075939702656</t>
  </si>
  <si>
    <t>2269416910002656</t>
  </si>
  <si>
    <t>9780807606889</t>
  </si>
  <si>
    <t>32285003158978</t>
  </si>
  <si>
    <t>893887112</t>
  </si>
  <si>
    <t>HV8148.N52 J63 2003</t>
  </si>
  <si>
    <t>0                      HV 8148000N  52                 J  63          2003</t>
  </si>
  <si>
    <t>Street justice : a history of police violence in New York City / Marilynn Johnson.</t>
  </si>
  <si>
    <t>Johnson, Marilynn S.</t>
  </si>
  <si>
    <t>Boston, Mass. : Beacon Press, c2003.</t>
  </si>
  <si>
    <t>785859:eng</t>
  </si>
  <si>
    <t>52514365</t>
  </si>
  <si>
    <t>991004497989702656</t>
  </si>
  <si>
    <t>2264122400002656</t>
  </si>
  <si>
    <t>9780807050224</t>
  </si>
  <si>
    <t>32285005049290</t>
  </si>
  <si>
    <t>893513304</t>
  </si>
  <si>
    <t>HV8148.N52 K67</t>
  </si>
  <si>
    <t>0                      HV 8148000N  52                 K  67</t>
  </si>
  <si>
    <t>The moral hazards : police strategies for honesty and ethical behavior / Allan N. Kornblum.</t>
  </si>
  <si>
    <t>Kornblum, Allan N.</t>
  </si>
  <si>
    <t>796707886:eng</t>
  </si>
  <si>
    <t>1858380</t>
  </si>
  <si>
    <t>991003914759702656</t>
  </si>
  <si>
    <t>2266801550002656</t>
  </si>
  <si>
    <t>9780669003789</t>
  </si>
  <si>
    <t>32285001886240</t>
  </si>
  <si>
    <t>893535709</t>
  </si>
  <si>
    <t>HV8160.A2 H84 1998</t>
  </si>
  <si>
    <t>0                      HV 8160000A  2                  H  84          1998</t>
  </si>
  <si>
    <t>Political policing : the United States and Latin America / Martha K. Huggins.</t>
  </si>
  <si>
    <t>Huggins, Martha Knisely, 1944-</t>
  </si>
  <si>
    <t>Durham, N.C. : Duke University Press, 1998.</t>
  </si>
  <si>
    <t>2009-03-12</t>
  </si>
  <si>
    <t>626585:eng</t>
  </si>
  <si>
    <t>38162868</t>
  </si>
  <si>
    <t>991002896459702656</t>
  </si>
  <si>
    <t>2269255650002656</t>
  </si>
  <si>
    <t>9780822321590</t>
  </si>
  <si>
    <t>32285003669578</t>
  </si>
  <si>
    <t>893874149</t>
  </si>
  <si>
    <t>HV8183 .C59</t>
  </si>
  <si>
    <t>0                      HV 8183000C  59</t>
  </si>
  <si>
    <t>Process and impact of justice / Alan R. Coffey, Edward Eldefonso.</t>
  </si>
  <si>
    <t>Coffey, Alan.</t>
  </si>
  <si>
    <t>Beverly Hills, Calif. : Glencoe Press, c1975.</t>
  </si>
  <si>
    <t>Glencoe Press criminal justice series</t>
  </si>
  <si>
    <t>2496866:eng</t>
  </si>
  <si>
    <t>1637706</t>
  </si>
  <si>
    <t>991003849719702656</t>
  </si>
  <si>
    <t>2260819020002656</t>
  </si>
  <si>
    <t>32285003159000</t>
  </si>
  <si>
    <t>893718144</t>
  </si>
  <si>
    <t>HV819.A45 E876 2003</t>
  </si>
  <si>
    <t>0                      HV 0819000A  45                 E  876         2003</t>
  </si>
  <si>
    <t>The politics of EU police cooperation : toward a European FBI? / John D. Occhipinti.</t>
  </si>
  <si>
    <t>Occhipinti, John D., 1967-</t>
  </si>
  <si>
    <t>Boulder, Colo. : L. Rienner, 2003.</t>
  </si>
  <si>
    <t>2003-10-16</t>
  </si>
  <si>
    <t>798075:eng</t>
  </si>
  <si>
    <t>51234928</t>
  </si>
  <si>
    <t>991004131909702656</t>
  </si>
  <si>
    <t>2272641620002656</t>
  </si>
  <si>
    <t>9781588261182</t>
  </si>
  <si>
    <t>32285004789342</t>
  </si>
  <si>
    <t>893788319</t>
  </si>
  <si>
    <t>HV8195 .O97 1991</t>
  </si>
  <si>
    <t>0                      HV 8195000O  97          1991</t>
  </si>
  <si>
    <t>Out of order? : policing black people / edited by Ellis Cashmore and Eugene McLaughlin.</t>
  </si>
  <si>
    <t>London ; New York : Routledge, 1991.</t>
  </si>
  <si>
    <t>836789154:eng</t>
  </si>
  <si>
    <t>22907018</t>
  </si>
  <si>
    <t>991001823119702656</t>
  </si>
  <si>
    <t>2263982100002656</t>
  </si>
  <si>
    <t>9780415037266</t>
  </si>
  <si>
    <t>32285001008092</t>
  </si>
  <si>
    <t>893621653</t>
  </si>
  <si>
    <t>HV8210.5.A2 K64 1999</t>
  </si>
  <si>
    <t>0                      HV 8210500A  2                  K  64          1999</t>
  </si>
  <si>
    <t>Stasi : the untold story of the East German secret police / John O. Koehler.</t>
  </si>
  <si>
    <t>Koehler, John O.</t>
  </si>
  <si>
    <t>1999-02-10</t>
  </si>
  <si>
    <t>8670805:eng</t>
  </si>
  <si>
    <t>39256274</t>
  </si>
  <si>
    <t>991002946869702656</t>
  </si>
  <si>
    <t>2261106870002656</t>
  </si>
  <si>
    <t>9780813334097</t>
  </si>
  <si>
    <t>32285003518676</t>
  </si>
  <si>
    <t>893793145</t>
  </si>
  <si>
    <t>HV8210.B4 G56 2000</t>
  </si>
  <si>
    <t>0                      HV 8210000B  4                  G  56          2000</t>
  </si>
  <si>
    <t>Divided in unity : identity, Germany, and the Berlin police / Andreas Glaeser.</t>
  </si>
  <si>
    <t>Glaeser, Andreas.</t>
  </si>
  <si>
    <t>2000-10-26</t>
  </si>
  <si>
    <t>795218730:eng</t>
  </si>
  <si>
    <t>41516480</t>
  </si>
  <si>
    <t>991003283559702656</t>
  </si>
  <si>
    <t>2257833030002656</t>
  </si>
  <si>
    <t>9780226297835</t>
  </si>
  <si>
    <t>32285004261334</t>
  </si>
  <si>
    <t>893410126</t>
  </si>
  <si>
    <t>HV8212 .N56 1995</t>
  </si>
  <si>
    <t>0                      HV 8212000N  56          1995</t>
  </si>
  <si>
    <t>Public order in ancient Rome / Wilfried Nippel.</t>
  </si>
  <si>
    <t>Nippel, Wilfried.</t>
  </si>
  <si>
    <t>Cambridge ; New York : Cambridge University Press, 1995.</t>
  </si>
  <si>
    <t>Key themes in ancient history</t>
  </si>
  <si>
    <t>1067776:eng</t>
  </si>
  <si>
    <t>31660299</t>
  </si>
  <si>
    <t>991004016779702656</t>
  </si>
  <si>
    <t>2254998720002656</t>
  </si>
  <si>
    <t>9780521383271</t>
  </si>
  <si>
    <t>32285004742556</t>
  </si>
  <si>
    <t>893417126</t>
  </si>
  <si>
    <t>HV8224 .C6</t>
  </si>
  <si>
    <t>0                      HV 8224000C  6</t>
  </si>
  <si>
    <t>The Soviet police system, edited by Robert Conquest.</t>
  </si>
  <si>
    <t>Conquest, Robert.</t>
  </si>
  <si>
    <t>New York, F. A. Praeger [1968]</t>
  </si>
  <si>
    <t>The Contemporary Soviet Union series: institutions and policies</t>
  </si>
  <si>
    <t>1992-03-30</t>
  </si>
  <si>
    <t>1382468:eng</t>
  </si>
  <si>
    <t>265542</t>
  </si>
  <si>
    <t>991002095709702656</t>
  </si>
  <si>
    <t>2267819490002656</t>
  </si>
  <si>
    <t>32285001029627</t>
  </si>
  <si>
    <t>893879490</t>
  </si>
  <si>
    <t>HV8224 .K57 1988</t>
  </si>
  <si>
    <t>0                      HV 8224000K  57          1988</t>
  </si>
  <si>
    <t>The KGB : police and politics in the Soviet Union / Amy W. Knight.</t>
  </si>
  <si>
    <t>Knight, Amy W., 1946-</t>
  </si>
  <si>
    <t>Boston : Unwin Hyman, c1988.</t>
  </si>
  <si>
    <t>2009-04-03</t>
  </si>
  <si>
    <t>139957867:eng</t>
  </si>
  <si>
    <t>16648260</t>
  </si>
  <si>
    <t>991001125729702656</t>
  </si>
  <si>
    <t>2265803830002656</t>
  </si>
  <si>
    <t>9780044450351</t>
  </si>
  <si>
    <t>32285000133271</t>
  </si>
  <si>
    <t>893626577</t>
  </si>
  <si>
    <t>HV8224 .M6</t>
  </si>
  <si>
    <t>0                      HV 8224000M  6</t>
  </si>
  <si>
    <t>The Third Section; police and society in Russia under Nicholas I.</t>
  </si>
  <si>
    <t>Monas, Sidney.</t>
  </si>
  <si>
    <t>Cambridge, Mass., Harvard University Press, 1961.</t>
  </si>
  <si>
    <t>Russian Research Center studies ; 42</t>
  </si>
  <si>
    <t>2002-04-25</t>
  </si>
  <si>
    <t>21521596:eng</t>
  </si>
  <si>
    <t>30303450</t>
  </si>
  <si>
    <t>991002326669702656</t>
  </si>
  <si>
    <t>2260162270002656</t>
  </si>
  <si>
    <t>32285003159059</t>
  </si>
  <si>
    <t>893809431</t>
  </si>
  <si>
    <t>HV8224.W6 S6 1974</t>
  </si>
  <si>
    <t>0                      HV 8224000W  6                  S  6           1974</t>
  </si>
  <si>
    <t>The Soviet secret police / edited by Simon Wolin and Robert M. Slusser.</t>
  </si>
  <si>
    <t>Wolin, Simon, editor.</t>
  </si>
  <si>
    <t>Westport, Conn. : Greenwood Press, 1974, c1957.</t>
  </si>
  <si>
    <t>5575777643:eng</t>
  </si>
  <si>
    <t>1091679</t>
  </si>
  <si>
    <t>991003528019702656</t>
  </si>
  <si>
    <t>2265944850002656</t>
  </si>
  <si>
    <t>9780837178523</t>
  </si>
  <si>
    <t>32285001029619</t>
  </si>
  <si>
    <t>893717764</t>
  </si>
  <si>
    <t>HV8225 .B37</t>
  </si>
  <si>
    <t>0                      HV 8225000B  37</t>
  </si>
  <si>
    <t>KGB : the secret work of Soviet secret agents.</t>
  </si>
  <si>
    <t>Barron, John, 1930-2005.</t>
  </si>
  <si>
    <t>New York : Reader's Digest Press ; distributed by E. P. Dutton, 1974.</t>
  </si>
  <si>
    <t>3901010119:eng</t>
  </si>
  <si>
    <t>805081</t>
  </si>
  <si>
    <t>991003283279702656</t>
  </si>
  <si>
    <t>2265506950002656</t>
  </si>
  <si>
    <t>9780883490099</t>
  </si>
  <si>
    <t>32285000877976</t>
  </si>
  <si>
    <t>893809914</t>
  </si>
  <si>
    <t>HV8225 .B373 1983</t>
  </si>
  <si>
    <t>0                      HV 8225000B  373         1983</t>
  </si>
  <si>
    <t>KGB today : the hidden hand / by John Barron.</t>
  </si>
  <si>
    <t>New York : Reader's Digest Press, 1983.</t>
  </si>
  <si>
    <t>1992-03-15</t>
  </si>
  <si>
    <t>366104168:eng</t>
  </si>
  <si>
    <t>9441847</t>
  </si>
  <si>
    <t>991000196669702656</t>
  </si>
  <si>
    <t>2265116140002656</t>
  </si>
  <si>
    <t>9780883491645</t>
  </si>
  <si>
    <t>32285000133289</t>
  </si>
  <si>
    <t>893614013</t>
  </si>
  <si>
    <t>HV8225 .M9 1976</t>
  </si>
  <si>
    <t>0                      HV 8225000M  9           1976</t>
  </si>
  <si>
    <t>Inside the KGB / by Aleksei Myagkov.</t>
  </si>
  <si>
    <t>Myagkov, Aleksei, 1945-</t>
  </si>
  <si>
    <t>New Rochelle, N.Y. : Arlington House, c1976.</t>
  </si>
  <si>
    <t>1992-03-25</t>
  </si>
  <si>
    <t>10440704:eng</t>
  </si>
  <si>
    <t>2966888</t>
  </si>
  <si>
    <t>991004298769702656</t>
  </si>
  <si>
    <t>2267456350002656</t>
  </si>
  <si>
    <t>9780870003899</t>
  </si>
  <si>
    <t>32285001028843</t>
  </si>
  <si>
    <t>893901075</t>
  </si>
  <si>
    <t>HV8225 .R67 1981</t>
  </si>
  <si>
    <t>0                      HV 8225000R  67          1981</t>
  </si>
  <si>
    <t>The KGB : the eyes of Russia / Harry Rositzke.</t>
  </si>
  <si>
    <t>Rositzke, Harry August.</t>
  </si>
  <si>
    <t>Garden City, N.Y. : Doubleday, 1981.</t>
  </si>
  <si>
    <t>18853689:eng</t>
  </si>
  <si>
    <t>6916251</t>
  </si>
  <si>
    <t>991005059589702656</t>
  </si>
  <si>
    <t>2266277000002656</t>
  </si>
  <si>
    <t>9780385153904</t>
  </si>
  <si>
    <t>32285000133297</t>
  </si>
  <si>
    <t>893443335</t>
  </si>
  <si>
    <t>HV8241.8.A45 R634 1995</t>
  </si>
  <si>
    <t>0                      HV 8241800A  45                 R  634         1995</t>
  </si>
  <si>
    <t>Ceauşescu and the Securitate : coercion and dissent in Romania, 1965-1989 / Dennis Deletant.</t>
  </si>
  <si>
    <t>Deletant, Dennis, 1946-</t>
  </si>
  <si>
    <t>Armonk, N.Y. : M.E. Sharpe, c1995.</t>
  </si>
  <si>
    <t>2002-02-17</t>
  </si>
  <si>
    <t>37130737:eng</t>
  </si>
  <si>
    <t>32739082</t>
  </si>
  <si>
    <t>991002517019702656</t>
  </si>
  <si>
    <t>2271872690002656</t>
  </si>
  <si>
    <t>9781563246333</t>
  </si>
  <si>
    <t>32285002442506</t>
  </si>
  <si>
    <t>893251325</t>
  </si>
  <si>
    <t>HV8242.55.A3 B39 2010</t>
  </si>
  <si>
    <t>0                      HV 8242550A  3                  B  39          2010</t>
  </si>
  <si>
    <t>The police in war : fighting insurgency, terrorism, and violent crime / David H. Bayley, Robert M. Perito.</t>
  </si>
  <si>
    <t>Boulder : Lynne Rienner Publishers, 2010.</t>
  </si>
  <si>
    <t>2010-03-29</t>
  </si>
  <si>
    <t>2010-03-10</t>
  </si>
  <si>
    <t>891413623:eng</t>
  </si>
  <si>
    <t>430736584</t>
  </si>
  <si>
    <t>991005359549702656</t>
  </si>
  <si>
    <t>2271465550002656</t>
  </si>
  <si>
    <t>9781588267054</t>
  </si>
  <si>
    <t>32285005577563</t>
  </si>
  <si>
    <t>893689060</t>
  </si>
  <si>
    <t>HV8250.5.A3 F67 2006</t>
  </si>
  <si>
    <t>0                      HV 8250500A  3                  F  67          2006</t>
  </si>
  <si>
    <t>Fortifying Pakistan : the role of U.S. internal security assistance / C. Christine Fair and Peter Chalk.</t>
  </si>
  <si>
    <t>Fair, C. Christine.</t>
  </si>
  <si>
    <t>Washington, DC : United States Institute of Peace Press, 2006.</t>
  </si>
  <si>
    <t>Perspectives series</t>
  </si>
  <si>
    <t>2007-09-20</t>
  </si>
  <si>
    <t>341049916:eng</t>
  </si>
  <si>
    <t>67392592</t>
  </si>
  <si>
    <t>991005115979702656</t>
  </si>
  <si>
    <t>2256226610002656</t>
  </si>
  <si>
    <t>9781929223886</t>
  </si>
  <si>
    <t>32285005326102</t>
  </si>
  <si>
    <t>893713464</t>
  </si>
  <si>
    <t>HV8257.A2 A47</t>
  </si>
  <si>
    <t>0                      HV 8257000A  2                  A  47</t>
  </si>
  <si>
    <t>Police and community in Japan / Walter L. Ames.</t>
  </si>
  <si>
    <t>Ames, Walter L.</t>
  </si>
  <si>
    <t>502139:eng</t>
  </si>
  <si>
    <t>6143759</t>
  </si>
  <si>
    <t>991004936709702656</t>
  </si>
  <si>
    <t>2260065650002656</t>
  </si>
  <si>
    <t>9780520040700</t>
  </si>
  <si>
    <t>32285001182889</t>
  </si>
  <si>
    <t>893260339</t>
  </si>
  <si>
    <t>HV8257.A2 P36 2001</t>
  </si>
  <si>
    <t>0                      HV 8257000A  2                  P  36          2001</t>
  </si>
  <si>
    <t>The Japanese police system today : a comparative study / L. Craig Parker, Jr.</t>
  </si>
  <si>
    <t>Parker, L. Craig.</t>
  </si>
  <si>
    <t>Armonk, N.Y. : M.E. Sharpe, c2001.</t>
  </si>
  <si>
    <t>20497874:eng</t>
  </si>
  <si>
    <t>46422041</t>
  </si>
  <si>
    <t>991003656519702656</t>
  </si>
  <si>
    <t>2261231510002656</t>
  </si>
  <si>
    <t>9780765607614</t>
  </si>
  <si>
    <t>32285004411715</t>
  </si>
  <si>
    <t>893717937</t>
  </si>
  <si>
    <t>HV8257.A2 P37 1984</t>
  </si>
  <si>
    <t>0                      HV 8257000A  2                  P  37          1984</t>
  </si>
  <si>
    <t>The Japanese police system today : an American perspective / L. Craig Parker, Jr.</t>
  </si>
  <si>
    <t>Tokyo ; New York : Kodansha International, 1984.</t>
  </si>
  <si>
    <t xml:space="preserve">ja </t>
  </si>
  <si>
    <t>3415360:eng</t>
  </si>
  <si>
    <t>10878084</t>
  </si>
  <si>
    <t>991000450159702656</t>
  </si>
  <si>
    <t>2271462340002656</t>
  </si>
  <si>
    <t>9780870116513</t>
  </si>
  <si>
    <t>32285001182897</t>
  </si>
  <si>
    <t>893695842</t>
  </si>
  <si>
    <t>HV8257.A45 K458 1991</t>
  </si>
  <si>
    <t>0                      HV 8257000A  45                 K  458         1991</t>
  </si>
  <si>
    <t>The Japanese police state : the Tokko in interwar Japan / Elise K. Tipton.</t>
  </si>
  <si>
    <t>Tipton, Elise K.</t>
  </si>
  <si>
    <t>London : Athlone, 1991.</t>
  </si>
  <si>
    <t>20769822:eng</t>
  </si>
  <si>
    <t>59819318</t>
  </si>
  <si>
    <t>991003687209702656</t>
  </si>
  <si>
    <t>2267296740002656</t>
  </si>
  <si>
    <t>9780485300659</t>
  </si>
  <si>
    <t>32285004458898</t>
  </si>
  <si>
    <t>893800025</t>
  </si>
  <si>
    <t>HV8272.A3 C39 1997</t>
  </si>
  <si>
    <t>0                      HV 8272000A  3                  C  39          1997</t>
  </si>
  <si>
    <t>Securing South Africa's democracy : defense, development, and security in transition / Gavin Cawthra.</t>
  </si>
  <si>
    <t>Cawthra, Gavin.</t>
  </si>
  <si>
    <t>Houndmills, Basingstoke, Hampshire : Macmillan Press ; New York : St. Martin's Press, 1997.</t>
  </si>
  <si>
    <t>International political economy series</t>
  </si>
  <si>
    <t>1998-11-09</t>
  </si>
  <si>
    <t>199120285:eng</t>
  </si>
  <si>
    <t>36130693</t>
  </si>
  <si>
    <t>991002753909702656</t>
  </si>
  <si>
    <t>2254845120002656</t>
  </si>
  <si>
    <t>9780312174194</t>
  </si>
  <si>
    <t>32285003486841</t>
  </si>
  <si>
    <t>893517703</t>
  </si>
  <si>
    <t>HV8441 .C5 1983</t>
  </si>
  <si>
    <t>0                      HV 8441000C  5           1983</t>
  </si>
  <si>
    <t>Relación de la cárcel de Sevilla / Cristóbal de Chaves.</t>
  </si>
  <si>
    <t>Chaves, Cristóbal de.</t>
  </si>
  <si>
    <t>Madrid : J. Esteban, 1983.</t>
  </si>
  <si>
    <t>Clásicos El Arbol ; 6</t>
  </si>
  <si>
    <t>2010-02-02</t>
  </si>
  <si>
    <t>8123822:spa</t>
  </si>
  <si>
    <t>14259373</t>
  </si>
  <si>
    <t>991000930029702656</t>
  </si>
  <si>
    <t>2269829440002656</t>
  </si>
  <si>
    <t>9788485869145</t>
  </si>
  <si>
    <t>32285001182921</t>
  </si>
  <si>
    <t>893708843</t>
  </si>
  <si>
    <t>HV8508 .C37 1999</t>
  </si>
  <si>
    <t>0                      HV 8508000C  37          1999</t>
  </si>
  <si>
    <t>Carcer : prison et privation de liberté dans l'Antiquité classique : actes du colloque de Strasbourg (5 et 6 décembre 1997) / édités par Cécile Bertrand-Dagenbach ... [et al.].</t>
  </si>
  <si>
    <t>Paris : De Boccard, 1999.</t>
  </si>
  <si>
    <t>Etudes d'archéologie et d'histoire ancienne</t>
  </si>
  <si>
    <t>807421706:fre</t>
  </si>
  <si>
    <t>43403144</t>
  </si>
  <si>
    <t>991003476649702656</t>
  </si>
  <si>
    <t>2256797470002656</t>
  </si>
  <si>
    <t>9782701801278</t>
  </si>
  <si>
    <t>32285004331335</t>
  </si>
  <si>
    <t>893781050</t>
  </si>
  <si>
    <t>HV851 .A35</t>
  </si>
  <si>
    <t>0                      HV 0851000A  35</t>
  </si>
  <si>
    <t>Administering day care and preschool programs / [edited by] Donald T. Streets ; contributors, Elizabeth L. Bowen ... [et al.].</t>
  </si>
  <si>
    <t>Nahant, MA : Allyn and Bacon, c1982.</t>
  </si>
  <si>
    <t>1997-04-30</t>
  </si>
  <si>
    <t>1993-11-22</t>
  </si>
  <si>
    <t>375570004:eng</t>
  </si>
  <si>
    <t>7553059</t>
  </si>
  <si>
    <t>991005125189702656</t>
  </si>
  <si>
    <t>2262603020002656</t>
  </si>
  <si>
    <t>9780205075560</t>
  </si>
  <si>
    <t>32285001688026</t>
  </si>
  <si>
    <t>893807854</t>
  </si>
  <si>
    <t>HV851 .F4</t>
  </si>
  <si>
    <t>0                      HV 0851000F  4</t>
  </si>
  <si>
    <t>Day care in context / [by] Greta G. Fein and Alison Clarke-Stewart, with the support of the Foundation for Child Development.</t>
  </si>
  <si>
    <t>Fein, Greta G., 1929-</t>
  </si>
  <si>
    <t>New York : Wiley, [c1973]</t>
  </si>
  <si>
    <t>2003-04-16</t>
  </si>
  <si>
    <t>1991-10-18</t>
  </si>
  <si>
    <t>1523126:eng</t>
  </si>
  <si>
    <t>427509</t>
  </si>
  <si>
    <t>991002759639702656</t>
  </si>
  <si>
    <t>2264532960002656</t>
  </si>
  <si>
    <t>9780471256953</t>
  </si>
  <si>
    <t>32285000775147</t>
  </si>
  <si>
    <t>893498505</t>
  </si>
  <si>
    <t>HV851 .F5 1982</t>
  </si>
  <si>
    <t>0                      HV 0851000F  5           1982</t>
  </si>
  <si>
    <t>Monday through Friday : day care alternatives / Jane Merrill Filstrup, with Dorothy W. Gross.</t>
  </si>
  <si>
    <t>Merrill, Jane.</t>
  </si>
  <si>
    <t>New York : Teachers College Press, 1982.</t>
  </si>
  <si>
    <t>1992-02-17</t>
  </si>
  <si>
    <t>465077:eng</t>
  </si>
  <si>
    <t>8306783</t>
  </si>
  <si>
    <t>991005229919702656</t>
  </si>
  <si>
    <t>2269255370002656</t>
  </si>
  <si>
    <t>9780807726709</t>
  </si>
  <si>
    <t>32285000947035</t>
  </si>
  <si>
    <t>893353776</t>
  </si>
  <si>
    <t>HV851 .M34 1984</t>
  </si>
  <si>
    <t>0                      HV 0851000M  34          1984</t>
  </si>
  <si>
    <t>Making day care better : training, evaluation, and the process of change / edited by James T. Greenman, Robert W. Fuqua.</t>
  </si>
  <si>
    <t>New York : Teachers College Press, Columbia University, 1984.</t>
  </si>
  <si>
    <t>Early childhood education series</t>
  </si>
  <si>
    <t>1997-09-06</t>
  </si>
  <si>
    <t>894509766:eng</t>
  </si>
  <si>
    <t>9970129</t>
  </si>
  <si>
    <t>991000291759702656</t>
  </si>
  <si>
    <t>2254837220002656</t>
  </si>
  <si>
    <t>9780807727508</t>
  </si>
  <si>
    <t>32285000895655</t>
  </si>
  <si>
    <t>893777834</t>
  </si>
  <si>
    <t>HV854 .A7 1984</t>
  </si>
  <si>
    <t>0                      HV 0854000A  7           1984</t>
  </si>
  <si>
    <t>Caring for other people's children : a complete guide to family day care / by Frances Kemper Alston ; illustrated by Gail Alison LaCava.</t>
  </si>
  <si>
    <t>Alston, Frances Kemper.</t>
  </si>
  <si>
    <t>Baltimore : University Park Press, c1984.</t>
  </si>
  <si>
    <t>1997-03-10</t>
  </si>
  <si>
    <t>1992-01-07</t>
  </si>
  <si>
    <t>1005462:eng</t>
  </si>
  <si>
    <t>9193984</t>
  </si>
  <si>
    <t>991000145139702656</t>
  </si>
  <si>
    <t>2267929880002656</t>
  </si>
  <si>
    <t>9780839118466</t>
  </si>
  <si>
    <t>32285004837554</t>
  </si>
  <si>
    <t>893784010</t>
  </si>
  <si>
    <t>HV854 .D39</t>
  </si>
  <si>
    <t>0                      HV 0854000D  39</t>
  </si>
  <si>
    <t>Day care : scientific and social policy issues / edited by Edward F. Zigler and Edmund W. Gordon for the American Orthopsychiatric Association.</t>
  </si>
  <si>
    <t>Boston, Mass. : Auburn House Pub. Co., c1982.</t>
  </si>
  <si>
    <t>2005-02-21</t>
  </si>
  <si>
    <t>1990-04-06</t>
  </si>
  <si>
    <t>906435362:eng</t>
  </si>
  <si>
    <t>7738409</t>
  </si>
  <si>
    <t>991005154949702656</t>
  </si>
  <si>
    <t>2257852830002656</t>
  </si>
  <si>
    <t>9780865690981</t>
  </si>
  <si>
    <t>32285000111764</t>
  </si>
  <si>
    <t>893242295</t>
  </si>
  <si>
    <t>HV854 .K57 1986</t>
  </si>
  <si>
    <t>0                      HV 0854000K  57          1986</t>
  </si>
  <si>
    <t>The autonomous child : day care and the transmission of values / by Carol Speekman Klass.</t>
  </si>
  <si>
    <t>Klass, Carol Speekman.</t>
  </si>
  <si>
    <t>London ; Philadelphia : Falmer Press, 1986.</t>
  </si>
  <si>
    <t>1999-03-16</t>
  </si>
  <si>
    <t>1992-03-12</t>
  </si>
  <si>
    <t>6818497:eng</t>
  </si>
  <si>
    <t>14001332</t>
  </si>
  <si>
    <t>991000897209702656</t>
  </si>
  <si>
    <t>2259047940002656</t>
  </si>
  <si>
    <t>9781850001157</t>
  </si>
  <si>
    <t>32285000998558</t>
  </si>
  <si>
    <t>893249783</t>
  </si>
  <si>
    <t>HV854 .K66 1992</t>
  </si>
  <si>
    <t>0                      HV 0854000K  66          1992</t>
  </si>
  <si>
    <t>Family day care : out of the shadows and into the limelight / Susan Kontos.</t>
  </si>
  <si>
    <t>Kontos, Susan, 1949-</t>
  </si>
  <si>
    <t>Washington, DC : National Association for the Education of Young Children, c1992.</t>
  </si>
  <si>
    <t>NAEYC ; #144</t>
  </si>
  <si>
    <t>1994-07-12</t>
  </si>
  <si>
    <t>1018369798:eng</t>
  </si>
  <si>
    <t>27186187</t>
  </si>
  <si>
    <t>991002121349702656</t>
  </si>
  <si>
    <t>2270416350002656</t>
  </si>
  <si>
    <t>32285001931178</t>
  </si>
  <si>
    <t>893341051</t>
  </si>
  <si>
    <t>HV854 .P53 1991</t>
  </si>
  <si>
    <t>0                      HV 0854000P  53          1991</t>
  </si>
  <si>
    <t>Scenes from day care : how teachers teach and what children learn / Elizabeth Balliett Platt.</t>
  </si>
  <si>
    <t>Platt, Elizabeth Balliett.</t>
  </si>
  <si>
    <t>New York, NY : Teachers College Press, c1991.</t>
  </si>
  <si>
    <t>2000-03-15</t>
  </si>
  <si>
    <t>476184798:eng</t>
  </si>
  <si>
    <t>24320136</t>
  </si>
  <si>
    <t>991001926469702656</t>
  </si>
  <si>
    <t>2272733490002656</t>
  </si>
  <si>
    <t>9780807731314</t>
  </si>
  <si>
    <t>32285003669933</t>
  </si>
  <si>
    <t>893779202</t>
  </si>
  <si>
    <t>HV854 .P76</t>
  </si>
  <si>
    <t>0                      HV 0854000P  76</t>
  </si>
  <si>
    <t>The challenge of daycare / Sally Provence, Audrey Naylor, June Patterson.</t>
  </si>
  <si>
    <t>Provence, Sally, 1916-</t>
  </si>
  <si>
    <t>New Haven : Yale University Press, 1977.</t>
  </si>
  <si>
    <t>1992-10-07</t>
  </si>
  <si>
    <t>435023:eng</t>
  </si>
  <si>
    <t>2439317</t>
  </si>
  <si>
    <t>991004124089702656</t>
  </si>
  <si>
    <t>2264156040002656</t>
  </si>
  <si>
    <t>9780300019643</t>
  </si>
  <si>
    <t>32285001328045</t>
  </si>
  <si>
    <t>893519269</t>
  </si>
  <si>
    <t>HV854 .S73</t>
  </si>
  <si>
    <t>0                      HV 0854000S  73</t>
  </si>
  <si>
    <t>Who's minding the children? : the history and politics of day care in America.</t>
  </si>
  <si>
    <t>Steinfels, Margaret O'Brien, 1941-</t>
  </si>
  <si>
    <t>New York : Simon and Schuster, [c1973]</t>
  </si>
  <si>
    <t>1998-12-04</t>
  </si>
  <si>
    <t>1812967:eng</t>
  </si>
  <si>
    <t>858274</t>
  </si>
  <si>
    <t>991003328029702656</t>
  </si>
  <si>
    <t>2267214340002656</t>
  </si>
  <si>
    <t>9780671215972</t>
  </si>
  <si>
    <t>32285000397447</t>
  </si>
  <si>
    <t>893617231</t>
  </si>
  <si>
    <t>HV854 .T39 1993</t>
  </si>
  <si>
    <t>0                      HV 0854000T  39          1993</t>
  </si>
  <si>
    <t>Early childhood program management : people and procedures / Barbara J. Taylor.</t>
  </si>
  <si>
    <t>Taylor, Barbara J.</t>
  </si>
  <si>
    <t>New York : Merrill ; Toronto : Maxwell Macmillan Canada ; New York : Maxwell Macmillan International, 1993.</t>
  </si>
  <si>
    <t>1952681:eng</t>
  </si>
  <si>
    <t>25916056</t>
  </si>
  <si>
    <t>991002035359702656</t>
  </si>
  <si>
    <t>2271262790002656</t>
  </si>
  <si>
    <t>9780024197313</t>
  </si>
  <si>
    <t>32285001580744</t>
  </si>
  <si>
    <t>893244683</t>
  </si>
  <si>
    <t>HV854 .W584 1986</t>
  </si>
  <si>
    <t>0                      HV 0854000W  584         1986</t>
  </si>
  <si>
    <t>Infants &amp; toddlers : curriculum and teaching / LaVisa Cam Wilson.</t>
  </si>
  <si>
    <t>Wilson, LaVisa Cam.</t>
  </si>
  <si>
    <t>Albany, N.Y. : Delmar, c1986.</t>
  </si>
  <si>
    <t>2003-02-02</t>
  </si>
  <si>
    <t>1990-02-26</t>
  </si>
  <si>
    <t>38258531:eng</t>
  </si>
  <si>
    <t>12809544</t>
  </si>
  <si>
    <t>991000742159702656</t>
  </si>
  <si>
    <t>2257827880002656</t>
  </si>
  <si>
    <t>9780827322790</t>
  </si>
  <si>
    <t>32285000059500</t>
  </si>
  <si>
    <t>893784491</t>
  </si>
  <si>
    <t>HV8551 .F2 1917</t>
  </si>
  <si>
    <t>0                      HV 8551000F  2           1917</t>
  </si>
  <si>
    <t>Selected articles on capital punishment.</t>
  </si>
  <si>
    <t>Fanning, C. E. (Clara Elizabeth), 1878-1938 compiler.</t>
  </si>
  <si>
    <t>White Plains, N.Y. ; New York city : The H.W. Wilson company, 1917.</t>
  </si>
  <si>
    <t>1917</t>
  </si>
  <si>
    <t>3d and rev. ed. / comp. by C. E. Fanning.</t>
  </si>
  <si>
    <t>Debaters' handbook series</t>
  </si>
  <si>
    <t>2000-10-09</t>
  </si>
  <si>
    <t>1992-05-19</t>
  </si>
  <si>
    <t>4949684:eng</t>
  </si>
  <si>
    <t>3595552</t>
  </si>
  <si>
    <t>991004470539702656</t>
  </si>
  <si>
    <t>2260176930002656</t>
  </si>
  <si>
    <t>32285001117646</t>
  </si>
  <si>
    <t>893700282</t>
  </si>
  <si>
    <t>HV8593 .A44 1975</t>
  </si>
  <si>
    <t>0                      HV 8593000A  44          1975</t>
  </si>
  <si>
    <t>Report on torture.</t>
  </si>
  <si>
    <t>Amnesty International.</t>
  </si>
  <si>
    <t>New York : Farrar, Straus and Giroux, 1975.</t>
  </si>
  <si>
    <t>[1st American ed.]</t>
  </si>
  <si>
    <t>1996-04-17</t>
  </si>
  <si>
    <t>1867007:eng</t>
  </si>
  <si>
    <t>960114</t>
  </si>
  <si>
    <t>991003418999702656</t>
  </si>
  <si>
    <t>2259005630002656</t>
  </si>
  <si>
    <t>9780374249373</t>
  </si>
  <si>
    <t>32285000838820</t>
  </si>
  <si>
    <t>893434978</t>
  </si>
  <si>
    <t>HV8593 .M55 1994</t>
  </si>
  <si>
    <t>0                      HV 8593000M  55          1994</t>
  </si>
  <si>
    <t>The politics of cruelty : an essay on the literature of political imprisonment / Kate Millett.</t>
  </si>
  <si>
    <t>Millett, Kate.</t>
  </si>
  <si>
    <t>New York : Norton, c1994.</t>
  </si>
  <si>
    <t>1994-04-05</t>
  </si>
  <si>
    <t>31506271:eng</t>
  </si>
  <si>
    <t>28888373</t>
  </si>
  <si>
    <t>991002239289702656</t>
  </si>
  <si>
    <t>2264138690002656</t>
  </si>
  <si>
    <t>9780393035759</t>
  </si>
  <si>
    <t>32285001859387</t>
  </si>
  <si>
    <t>893809380</t>
  </si>
  <si>
    <t>HV8593 .P64 1995</t>
  </si>
  <si>
    <t>0                      HV 8593000P  64          1995</t>
  </si>
  <si>
    <t>The politics of pain : torturers and their masters / edited by Ronald D. Crelinsten and Alex P. Schmid.</t>
  </si>
  <si>
    <t>Boulder, Colo. : Westview Press, 1995.</t>
  </si>
  <si>
    <t>Series on state violence, state terrorism, and human rights</t>
  </si>
  <si>
    <t>866249199:eng</t>
  </si>
  <si>
    <t>31955320</t>
  </si>
  <si>
    <t>991002450199702656</t>
  </si>
  <si>
    <t>2263906080002656</t>
  </si>
  <si>
    <t>9780813325279</t>
  </si>
  <si>
    <t>32285002207404</t>
  </si>
  <si>
    <t>893440158</t>
  </si>
  <si>
    <t>HV8599.B7 C3813 1986</t>
  </si>
  <si>
    <t>0                      HV 8599000B  7                  C  3813        1986</t>
  </si>
  <si>
    <t>Torture in Brazil : a report / by the Archdiocese of Sao Paulo ; translated by Jaime Wright ; edited by Joan Dassin.</t>
  </si>
  <si>
    <t>Catholic Church. Archdiocese of São Paulo (Brazil)</t>
  </si>
  <si>
    <t>New York : Vintage Books, 1986.</t>
  </si>
  <si>
    <t>2452689664:eng</t>
  </si>
  <si>
    <t>13642175</t>
  </si>
  <si>
    <t>991000853279702656</t>
  </si>
  <si>
    <t>2271877740002656</t>
  </si>
  <si>
    <t>9780394744568</t>
  </si>
  <si>
    <t>32285000829415</t>
  </si>
  <si>
    <t>893614548</t>
  </si>
  <si>
    <t>HV8599.I7 R45 1994</t>
  </si>
  <si>
    <t>0                      HV 8599000I  7                  R  45          1994</t>
  </si>
  <si>
    <t>Torture &amp; modernity : self, society, and state in modern Iran / Darius M. Rejali.</t>
  </si>
  <si>
    <t>Rejali, Darius M.</t>
  </si>
  <si>
    <t>Boulder : Westview Press, 1994.</t>
  </si>
  <si>
    <t>Institutional structures of feeling</t>
  </si>
  <si>
    <t>2007-03-21</t>
  </si>
  <si>
    <t>345812141:eng</t>
  </si>
  <si>
    <t>28215116</t>
  </si>
  <si>
    <t>991002194029702656</t>
  </si>
  <si>
    <t>2265862040002656</t>
  </si>
  <si>
    <t>9780813316604</t>
  </si>
  <si>
    <t>32285002001435</t>
  </si>
  <si>
    <t>893433589</t>
  </si>
  <si>
    <t>HV861.D4 S513</t>
  </si>
  <si>
    <t>0                      HV 0861000D  4                  S  513</t>
  </si>
  <si>
    <t>Daycare institutions and children's development, translated from the Danish by W. Glyn Jones.</t>
  </si>
  <si>
    <t>Sjølund, Arne.</t>
  </si>
  <si>
    <t>Farnborough, Saxon House; Lexington, Mass., Lexington Books, 1973.</t>
  </si>
  <si>
    <t>1919811:eng</t>
  </si>
  <si>
    <t>965528</t>
  </si>
  <si>
    <t>991003431009702656</t>
  </si>
  <si>
    <t>2258221320002656</t>
  </si>
  <si>
    <t>9780347010214</t>
  </si>
  <si>
    <t>32285003156576</t>
  </si>
  <si>
    <t>893246337</t>
  </si>
  <si>
    <t>HV863 .K66 1991</t>
  </si>
  <si>
    <t>0                      HV 0863000K  66          1991</t>
  </si>
  <si>
    <t>Knowledge utilization in residential child and youth care practice / edited by Jerome Beker, Zvi Eisikovits.</t>
  </si>
  <si>
    <t>Washington, D.C. : Child Welfare League of America, c1991.</t>
  </si>
  <si>
    <t>1997-12-05</t>
  </si>
  <si>
    <t>1992-08-05</t>
  </si>
  <si>
    <t>24414234:eng</t>
  </si>
  <si>
    <t>22383186</t>
  </si>
  <si>
    <t>991001772679702656</t>
  </si>
  <si>
    <t>2271673160002656</t>
  </si>
  <si>
    <t>9780878684274</t>
  </si>
  <si>
    <t>32285001196731</t>
  </si>
  <si>
    <t>893328362</t>
  </si>
  <si>
    <t>HV8658.H63 A36 1980b</t>
  </si>
  <si>
    <t>0                      HV 8658000H  63                 A  36          1980b</t>
  </si>
  <si>
    <t>Soon to be a major motion picture / Abbie Hoffman ; introd. by Norman Mailer.</t>
  </si>
  <si>
    <t>Hoffman, Abbie.</t>
  </si>
  <si>
    <t>New York : Putnam, c1980.</t>
  </si>
  <si>
    <t>1999-11-29</t>
  </si>
  <si>
    <t>479316:eng</t>
  </si>
  <si>
    <t>6486805</t>
  </si>
  <si>
    <t>991004990079702656</t>
  </si>
  <si>
    <t>2269665720002656</t>
  </si>
  <si>
    <t>9780399125614</t>
  </si>
  <si>
    <t>32285001093888</t>
  </si>
  <si>
    <t>893895717</t>
  </si>
  <si>
    <t>HV8665 .G47</t>
  </si>
  <si>
    <t>0                      HV 8665000G  47</t>
  </si>
  <si>
    <t>Crime, punishment, and deterrence / Jack P. Gibbs.</t>
  </si>
  <si>
    <t>New York : Elsevier, [1975]</t>
  </si>
  <si>
    <t>1993-01-15</t>
  </si>
  <si>
    <t>2290617:eng</t>
  </si>
  <si>
    <t>1500361</t>
  </si>
  <si>
    <t>991003785159702656</t>
  </si>
  <si>
    <t>2260372250002656</t>
  </si>
  <si>
    <t>9780444990167</t>
  </si>
  <si>
    <t>32285001475044</t>
  </si>
  <si>
    <t>893900358</t>
  </si>
  <si>
    <t>HV8665 .I76</t>
  </si>
  <si>
    <t>0                      HV 8665000I  76</t>
  </si>
  <si>
    <t>The felon.</t>
  </si>
  <si>
    <t>Irwin, John, 1929-</t>
  </si>
  <si>
    <t>Englewood Cliffs, N.J. : Prentice-Hall, [1970]</t>
  </si>
  <si>
    <t>1992-12-30</t>
  </si>
  <si>
    <t>1992-11-24</t>
  </si>
  <si>
    <t>1245837:eng</t>
  </si>
  <si>
    <t>74084</t>
  </si>
  <si>
    <t>991001684919702656</t>
  </si>
  <si>
    <t>2272019200002656</t>
  </si>
  <si>
    <t>9780133142372</t>
  </si>
  <si>
    <t>32285001408821</t>
  </si>
  <si>
    <t>893626782</t>
  </si>
  <si>
    <t>HV8665 .S4 1969</t>
  </si>
  <si>
    <t>0                      HV 8665000S  4           1969</t>
  </si>
  <si>
    <t>The crime of imprisonment / by George Bernard Shaw ; illustrated by William Gropper.</t>
  </si>
  <si>
    <t>Shaw, Bernard, 1856-1950.</t>
  </si>
  <si>
    <t>New York : Greenwood Press 1969, c1946.</t>
  </si>
  <si>
    <t>2006-05-15</t>
  </si>
  <si>
    <t>1383413:eng</t>
  </si>
  <si>
    <t>204801</t>
  </si>
  <si>
    <t>991001625539702656</t>
  </si>
  <si>
    <t>2255579770002656</t>
  </si>
  <si>
    <t>9780837122885</t>
  </si>
  <si>
    <t>32285003159117</t>
  </si>
  <si>
    <t>893878994</t>
  </si>
  <si>
    <t>HV8665 .S66</t>
  </si>
  <si>
    <t>0                      HV 8665000S  66</t>
  </si>
  <si>
    <t>Community corrections / Hassim M. Solomon.</t>
  </si>
  <si>
    <t>Solomon, Hassim M., 1934-</t>
  </si>
  <si>
    <t>Holbrook Press criminal justice series</t>
  </si>
  <si>
    <t>3307556:eng</t>
  </si>
  <si>
    <t>1991320</t>
  </si>
  <si>
    <t>991003969619702656</t>
  </si>
  <si>
    <t>2263943880002656</t>
  </si>
  <si>
    <t>9780205049967</t>
  </si>
  <si>
    <t>32285001182962</t>
  </si>
  <si>
    <t>893627917</t>
  </si>
  <si>
    <t>HV8665 .Z55</t>
  </si>
  <si>
    <t>0                      HV 8665000Z  55</t>
  </si>
  <si>
    <t>Deterrence : the legal threat in crime control / Franklin E. Zimring, Gordon J. Hawkins ; with a foreword by James Vorenberg.</t>
  </si>
  <si>
    <t>Chicago : University of Chicago Press, 1973.</t>
  </si>
  <si>
    <t>Studies in crime and justice</t>
  </si>
  <si>
    <t>2006-06-14</t>
  </si>
  <si>
    <t>12334866:eng</t>
  </si>
  <si>
    <t>1288969</t>
  </si>
  <si>
    <t>991001647559702656</t>
  </si>
  <si>
    <t>2266795100002656</t>
  </si>
  <si>
    <t>9780226983509</t>
  </si>
  <si>
    <t>32285001688489</t>
  </si>
  <si>
    <t>893879033</t>
  </si>
  <si>
    <t>HV8675 .G77</t>
  </si>
  <si>
    <t>0                      HV 8675000G  77</t>
  </si>
  <si>
    <t>Theories of punishment / edited by Stanley E. Grupp.</t>
  </si>
  <si>
    <t>Grupp, Stanley E., compiler.</t>
  </si>
  <si>
    <t>Bloomington : Indiana University Press, [1972, c1971]</t>
  </si>
  <si>
    <t>2007-04-23</t>
  </si>
  <si>
    <t>1383382:eng</t>
  </si>
  <si>
    <t>240561</t>
  </si>
  <si>
    <t>991001812429702656</t>
  </si>
  <si>
    <t>2272154620002656</t>
  </si>
  <si>
    <t>9780253359254</t>
  </si>
  <si>
    <t>32285000119072</t>
  </si>
  <si>
    <t>893772925</t>
  </si>
  <si>
    <t>HV8675 .M34</t>
  </si>
  <si>
    <t>0                      HV 8675000M  34</t>
  </si>
  <si>
    <t>Perspectives on correction / edited by Donal E. J. MacNamara &amp; Edward Sagarin.</t>
  </si>
  <si>
    <t>MacNamara, Donal E. J. compiler.</t>
  </si>
  <si>
    <t>New York : Crowell, [1971]</t>
  </si>
  <si>
    <t>Selected studies in social problems</t>
  </si>
  <si>
    <t>2007-02-11</t>
  </si>
  <si>
    <t>1245220:eng</t>
  </si>
  <si>
    <t>122580</t>
  </si>
  <si>
    <t>991000683349702656</t>
  </si>
  <si>
    <t>2260926970002656</t>
  </si>
  <si>
    <t>9780690615364</t>
  </si>
  <si>
    <t>32285001408813</t>
  </si>
  <si>
    <t>893696060</t>
  </si>
  <si>
    <t>HV8675 .N4</t>
  </si>
  <si>
    <t>0                      HV 8675000N  4</t>
  </si>
  <si>
    <t>The punishment response / Graeme Newman.</t>
  </si>
  <si>
    <t>Newman, Graeme R.</t>
  </si>
  <si>
    <t>Philadelphia : Lippincott, c1978.</t>
  </si>
  <si>
    <t>5747854:eng</t>
  </si>
  <si>
    <t>3481439</t>
  </si>
  <si>
    <t>991004445809702656</t>
  </si>
  <si>
    <t>2264459210002656</t>
  </si>
  <si>
    <t>9780397473816</t>
  </si>
  <si>
    <t>32285000130863</t>
  </si>
  <si>
    <t>893901244</t>
  </si>
  <si>
    <t>HV8675 .P5</t>
  </si>
  <si>
    <t>0                      HV 8675000P  5</t>
  </si>
  <si>
    <t>Philosophical perspectives on punishment / compiled and edited by Edward H. Madden, Rollo Handy and Marvin Farber.</t>
  </si>
  <si>
    <t>Springfield, Ill. : Thomas, [1968]</t>
  </si>
  <si>
    <t>American lecture series, publication no. 697. A monograph in the Bannerstone division of American lectures in philosophy</t>
  </si>
  <si>
    <t>422819534:eng</t>
  </si>
  <si>
    <t>712565</t>
  </si>
  <si>
    <t>991003185069702656</t>
  </si>
  <si>
    <t>2256676080002656</t>
  </si>
  <si>
    <t>32285000876416</t>
  </si>
  <si>
    <t>893698732</t>
  </si>
  <si>
    <t>HV8675 .P75 1989</t>
  </si>
  <si>
    <t>0                      HV 8675000P  75          1989</t>
  </si>
  <si>
    <t>Justifying legal punishment / Igor Primoratz.</t>
  </si>
  <si>
    <t>Primoratz, Igor.</t>
  </si>
  <si>
    <t>Atlantic Highlands, N.J. : Humanities Press International, 1989.</t>
  </si>
  <si>
    <t>Studies in applied philosophy</t>
  </si>
  <si>
    <t>16645580:eng</t>
  </si>
  <si>
    <t>18069985</t>
  </si>
  <si>
    <t>991001301339702656</t>
  </si>
  <si>
    <t>2265052530002656</t>
  </si>
  <si>
    <t>9780391035744</t>
  </si>
  <si>
    <t>32285000137330</t>
  </si>
  <si>
    <t>893590184</t>
  </si>
  <si>
    <t>HV8675 .T44 1987</t>
  </si>
  <si>
    <t>0                      HV 8675000T  44          1987</t>
  </si>
  <si>
    <t>Crime, guilt, and punishment : a philosophical introduction / C.L. Ten.</t>
  </si>
  <si>
    <t>Ten, C. L.</t>
  </si>
  <si>
    <t>Oxford : Clarendon Press ; New York : Oxford University Press, c1987.</t>
  </si>
  <si>
    <t>2003-04-26</t>
  </si>
  <si>
    <t>1992-11-14</t>
  </si>
  <si>
    <t>294261302:eng</t>
  </si>
  <si>
    <t>15281901</t>
  </si>
  <si>
    <t>991001635749702656</t>
  </si>
  <si>
    <t>2265736450002656</t>
  </si>
  <si>
    <t>9780198750819</t>
  </si>
  <si>
    <t>32285001182988</t>
  </si>
  <si>
    <t>893334426</t>
  </si>
  <si>
    <t>HV8675 .V35</t>
  </si>
  <si>
    <t>0                      HV 8675000V  35</t>
  </si>
  <si>
    <t>Punishing criminals : concerning a very old and painful question / Ernest van den Haag.</t>
  </si>
  <si>
    <t>Van den Haag, Ernest.</t>
  </si>
  <si>
    <t>New York : Basic Books, c1975.</t>
  </si>
  <si>
    <t>1998-02-06</t>
  </si>
  <si>
    <t>487592:eng</t>
  </si>
  <si>
    <t>1875513</t>
  </si>
  <si>
    <t>991001739569702656</t>
  </si>
  <si>
    <t>2260732030002656</t>
  </si>
  <si>
    <t>9780465067749</t>
  </si>
  <si>
    <t>32285001058147</t>
  </si>
  <si>
    <t>893414432</t>
  </si>
  <si>
    <t>HV8675 .W3 1980b</t>
  </si>
  <si>
    <t>0                      HV 8675000W  3           1980b</t>
  </si>
  <si>
    <t>Punishment, danger and stigma : the morality of criminal justice / Nigel Walker.</t>
  </si>
  <si>
    <t>Walker, Nigel.</t>
  </si>
  <si>
    <t>Totowa, N.J. : Barnes &amp; Noble Books, 1980.</t>
  </si>
  <si>
    <t>1997-04-16</t>
  </si>
  <si>
    <t>458652:eng</t>
  </si>
  <si>
    <t>7098052</t>
  </si>
  <si>
    <t>991005074919702656</t>
  </si>
  <si>
    <t>2257301890002656</t>
  </si>
  <si>
    <t>9780389201298</t>
  </si>
  <si>
    <t>32285001066132</t>
  </si>
  <si>
    <t>893350658</t>
  </si>
  <si>
    <t>HV8688 .H35 2007</t>
  </si>
  <si>
    <t>0                      HV 8688000H  35          2007</t>
  </si>
  <si>
    <t>Handbook of restorative justice / edited by Gerry Johnstone and Daniel W. Van Ness.</t>
  </si>
  <si>
    <t>Cullompton ; Portland, Or. : Willan, 2007.</t>
  </si>
  <si>
    <t>2009-07-16</t>
  </si>
  <si>
    <t>3856622369:eng</t>
  </si>
  <si>
    <t>61529085</t>
  </si>
  <si>
    <t>991005325699702656</t>
  </si>
  <si>
    <t>2268472260002656</t>
  </si>
  <si>
    <t>9781843921509</t>
  </si>
  <si>
    <t>32285005538102</t>
  </si>
  <si>
    <t>893713872</t>
  </si>
  <si>
    <t>HV8688 .R47 2003</t>
  </si>
  <si>
    <t>0                      HV 8688000R  47          2003</t>
  </si>
  <si>
    <t>Restorative justice : critical issues / edited by Eugene McLaughlin ... [et al.]</t>
  </si>
  <si>
    <t>London ; Thousand Oaks, Calif. : Sage Publications in association with the Open University, 2003.</t>
  </si>
  <si>
    <t>Crime, order and social control</t>
  </si>
  <si>
    <t>2006-04-22</t>
  </si>
  <si>
    <t>354080438:eng</t>
  </si>
  <si>
    <t>51780034</t>
  </si>
  <si>
    <t>991004133109702656</t>
  </si>
  <si>
    <t>2266501660002656</t>
  </si>
  <si>
    <t>9780761942085</t>
  </si>
  <si>
    <t>32285004788955</t>
  </si>
  <si>
    <t>893788321</t>
  </si>
  <si>
    <t>HV8688 .S28 2008</t>
  </si>
  <si>
    <t>0                      HV 8688000S  28          2008</t>
  </si>
  <si>
    <t>Justpeace ethics : a guide to restorative justice and peacebuilding / Jarem Sawatsky ; with a foreword by Howard Zehr.</t>
  </si>
  <si>
    <t>Sawatsky, Jarem.</t>
  </si>
  <si>
    <t>Eugene, Or. : Cascade Books, 2008.</t>
  </si>
  <si>
    <t>oru</t>
  </si>
  <si>
    <t>Cascade companions ; 7</t>
  </si>
  <si>
    <t>2009-08-19</t>
  </si>
  <si>
    <t>1105153407:eng</t>
  </si>
  <si>
    <t>265938391</t>
  </si>
  <si>
    <t>991005326179702656</t>
  </si>
  <si>
    <t>2257378400002656</t>
  </si>
  <si>
    <t>9781556352997</t>
  </si>
  <si>
    <t>32285005541981</t>
  </si>
  <si>
    <t>893520836</t>
  </si>
  <si>
    <t>HV8688 .V36 1997</t>
  </si>
  <si>
    <t>0                      HV 8688000V  36          1997</t>
  </si>
  <si>
    <t>Restoring justice / Daniel Van Ness, Karen Heetderks Strong.</t>
  </si>
  <si>
    <t>Van Ness, Daniel W., 1949-</t>
  </si>
  <si>
    <t>Cincinnati, OH : Anderson Pub., c1997.</t>
  </si>
  <si>
    <t>2007-12-03</t>
  </si>
  <si>
    <t>10252425556:eng</t>
  </si>
  <si>
    <t>37528889</t>
  </si>
  <si>
    <t>991002848069702656</t>
  </si>
  <si>
    <t>2264458040002656</t>
  </si>
  <si>
    <t>9780870848902</t>
  </si>
  <si>
    <t>32285003514550</t>
  </si>
  <si>
    <t>893257794</t>
  </si>
  <si>
    <t>HV8693 .M87</t>
  </si>
  <si>
    <t>0                      HV 8693000M  87</t>
  </si>
  <si>
    <t>Punishment and rehabilitation. Edited by Jeffrie G. Murphy.</t>
  </si>
  <si>
    <t>Murphy, Jeffrie G. compiler.</t>
  </si>
  <si>
    <t>Belmont, Calif., Wadsworth Pub. Co. [1973]</t>
  </si>
  <si>
    <t>Basic problems in philosophy series</t>
  </si>
  <si>
    <t>1996-10-02</t>
  </si>
  <si>
    <t>54682147:eng</t>
  </si>
  <si>
    <t>714538</t>
  </si>
  <si>
    <t>991003189499702656</t>
  </si>
  <si>
    <t>2256149690002656</t>
  </si>
  <si>
    <t>9780534003357</t>
  </si>
  <si>
    <t>32285002121845</t>
  </si>
  <si>
    <t>893434722</t>
  </si>
  <si>
    <t>HV8694 .B5</t>
  </si>
  <si>
    <t>0                      HV 8694000B  5</t>
  </si>
  <si>
    <t>For capital punishment : crime and the morality of the death penalty / Walter Berns.</t>
  </si>
  <si>
    <t>Berns, Walter, 1919-2015.</t>
  </si>
  <si>
    <t>New York : Basic Books, c1979.</t>
  </si>
  <si>
    <t>2010-07-07</t>
  </si>
  <si>
    <t>908326681:eng</t>
  </si>
  <si>
    <t>4834174</t>
  </si>
  <si>
    <t>991001799869702656</t>
  </si>
  <si>
    <t>2267734640002656</t>
  </si>
  <si>
    <t>9780465024735</t>
  </si>
  <si>
    <t>32285001850014</t>
  </si>
  <si>
    <t>893803917</t>
  </si>
  <si>
    <t>HV8694 .H47 1999</t>
  </si>
  <si>
    <t>0                      HV 8694000H  47          1999</t>
  </si>
  <si>
    <t>Reflexiónes sobre la pena de muerte / Pedro Pablo Hernández ; presentacíon, Claudio Aníbal Medrano.</t>
  </si>
  <si>
    <t>Hernández, Pedro Pablo.</t>
  </si>
  <si>
    <t>Santo Domingo, República Dominicana : Editora Búho, 1999.</t>
  </si>
  <si>
    <t>39323899:spa</t>
  </si>
  <si>
    <t>49349009</t>
  </si>
  <si>
    <t>991003783229702656</t>
  </si>
  <si>
    <t>2255026930002656</t>
  </si>
  <si>
    <t>32285004423546</t>
  </si>
  <si>
    <t>893258861</t>
  </si>
  <si>
    <t>HV8694 .H68 1991</t>
  </si>
  <si>
    <t>0                      HV 8694000H  68          1991</t>
  </si>
  <si>
    <t>The death penalty debate / H. Wayne House &amp; John Howard Yoder.</t>
  </si>
  <si>
    <t>House, H. Wayne.</t>
  </si>
  <si>
    <t>Dallas : Word Pub., c1991.</t>
  </si>
  <si>
    <t>Issues of Christian conscience</t>
  </si>
  <si>
    <t>1994-12-21</t>
  </si>
  <si>
    <t>24750468:eng</t>
  </si>
  <si>
    <t>23651071</t>
  </si>
  <si>
    <t>991001873279702656</t>
  </si>
  <si>
    <t>2263020110002656</t>
  </si>
  <si>
    <t>9780849933073</t>
  </si>
  <si>
    <t>32285001778694</t>
  </si>
  <si>
    <t>893690985</t>
  </si>
  <si>
    <t>HV8694 .N37 1987</t>
  </si>
  <si>
    <t>0                      HV 8694000N  37          1987</t>
  </si>
  <si>
    <t>An eye for an eye? : the morality of punishing by death / Stephen Nathanson ; foreword by Arthur J. Goldberg.</t>
  </si>
  <si>
    <t>Nathanson, Stephen, 1943-</t>
  </si>
  <si>
    <t>Totowa, N.J. : Rowman &amp; Littlefield, 1987.</t>
  </si>
  <si>
    <t>2004-02-21</t>
  </si>
  <si>
    <t>2288781881:eng</t>
  </si>
  <si>
    <t>15520835</t>
  </si>
  <si>
    <t>991001635919702656</t>
  </si>
  <si>
    <t>2268851470002656</t>
  </si>
  <si>
    <t>9780847675616</t>
  </si>
  <si>
    <t>32285000086347</t>
  </si>
  <si>
    <t>893351941</t>
  </si>
  <si>
    <t>HV8698 .B47 1981</t>
  </si>
  <si>
    <t>0                      HV 8698000B  47          1981</t>
  </si>
  <si>
    <t>Capital punishment : the inevitability of caprice and mistake / Charles L. Black, Jr.</t>
  </si>
  <si>
    <t>Black, Charles L., Jr. (Charles Lund), 1915-2001.</t>
  </si>
  <si>
    <t>New York : Norton, c1981.</t>
  </si>
  <si>
    <t>2nd ed. augm.</t>
  </si>
  <si>
    <t>42840526:eng</t>
  </si>
  <si>
    <t>7329288</t>
  </si>
  <si>
    <t>991001620309702656</t>
  </si>
  <si>
    <t>2271542230002656</t>
  </si>
  <si>
    <t>9780393013337</t>
  </si>
  <si>
    <t>32285000086354</t>
  </si>
  <si>
    <t>893885412</t>
  </si>
  <si>
    <t>HV8698 .D56</t>
  </si>
  <si>
    <t>0                      HV 8698000D  56</t>
  </si>
  <si>
    <t>The power of life or death / [by] Michael V. DiSalle with Lawrence G. Blochman.</t>
  </si>
  <si>
    <t>DiSalle, Michael V. (Michael Vincent), 1908-1981.</t>
  </si>
  <si>
    <t>New York : Random House, [1965]</t>
  </si>
  <si>
    <t>1382498:eng</t>
  </si>
  <si>
    <t>265552</t>
  </si>
  <si>
    <t>991002095729702656</t>
  </si>
  <si>
    <t>2267819890002656</t>
  </si>
  <si>
    <t>32285000877307</t>
  </si>
  <si>
    <t>893256876</t>
  </si>
  <si>
    <t>HV8699.C2 L49 2010</t>
  </si>
  <si>
    <t>0                      HV 8699000C  2                  L  49          2010</t>
  </si>
  <si>
    <t>The practice of execution in Canada / Ken Leyton-Brown.</t>
  </si>
  <si>
    <t>Leyton-Brown, Kenneth B.</t>
  </si>
  <si>
    <t>Vancouver : UBC Press, c2010.</t>
  </si>
  <si>
    <t>2010-11-29</t>
  </si>
  <si>
    <t>352036762:eng</t>
  </si>
  <si>
    <t>471042821</t>
  </si>
  <si>
    <t>991000224739702656</t>
  </si>
  <si>
    <t>2255258850002656</t>
  </si>
  <si>
    <t>9780774817530</t>
  </si>
  <si>
    <t>32285005607493</t>
  </si>
  <si>
    <t>893708231</t>
  </si>
  <si>
    <t>HV8699.G8 C66 1974</t>
  </si>
  <si>
    <t>0                      HV 8699000G  8                  C  66          1974</t>
  </si>
  <si>
    <t>The lesson of the scaffold : the public execution controversy in Victorian England / David D. Cooper.</t>
  </si>
  <si>
    <t>Cooper, David D., 1924-</t>
  </si>
  <si>
    <t>Athens : Ohio University Press, [1974]</t>
  </si>
  <si>
    <t>1999-03-24</t>
  </si>
  <si>
    <t>1992-07-22</t>
  </si>
  <si>
    <t>2287109292:eng</t>
  </si>
  <si>
    <t>1089585</t>
  </si>
  <si>
    <t>991001692719702656</t>
  </si>
  <si>
    <t>2272374640002656</t>
  </si>
  <si>
    <t>9780821401484</t>
  </si>
  <si>
    <t>32285000119080</t>
  </si>
  <si>
    <t>893232171</t>
  </si>
  <si>
    <t>HV8699.U5 B393 2007</t>
  </si>
  <si>
    <t>0                      HV 8699000U  5                  B  393         2007</t>
  </si>
  <si>
    <t>In the shadow of death : restorative justice and death row families / Elizabeth Beck, Sarah Britto, and Arlene Andrews.</t>
  </si>
  <si>
    <t>Beck, Elizabeth.</t>
  </si>
  <si>
    <t>2009-12-03</t>
  </si>
  <si>
    <t>2008-05-07</t>
  </si>
  <si>
    <t>802577526:eng</t>
  </si>
  <si>
    <t>70823095</t>
  </si>
  <si>
    <t>991005212199702656</t>
  </si>
  <si>
    <t>2264558590002656</t>
  </si>
  <si>
    <t>9780195179415</t>
  </si>
  <si>
    <t>32285005405815</t>
  </si>
  <si>
    <t>893613313</t>
  </si>
  <si>
    <t>HV8699.U5 B47 1997</t>
  </si>
  <si>
    <t>0                      HV 8699000U  5                  B  47          1997</t>
  </si>
  <si>
    <t>Death in the dark : midnight executions in America / John D. Bessler.</t>
  </si>
  <si>
    <t>Bessler, John D.</t>
  </si>
  <si>
    <t>1998-06-10</t>
  </si>
  <si>
    <t>665669:eng</t>
  </si>
  <si>
    <t>36528311</t>
  </si>
  <si>
    <t>991002782389702656</t>
  </si>
  <si>
    <t>2262793520002656</t>
  </si>
  <si>
    <t>9781555533229</t>
  </si>
  <si>
    <t>32285003414645</t>
  </si>
  <si>
    <t>893504809</t>
  </si>
  <si>
    <t>HV8699.U5 C3 1997</t>
  </si>
  <si>
    <t>0                      HV 8699000U  5                  C  3           1997</t>
  </si>
  <si>
    <t>Capital punishment in the United States : a documentary history / edited by Bryan Vila and Cynthia Morris.</t>
  </si>
  <si>
    <t>Westport, Conn. : Greenwood Press, 1997.</t>
  </si>
  <si>
    <t>Primary documents in American history and contemporary issues, 1069-5605</t>
  </si>
  <si>
    <t>2008-12-07</t>
  </si>
  <si>
    <t>1997-11-25</t>
  </si>
  <si>
    <t>837039147:eng</t>
  </si>
  <si>
    <t>35990406</t>
  </si>
  <si>
    <t>991002740839702656</t>
  </si>
  <si>
    <t>2264391260002656</t>
  </si>
  <si>
    <t>9780313299421</t>
  </si>
  <si>
    <t>32285003274387</t>
  </si>
  <si>
    <t>893511125</t>
  </si>
  <si>
    <t>HV8699.U5 F33 1989</t>
  </si>
  <si>
    <t>0                      HV 8699000U  5                  F  33          1989</t>
  </si>
  <si>
    <t>Facing the death penalty : essays on a cruel and unusual punishment / edited by Michael L. Radelet.</t>
  </si>
  <si>
    <t>Philadelphia : Temple University Press, 1989.</t>
  </si>
  <si>
    <t>1990-05-08</t>
  </si>
  <si>
    <t>18500150:eng</t>
  </si>
  <si>
    <t>18817456</t>
  </si>
  <si>
    <t>991001400949702656</t>
  </si>
  <si>
    <t>2268598950002656</t>
  </si>
  <si>
    <t>9780877226116</t>
  </si>
  <si>
    <t>32285000135193</t>
  </si>
  <si>
    <t>893340413</t>
  </si>
  <si>
    <t>HV8699.U5 G35 2002</t>
  </si>
  <si>
    <t>0                      HV 8699000U  5                  G  35          2002</t>
  </si>
  <si>
    <t>America without the death penalty : states leading the way / John F. Galliher ... [et al.].</t>
  </si>
  <si>
    <t>Galliher, John F.</t>
  </si>
  <si>
    <t>Boston : Northeastern University Press, c2002.</t>
  </si>
  <si>
    <t>2002-08-22</t>
  </si>
  <si>
    <t>839408477:eng</t>
  </si>
  <si>
    <t>49576820</t>
  </si>
  <si>
    <t>991003845109702656</t>
  </si>
  <si>
    <t>2260693690002656</t>
  </si>
  <si>
    <t>9781555535292</t>
  </si>
  <si>
    <t>32285004644505</t>
  </si>
  <si>
    <t>893525304</t>
  </si>
  <si>
    <t>HV8699.U5 G76 1989</t>
  </si>
  <si>
    <t>0                      HV 8699000U  5                  G  76          1989</t>
  </si>
  <si>
    <t>Death &amp; discrimination : racial disparities in capital sentencing / Samuel R. Gross &amp; Robert Mauro.</t>
  </si>
  <si>
    <t>Gross, Samuel R.</t>
  </si>
  <si>
    <t>Boston : Northeastern University Press, c1989.</t>
  </si>
  <si>
    <t>132660161:eng</t>
  </si>
  <si>
    <t>18350204</t>
  </si>
  <si>
    <t>991001639609702656</t>
  </si>
  <si>
    <t>2262761980002656</t>
  </si>
  <si>
    <t>9781555530402</t>
  </si>
  <si>
    <t>32285000133305</t>
  </si>
  <si>
    <t>893346652</t>
  </si>
  <si>
    <t>HV8699.U5 H36 1997</t>
  </si>
  <si>
    <t>0                      HV 8699000U  5                  H  36          1997</t>
  </si>
  <si>
    <t>A review of juvenile executions in America / Robert L. Hale.</t>
  </si>
  <si>
    <t>Hale, Robert L. (Robert Legan)</t>
  </si>
  <si>
    <t>Lewiston, N.Y., USA : The Edwin Mellen Press, c1997.</t>
  </si>
  <si>
    <t>Criminology studies ; v. 3</t>
  </si>
  <si>
    <t>2004-03-30</t>
  </si>
  <si>
    <t>1999-02-25</t>
  </si>
  <si>
    <t>596421:eng</t>
  </si>
  <si>
    <t>37465281</t>
  </si>
  <si>
    <t>991002844149702656</t>
  </si>
  <si>
    <t>2258508230002656</t>
  </si>
  <si>
    <t>9780773485471</t>
  </si>
  <si>
    <t>32285003527248</t>
  </si>
  <si>
    <t>893793009</t>
  </si>
  <si>
    <t>HV8699.U5 H37 1997</t>
  </si>
  <si>
    <t>0                      HV 8699000U  5                  H  37          1997</t>
  </si>
  <si>
    <t>The geography of execution : the capital punishment quagmire in America / Keith Harries, Derral Cheatwood.</t>
  </si>
  <si>
    <t>Harries, Keith D.</t>
  </si>
  <si>
    <t>Lanham, Md. : Rowman &amp; Littlefield, c1997.</t>
  </si>
  <si>
    <t>335410444:eng</t>
  </si>
  <si>
    <t>35521723</t>
  </si>
  <si>
    <t>991002710089702656</t>
  </si>
  <si>
    <t>2257151030002656</t>
  </si>
  <si>
    <t>9780847681563</t>
  </si>
  <si>
    <t>32285002477536</t>
  </si>
  <si>
    <t>893597780</t>
  </si>
  <si>
    <t>HV8699.U5 J64</t>
  </si>
  <si>
    <t>0                      HV 8699000U  5                  J  64</t>
  </si>
  <si>
    <t>Condemned to die : life under sentence of death / Robert Johnson.</t>
  </si>
  <si>
    <t>Johnson, Robert, 1948-</t>
  </si>
  <si>
    <t>New York : Elsevier, c1981.</t>
  </si>
  <si>
    <t>1993-06-24</t>
  </si>
  <si>
    <t>818631766:eng</t>
  </si>
  <si>
    <t>7464369</t>
  </si>
  <si>
    <t>991005117459702656</t>
  </si>
  <si>
    <t>2262382870002656</t>
  </si>
  <si>
    <t>9780444990891</t>
  </si>
  <si>
    <t>32285001732022</t>
  </si>
  <si>
    <t>893507639</t>
  </si>
  <si>
    <t>HV8699.U5 K87 2004</t>
  </si>
  <si>
    <t>0                      HV 8699000U  5                  K  87          2004</t>
  </si>
  <si>
    <t>The death penalty on trial : crisis in American justice / Bill Kurtis.</t>
  </si>
  <si>
    <t>Kurtis, Bill.</t>
  </si>
  <si>
    <t>New York : Public Affairs, c2004.</t>
  </si>
  <si>
    <t>2004-12-14</t>
  </si>
  <si>
    <t>869578:eng</t>
  </si>
  <si>
    <t>55633923</t>
  </si>
  <si>
    <t>991004380659702656</t>
  </si>
  <si>
    <t>2270446030002656</t>
  </si>
  <si>
    <t>9781586481698</t>
  </si>
  <si>
    <t>32285005017149</t>
  </si>
  <si>
    <t>893319151</t>
  </si>
  <si>
    <t>HV8699.U5 M235 1995</t>
  </si>
  <si>
    <t>0                      HV 8699000U  5                  M  235         1995</t>
  </si>
  <si>
    <t>The machinery of death : a shocking indictment of capital punishment in the United States / [editors, Enid Harlow, David Matas, Jane Rocamora].</t>
  </si>
  <si>
    <t>[New York, N.Y.] : Amnesty International USA, c1995.</t>
  </si>
  <si>
    <t>889916715:eng</t>
  </si>
  <si>
    <t>32196081</t>
  </si>
  <si>
    <t>991002471609702656</t>
  </si>
  <si>
    <t>2265611330002656</t>
  </si>
  <si>
    <t>9780939994946</t>
  </si>
  <si>
    <t>32285002149481</t>
  </si>
  <si>
    <t>893239101</t>
  </si>
  <si>
    <t>HV8699.U5 M35 1994</t>
  </si>
  <si>
    <t>0                      HV 8699000U  5                  M  35          1994</t>
  </si>
  <si>
    <t>The rope, the chair, and the needle : capital punishment in Texas, 1923-1990 / James W. Marquart, Sheldon Ekland-Olson, Jonathan R. Sorensen.</t>
  </si>
  <si>
    <t>Marquart, James W. (James Walter), 1954-</t>
  </si>
  <si>
    <t>Austin : University of Texas Press, 1994.</t>
  </si>
  <si>
    <t>799473584:eng</t>
  </si>
  <si>
    <t>27976828</t>
  </si>
  <si>
    <t>991001658099702656</t>
  </si>
  <si>
    <t>2261090770002656</t>
  </si>
  <si>
    <t>9780292751583</t>
  </si>
  <si>
    <t>32285003507109</t>
  </si>
  <si>
    <t>893803784</t>
  </si>
  <si>
    <t>HV8699.U5 N45 2001</t>
  </si>
  <si>
    <t>0                      HV 8699000U  5                  N  45          2001</t>
  </si>
  <si>
    <t>Death watch : a death penalty anthology / Lane Nelson, Burk Foster.</t>
  </si>
  <si>
    <t>Nelson, Lane.</t>
  </si>
  <si>
    <t>Upper Saddle River, N.J. : Prentice Hall, c2001.</t>
  </si>
  <si>
    <t>2007-04-15</t>
  </si>
  <si>
    <t>837005024:eng</t>
  </si>
  <si>
    <t>44075905</t>
  </si>
  <si>
    <t>991003342209702656</t>
  </si>
  <si>
    <t>2271454400002656</t>
  </si>
  <si>
    <t>9780130852014</t>
  </si>
  <si>
    <t>32285004291679</t>
  </si>
  <si>
    <t>893434915</t>
  </si>
  <si>
    <t>HV8699.U5 S72 2003</t>
  </si>
  <si>
    <t>0                      HV 8699000U  5                  S  72          2003</t>
  </si>
  <si>
    <t>The hangman's knot : lynching, legal execution, and America's struggle with the death penalty / Eliza Steelwater.</t>
  </si>
  <si>
    <t>Steelwater, Eliza.</t>
  </si>
  <si>
    <t>Boulder, Colo. : Westview Press, c2003.</t>
  </si>
  <si>
    <t>2007-07-12</t>
  </si>
  <si>
    <t>706985:eng</t>
  </si>
  <si>
    <t>52055145</t>
  </si>
  <si>
    <t>991004121219702656</t>
  </si>
  <si>
    <t>2256085160002656</t>
  </si>
  <si>
    <t>9780813340425</t>
  </si>
  <si>
    <t>32285004784012</t>
  </si>
  <si>
    <t>893775641</t>
  </si>
  <si>
    <t>HV8699.U5 U55 1987</t>
  </si>
  <si>
    <t>0                      HV 8699000U  5                  U  55          1987</t>
  </si>
  <si>
    <t>United States of America : the death penalty.</t>
  </si>
  <si>
    <t>London : Amnesty International Publications, 1987.</t>
  </si>
  <si>
    <t>2007-02-25</t>
  </si>
  <si>
    <t>1995-03-28</t>
  </si>
  <si>
    <t>3855967031:eng</t>
  </si>
  <si>
    <t>17209566</t>
  </si>
  <si>
    <t>991001013589702656</t>
  </si>
  <si>
    <t>2256636950002656</t>
  </si>
  <si>
    <t>9780862101145</t>
  </si>
  <si>
    <t>32285002020633</t>
  </si>
  <si>
    <t>893438801</t>
  </si>
  <si>
    <t>HV8699.U5 V36 1983</t>
  </si>
  <si>
    <t>0                      HV 8699000U  5                  V  36          1983</t>
  </si>
  <si>
    <t>The death penalty : a debate / pro, Ernest van den Haag, con, John P. Conrad.</t>
  </si>
  <si>
    <t>New York : Plenum Press, c1983.</t>
  </si>
  <si>
    <t>2008-03-25</t>
  </si>
  <si>
    <t>2009-06-29</t>
  </si>
  <si>
    <t>1990-03-02</t>
  </si>
  <si>
    <t>20581415:eng</t>
  </si>
  <si>
    <t>9647204</t>
  </si>
  <si>
    <t>991001625829702656</t>
  </si>
  <si>
    <t>2270698690002656</t>
  </si>
  <si>
    <t>9780306414169</t>
  </si>
  <si>
    <t>32285000075605</t>
  </si>
  <si>
    <t>893497216</t>
  </si>
  <si>
    <t>HV8699.U5 W45 1997</t>
  </si>
  <si>
    <t>0                      HV 8699000U  5                  W  45          1997</t>
  </si>
  <si>
    <t>Welcome to hell : letters &amp; writings from death row / compiled and edited by Jan Arriens ; foreword by Sister Helen Prejean ; preface by Clive Stafford Smith.</t>
  </si>
  <si>
    <t>Boston : Northeastern University Press, 1997.</t>
  </si>
  <si>
    <t>2002-04-18</t>
  </si>
  <si>
    <t>796337119:eng</t>
  </si>
  <si>
    <t>35086064</t>
  </si>
  <si>
    <t>991002685189702656</t>
  </si>
  <si>
    <t>2256942640002656</t>
  </si>
  <si>
    <t>9781555532895</t>
  </si>
  <si>
    <t>32285003662367</t>
  </si>
  <si>
    <t>893716787</t>
  </si>
  <si>
    <t>HV8699.U5 Z56 1986</t>
  </si>
  <si>
    <t>0                      HV 8699000U  5                  Z  56          1986</t>
  </si>
  <si>
    <t>Capital punishment and the American agenda / Franklin E. Zimring, Gordon Hawkins.</t>
  </si>
  <si>
    <t>Cambridge, [Cambridgeshire] ; New York : Cambridge University Press, c1986, 1987 printing.</t>
  </si>
  <si>
    <t>2000-04-08</t>
  </si>
  <si>
    <t>7761438:eng</t>
  </si>
  <si>
    <t>14187617</t>
  </si>
  <si>
    <t>991000917459702656</t>
  </si>
  <si>
    <t>2260377640002656</t>
  </si>
  <si>
    <t>9780521330336</t>
  </si>
  <si>
    <t>32285000123835</t>
  </si>
  <si>
    <t>893333892</t>
  </si>
  <si>
    <t>HV8701.B56 J85 2005</t>
  </si>
  <si>
    <t>0                      HV 8701000B  56                 J  85          2005</t>
  </si>
  <si>
    <t>Bloodsworth / Tim Junkin.</t>
  </si>
  <si>
    <t>Junkin, Tim, 1951-</t>
  </si>
  <si>
    <t>Chapel Hill, N.C. : Algonquin Books of Chapel Hill, 2005.</t>
  </si>
  <si>
    <t>46049205:eng</t>
  </si>
  <si>
    <t>60590129</t>
  </si>
  <si>
    <t>991004655019702656</t>
  </si>
  <si>
    <t>2272342720002656</t>
  </si>
  <si>
    <t>9781565125148</t>
  </si>
  <si>
    <t>32285005084537</t>
  </si>
  <si>
    <t>893526359</t>
  </si>
  <si>
    <t>HV8705 .M67</t>
  </si>
  <si>
    <t>0                      HV 8705000M  67</t>
  </si>
  <si>
    <t>The future of imprisonment.</t>
  </si>
  <si>
    <t>Morris, Norval, 1923-2004.</t>
  </si>
  <si>
    <t>Chicago, University of Chicago Press c1974.</t>
  </si>
  <si>
    <t>1996-12-06</t>
  </si>
  <si>
    <t>140870667:eng</t>
  </si>
  <si>
    <t>995086</t>
  </si>
  <si>
    <t>991001689749702656</t>
  </si>
  <si>
    <t>2257091660002656</t>
  </si>
  <si>
    <t>9780226539058</t>
  </si>
  <si>
    <t>32285001052942</t>
  </si>
  <si>
    <t>893420521</t>
  </si>
  <si>
    <t>HV873 .K56 1999</t>
  </si>
  <si>
    <t>0                      HV 0873000K  56          1999</t>
  </si>
  <si>
    <t>Kinship foster care : policy, practice, and research / edited by Rebecca L. Hegar, Maria Scannapieco.</t>
  </si>
  <si>
    <t>New York : Oxford University Press, 1999.</t>
  </si>
  <si>
    <t>Child welfare</t>
  </si>
  <si>
    <t>2008-11-08</t>
  </si>
  <si>
    <t>837000840:eng</t>
  </si>
  <si>
    <t>37594234</t>
  </si>
  <si>
    <t>991003283589702656</t>
  </si>
  <si>
    <t>2261864240002656</t>
  </si>
  <si>
    <t>9780195109399</t>
  </si>
  <si>
    <t>32285004268560</t>
  </si>
  <si>
    <t>893416225</t>
  </si>
  <si>
    <t>HV873 .S93 1994</t>
  </si>
  <si>
    <t>0                      HV 0873000S  93          1994</t>
  </si>
  <si>
    <t>Urban children in distress : global predicaments and innovative strategies / Cristina Szanton Blanc ; with contributors.</t>
  </si>
  <si>
    <t>Szanton Blanc, Cristina.</t>
  </si>
  <si>
    <t>Langhorne, Pa. : Gordon and Breach, 1994.</t>
  </si>
  <si>
    <t>1995-10-30</t>
  </si>
  <si>
    <t>3140306:eng</t>
  </si>
  <si>
    <t>29792354</t>
  </si>
  <si>
    <t>991002296229702656</t>
  </si>
  <si>
    <t>2267376800002656</t>
  </si>
  <si>
    <t>9782881246227</t>
  </si>
  <si>
    <t>32285002099579</t>
  </si>
  <si>
    <t>893316642</t>
  </si>
  <si>
    <t>HV8738 .H37 1999</t>
  </si>
  <si>
    <t>0                      HV 8738000H  37          1999</t>
  </si>
  <si>
    <t>Harsh punishment : international experiences of women's imprisonment / edited by Sandy Cook and Susanne Davies.</t>
  </si>
  <si>
    <t>905528258:eng</t>
  </si>
  <si>
    <t>41326304</t>
  </si>
  <si>
    <t>991003677119702656</t>
  </si>
  <si>
    <t>2264850460002656</t>
  </si>
  <si>
    <t>9781555534110</t>
  </si>
  <si>
    <t>32285004426549</t>
  </si>
  <si>
    <t>893324335</t>
  </si>
  <si>
    <t>HV874.8 .P69 1985</t>
  </si>
  <si>
    <t>0                      HV 0874800P  69          1985</t>
  </si>
  <si>
    <t>Whose child am I? : adults' recollections of being adopted / John Y. Powell.</t>
  </si>
  <si>
    <t>Powell, John Y.</t>
  </si>
  <si>
    <t>New York : Tiresias Press, c1985.</t>
  </si>
  <si>
    <t>1993-05-12</t>
  </si>
  <si>
    <t>1862315557:eng</t>
  </si>
  <si>
    <t>12927462</t>
  </si>
  <si>
    <t>991000751009702656</t>
  </si>
  <si>
    <t>2256979750002656</t>
  </si>
  <si>
    <t>9780913292419</t>
  </si>
  <si>
    <t>32285001653798</t>
  </si>
  <si>
    <t>893249642</t>
  </si>
  <si>
    <t>HV875 .A338 1991</t>
  </si>
  <si>
    <t>0                      HV 0875000A  338         1991</t>
  </si>
  <si>
    <t>Adoption : international perspectives / edited by Euthymia D. Hibbs.</t>
  </si>
  <si>
    <t>Madison, Conn. : International Universities Press, 1991.</t>
  </si>
  <si>
    <t>1993-01-21</t>
  </si>
  <si>
    <t>865282463:eng</t>
  </si>
  <si>
    <t>23287877</t>
  </si>
  <si>
    <t>991001857169702656</t>
  </si>
  <si>
    <t>2271952490002656</t>
  </si>
  <si>
    <t>9780823600960</t>
  </si>
  <si>
    <t>32285001447647</t>
  </si>
  <si>
    <t>893408416</t>
  </si>
  <si>
    <t>HV875 .A46</t>
  </si>
  <si>
    <t>0                      HV 0875000A  46</t>
  </si>
  <si>
    <t>Adoption of children.</t>
  </si>
  <si>
    <t>American Academy of Pediatrics. Committee on Adoptions.</t>
  </si>
  <si>
    <t>Evanston, Ill. : American Academy of Pediatrics, [1959]</t>
  </si>
  <si>
    <t>pol</t>
  </si>
  <si>
    <t>2003-02-07</t>
  </si>
  <si>
    <t>1993-12-01</t>
  </si>
  <si>
    <t>4530009:eng</t>
  </si>
  <si>
    <t>3305461</t>
  </si>
  <si>
    <t>991001792609702656</t>
  </si>
  <si>
    <t>2268162650002656</t>
  </si>
  <si>
    <t>32285001814929</t>
  </si>
  <si>
    <t>893785398</t>
  </si>
  <si>
    <t>HV875 .A55</t>
  </si>
  <si>
    <t>0                      HV 0875000A  55</t>
  </si>
  <si>
    <t>The adopted child, by Joseph G. Ansfield.</t>
  </si>
  <si>
    <t>Ansfield, Joseph G., 1932-</t>
  </si>
  <si>
    <t>Springfield, Ill., Thomas [1971]</t>
  </si>
  <si>
    <t>2004-04-05</t>
  </si>
  <si>
    <t>1995-06-30</t>
  </si>
  <si>
    <t>1282610:eng</t>
  </si>
  <si>
    <t>135352</t>
  </si>
  <si>
    <t>991000782139702656</t>
  </si>
  <si>
    <t>2263436870002656</t>
  </si>
  <si>
    <t>32285002021813</t>
  </si>
  <si>
    <t>893608275</t>
  </si>
  <si>
    <t>HV875 .B38</t>
  </si>
  <si>
    <t>0                      HV 0875000B  38</t>
  </si>
  <si>
    <t>The rehabilitation of children : the theory and practice of child placement / by Edith M.H. Baylor and Elio D. Monachesi.</t>
  </si>
  <si>
    <t>Baylor, Edith M. H. (Edith Miriam Hedges), 1870-</t>
  </si>
  <si>
    <t>[New York] : Harper, [1939]</t>
  </si>
  <si>
    <t>1939</t>
  </si>
  <si>
    <t>Harper's social science series</t>
  </si>
  <si>
    <t>1995-01-30</t>
  </si>
  <si>
    <t>765985719:eng</t>
  </si>
  <si>
    <t>232294</t>
  </si>
  <si>
    <t>991001528909702656</t>
  </si>
  <si>
    <t>2258555050002656</t>
  </si>
  <si>
    <t>32285000849371</t>
  </si>
  <si>
    <t>893340497</t>
  </si>
  <si>
    <t>HV875 .B46 1976</t>
  </si>
  <si>
    <t>0                      HV 0875000B  46          1976</t>
  </si>
  <si>
    <t>The politics of adoption / Mary Kathleen Benet.</t>
  </si>
  <si>
    <t>Benét, Mary Kathleen.</t>
  </si>
  <si>
    <t>New York : The Free Press, c1976.</t>
  </si>
  <si>
    <t>431214:eng</t>
  </si>
  <si>
    <t>2283839</t>
  </si>
  <si>
    <t>991004065409702656</t>
  </si>
  <si>
    <t>2266941300002656</t>
  </si>
  <si>
    <t>9780029025000</t>
  </si>
  <si>
    <t>32285000906197</t>
  </si>
  <si>
    <t>893794434</t>
  </si>
  <si>
    <t>HV875 .B74 1992</t>
  </si>
  <si>
    <t>0                      HV 0875000B  74          1992</t>
  </si>
  <si>
    <t>Being adopted : the lifelong search for self / David M. Brodzinsky, Marshall D. Schechter, Robin Marantz Henig.</t>
  </si>
  <si>
    <t>Brodzinsky, David.</t>
  </si>
  <si>
    <t>New York : Doubleday, 1992.</t>
  </si>
  <si>
    <t>2008-06-23</t>
  </si>
  <si>
    <t>1992-09-23</t>
  </si>
  <si>
    <t>4417309259:eng</t>
  </si>
  <si>
    <t>24319463</t>
  </si>
  <si>
    <t>991001925739702656</t>
  </si>
  <si>
    <t>2271939730002656</t>
  </si>
  <si>
    <t>9780385414029</t>
  </si>
  <si>
    <t>32285001288868</t>
  </si>
  <si>
    <t>893322365</t>
  </si>
  <si>
    <t>HV875 .G59</t>
  </si>
  <si>
    <t>0                      HV 0875000G  59</t>
  </si>
  <si>
    <t>Child placement through clinically oriented casework / by Esther Glickman.</t>
  </si>
  <si>
    <t>Glickman, Esther.</t>
  </si>
  <si>
    <t>New York : Columbia University Press, c1957.</t>
  </si>
  <si>
    <t>1995-10-24</t>
  </si>
  <si>
    <t>1993-08-20</t>
  </si>
  <si>
    <t>571584:eng</t>
  </si>
  <si>
    <t>264121</t>
  </si>
  <si>
    <t>991002078559702656</t>
  </si>
  <si>
    <t>2268198380002656</t>
  </si>
  <si>
    <t>32285001760346</t>
  </si>
  <si>
    <t>893504000</t>
  </si>
  <si>
    <t>HV875 .K5</t>
  </si>
  <si>
    <t>0                      HV 0875000K  5</t>
  </si>
  <si>
    <t>Shared fate; a theory of adoption and mental health.</t>
  </si>
  <si>
    <t>Kirk, H. David.</t>
  </si>
  <si>
    <t>London, Free Press of Glencoe [1964]</t>
  </si>
  <si>
    <t>1998-11-08</t>
  </si>
  <si>
    <t>1377787:eng</t>
  </si>
  <si>
    <t>263675</t>
  </si>
  <si>
    <t>991002072669702656</t>
  </si>
  <si>
    <t>2268662200002656</t>
  </si>
  <si>
    <t>32285003156618</t>
  </si>
  <si>
    <t>893609432</t>
  </si>
  <si>
    <t>HV875 .L46</t>
  </si>
  <si>
    <t>0                      HV 0875000L  46</t>
  </si>
  <si>
    <t>Twice born : memoirs of an adopted daughter / Betty Jean Lifton.</t>
  </si>
  <si>
    <t>Lifton, Betty Jean.</t>
  </si>
  <si>
    <t>New York : McGraw Hill, [1975]</t>
  </si>
  <si>
    <t>405799:eng</t>
  </si>
  <si>
    <t>1288446</t>
  </si>
  <si>
    <t>991003671049702656</t>
  </si>
  <si>
    <t>2266964870002656</t>
  </si>
  <si>
    <t>9780070378247</t>
  </si>
  <si>
    <t>32285003156626</t>
  </si>
  <si>
    <t>893252611</t>
  </si>
  <si>
    <t>HV875 .L56</t>
  </si>
  <si>
    <t>0                      HV 0875000L  56</t>
  </si>
  <si>
    <t>Adopting a child / by Frances Lockridge, with the assistance of Sophie van S. Theis.</t>
  </si>
  <si>
    <t>Lockridge, Frances Louise Davis.</t>
  </si>
  <si>
    <t>New York : Greenberg, [1948]</t>
  </si>
  <si>
    <t>1948</t>
  </si>
  <si>
    <t>[Rev. and enl. ed.]</t>
  </si>
  <si>
    <t>2443351:eng</t>
  </si>
  <si>
    <t>1652062</t>
  </si>
  <si>
    <t>991003854849702656</t>
  </si>
  <si>
    <t>2271761640002656</t>
  </si>
  <si>
    <t>32285001827061</t>
  </si>
  <si>
    <t>893258975</t>
  </si>
  <si>
    <t>HV875 .N55 1979</t>
  </si>
  <si>
    <t>0                      HV 0875000N  55          1979</t>
  </si>
  <si>
    <t>No child is unadoptable : a reader on adoption of children with special needs / edited by Sallie R. Churchill, Bonnie Carlson, and Lynn Nybell.</t>
  </si>
  <si>
    <t>Sage human services guides ; v. 8</t>
  </si>
  <si>
    <t>2003-04-13</t>
  </si>
  <si>
    <t>836725249:eng</t>
  </si>
  <si>
    <t>4493629</t>
  </si>
  <si>
    <t>991001767009702656</t>
  </si>
  <si>
    <t>2260907930002656</t>
  </si>
  <si>
    <t>9780803912151</t>
  </si>
  <si>
    <t>32285000801661</t>
  </si>
  <si>
    <t>893328356</t>
  </si>
  <si>
    <t>HV875 .S562</t>
  </si>
  <si>
    <t>0                      HV 0875000S  562</t>
  </si>
  <si>
    <t>Transracial adoption, a follow-up / Rita J. Simon, Howard Altstein.</t>
  </si>
  <si>
    <t>Simon, Rita J. (Rita James), 1931-2013.</t>
  </si>
  <si>
    <t>1998-01-28</t>
  </si>
  <si>
    <t>155842612:eng</t>
  </si>
  <si>
    <t>7328492</t>
  </si>
  <si>
    <t>991005105119702656</t>
  </si>
  <si>
    <t>2272613070002656</t>
  </si>
  <si>
    <t>9780669043570</t>
  </si>
  <si>
    <t>32285000991157</t>
  </si>
  <si>
    <t>893350721</t>
  </si>
  <si>
    <t>HV875 .S655</t>
  </si>
  <si>
    <t>0                      HV 0875000S  655</t>
  </si>
  <si>
    <t>The adoption triangle : the effects of the sealed record on adoptees, birth parents, and adoptive parents / Arthur D. Sorosky, Annette Baran, Reuben Pannor.</t>
  </si>
  <si>
    <t>Sorosky, Arthur D.</t>
  </si>
  <si>
    <t>Garden City, N.Y. : Anchor Press, 1978.</t>
  </si>
  <si>
    <t>2001-05-15</t>
  </si>
  <si>
    <t>1991-12-23</t>
  </si>
  <si>
    <t>3502307:eng</t>
  </si>
  <si>
    <t>3415361</t>
  </si>
  <si>
    <t>991001782979702656</t>
  </si>
  <si>
    <t>2260336530002656</t>
  </si>
  <si>
    <t>9780385128711</t>
  </si>
  <si>
    <t>32285000881150</t>
  </si>
  <si>
    <t>893426859</t>
  </si>
  <si>
    <t>HV875 .T59 1978</t>
  </si>
  <si>
    <t>0                      HV 0875000T  59          1978</t>
  </si>
  <si>
    <t>Adoption : a second chance / Barbara Tizard. --</t>
  </si>
  <si>
    <t>Tizard, Barbara.</t>
  </si>
  <si>
    <t>New York : Free Press, 1978, c1977.</t>
  </si>
  <si>
    <t>400845:eng</t>
  </si>
  <si>
    <t>3272769</t>
  </si>
  <si>
    <t>991004392419702656</t>
  </si>
  <si>
    <t>2263786140002656</t>
  </si>
  <si>
    <t>9780029326107</t>
  </si>
  <si>
    <t>32285000881135</t>
  </si>
  <si>
    <t>893411470</t>
  </si>
  <si>
    <t>HV875 .Z37</t>
  </si>
  <si>
    <t>0                      HV 0875000Z  37</t>
  </si>
  <si>
    <t>Outcome of Black children-White parents transracial adoptions / Charles H. Zastrow.</t>
  </si>
  <si>
    <t>San Francisco : R &amp; E Research Associates, 1977.</t>
  </si>
  <si>
    <t>2003-11-25</t>
  </si>
  <si>
    <t>9669440:eng</t>
  </si>
  <si>
    <t>3294422</t>
  </si>
  <si>
    <t>991004399449702656</t>
  </si>
  <si>
    <t>2257133810002656</t>
  </si>
  <si>
    <t>9780882474564</t>
  </si>
  <si>
    <t>32285001035111</t>
  </si>
  <si>
    <t>893535960</t>
  </si>
  <si>
    <t>HV875.5 .W57 1993</t>
  </si>
  <si>
    <t>0                      HV 0875500W  57          1993</t>
  </si>
  <si>
    <t>How to adopt a child from another country / Eileen M. Wirth &amp; Joan Worden.</t>
  </si>
  <si>
    <t>Wirth, Eileen M., 1947-</t>
  </si>
  <si>
    <t>Nashville : Abingdon Press, 1993.</t>
  </si>
  <si>
    <t>2007-03-11</t>
  </si>
  <si>
    <t>1993-05-19</t>
  </si>
  <si>
    <t>28466844:eng</t>
  </si>
  <si>
    <t>25707418</t>
  </si>
  <si>
    <t>991002020439702656</t>
  </si>
  <si>
    <t>2260834430002656</t>
  </si>
  <si>
    <t>9780687007721</t>
  </si>
  <si>
    <t>32285001582138</t>
  </si>
  <si>
    <t>893516803</t>
  </si>
  <si>
    <t>HV875.55 .B37 1988</t>
  </si>
  <si>
    <t>0                      HV 0875550B  37          1988</t>
  </si>
  <si>
    <t>Adoption and disruption : rates, risks, and responses / Richard P. Barth, Marianne Berry.</t>
  </si>
  <si>
    <t>Barth, Richard P., 1952-</t>
  </si>
  <si>
    <t>New York : A. de Gruyter, c1988.</t>
  </si>
  <si>
    <t>1990-01-14</t>
  </si>
  <si>
    <t>197356006:eng</t>
  </si>
  <si>
    <t>18134537</t>
  </si>
  <si>
    <t>991001308249702656</t>
  </si>
  <si>
    <t>2259847570002656</t>
  </si>
  <si>
    <t>9780202360492</t>
  </si>
  <si>
    <t>32285000027358</t>
  </si>
  <si>
    <t>893809031</t>
  </si>
  <si>
    <t>HV875.55 .C37 1990</t>
  </si>
  <si>
    <t>0                      HV 0875550C  37          1990</t>
  </si>
  <si>
    <t>An open adoption / by Lincoln Caplan.</t>
  </si>
  <si>
    <t>Caplan, Lincoln.</t>
  </si>
  <si>
    <t>New York : Farrar, Straus &amp; Giroux, 1990.</t>
  </si>
  <si>
    <t>1991-02-01</t>
  </si>
  <si>
    <t>22050407:eng</t>
  </si>
  <si>
    <t>20754375</t>
  </si>
  <si>
    <t>991001612479702656</t>
  </si>
  <si>
    <t>2264101600002656</t>
  </si>
  <si>
    <t>9780374105587</t>
  </si>
  <si>
    <t>32285000463074</t>
  </si>
  <si>
    <t>893772694</t>
  </si>
  <si>
    <t>HV875.55 .C38 1998</t>
  </si>
  <si>
    <t>0                      HV 0875550C  38          1998</t>
  </si>
  <si>
    <t>Family matters : secrecy and disclosure in the history of adoption / E. Wayne Carp.</t>
  </si>
  <si>
    <t>Carp, E. Wayne, 1946-</t>
  </si>
  <si>
    <t>2007-08-09</t>
  </si>
  <si>
    <t>1998-07-09</t>
  </si>
  <si>
    <t>569632:eng</t>
  </si>
  <si>
    <t>37608280</t>
  </si>
  <si>
    <t>991005427079702656</t>
  </si>
  <si>
    <t>2264304440002656</t>
  </si>
  <si>
    <t>9780674796683</t>
  </si>
  <si>
    <t>32285003431078</t>
  </si>
  <si>
    <t>893502020</t>
  </si>
  <si>
    <t>HV875.55 .R68 1992</t>
  </si>
  <si>
    <t>0                      HV 0875550R  68          1992</t>
  </si>
  <si>
    <t>Special-needs adoption : a study of intact families / James A. Rosenthal, Victor K. Groze ; foreword by Drenda S. Lakin and Kathryn S. Donley.</t>
  </si>
  <si>
    <t>Rosenthal, James Aaron.</t>
  </si>
  <si>
    <t>New York : Praeger, 1992.</t>
  </si>
  <si>
    <t>836905514:eng</t>
  </si>
  <si>
    <t>24379710</t>
  </si>
  <si>
    <t>991001932019702656</t>
  </si>
  <si>
    <t>2264571340002656</t>
  </si>
  <si>
    <t>9780275937904</t>
  </si>
  <si>
    <t>32285001288850</t>
  </si>
  <si>
    <t>893261989</t>
  </si>
  <si>
    <t>HV875.55 .W38 1993</t>
  </si>
  <si>
    <t>0                      HV 0875550W  38          1993</t>
  </si>
  <si>
    <t>Talking with young children about adoption / Mary Watkins and Susan Fisher.</t>
  </si>
  <si>
    <t>Watkins, Mary, 1950-</t>
  </si>
  <si>
    <t>New Haven : Yale University Press, c1993.</t>
  </si>
  <si>
    <t>2007-01-27</t>
  </si>
  <si>
    <t>1996-09-10</t>
  </si>
  <si>
    <t>329771:eng</t>
  </si>
  <si>
    <t>27147080</t>
  </si>
  <si>
    <t>991002118419702656</t>
  </si>
  <si>
    <t>2256063540002656</t>
  </si>
  <si>
    <t>9780300051780</t>
  </si>
  <si>
    <t>32285002316726</t>
  </si>
  <si>
    <t>893879513</t>
  </si>
  <si>
    <t>HV875.58.C2 S23 1989</t>
  </si>
  <si>
    <t>0                      HV 0875580C  2                  S  23          1989</t>
  </si>
  <si>
    <t>Unlocking the adoption files / Paul Sachdev.</t>
  </si>
  <si>
    <t>Sachdev, Paul.</t>
  </si>
  <si>
    <t>Lexington, Mass. : Lexington Books, c1989.</t>
  </si>
  <si>
    <t>1995-06-23</t>
  </si>
  <si>
    <t>21925339:eng</t>
  </si>
  <si>
    <t>19846910</t>
  </si>
  <si>
    <t>991001507139702656</t>
  </si>
  <si>
    <t>2265682920002656</t>
  </si>
  <si>
    <t>9780669209754</t>
  </si>
  <si>
    <t>32285002052370</t>
  </si>
  <si>
    <t>893785142</t>
  </si>
  <si>
    <t>HV875.64 .F44 1983</t>
  </si>
  <si>
    <t>0                      HV 0875640F  44          1983</t>
  </si>
  <si>
    <t>Chosen children : new patterns of adoptive relationships / William Feigelman and Arnold R. Silverman.</t>
  </si>
  <si>
    <t>Feigelman, William.</t>
  </si>
  <si>
    <t>New York, NY, U.S.A. : Praeger, 1983.</t>
  </si>
  <si>
    <t>312467988:eng</t>
  </si>
  <si>
    <t>9682706</t>
  </si>
  <si>
    <t>991000239259702656</t>
  </si>
  <si>
    <t>2264096150002656</t>
  </si>
  <si>
    <t>9780030623431</t>
  </si>
  <si>
    <t>32285000955244</t>
  </si>
  <si>
    <t>893884246</t>
  </si>
  <si>
    <t>HV875.64 .F64 2002</t>
  </si>
  <si>
    <t>0                      HV 0875640F  64          2002</t>
  </si>
  <si>
    <t>The ethics of transracial adoption / Hawley Fogg-Davis.</t>
  </si>
  <si>
    <t>Fogg-Davis, Hawley Grace, 1970-</t>
  </si>
  <si>
    <t>Ithaca : Cornell University Press, c2002.</t>
  </si>
  <si>
    <t>2007-08-22</t>
  </si>
  <si>
    <t>2002-09-12</t>
  </si>
  <si>
    <t>20949666:eng</t>
  </si>
  <si>
    <t>47665460</t>
  </si>
  <si>
    <t>991003888179702656</t>
  </si>
  <si>
    <t>2261715670002656</t>
  </si>
  <si>
    <t>9780801438981</t>
  </si>
  <si>
    <t>32285004655501</t>
  </si>
  <si>
    <t>893349327</t>
  </si>
  <si>
    <t>HV875.64 .S64 1988</t>
  </si>
  <si>
    <t>0                      HV 0875640S  64          1988</t>
  </si>
  <si>
    <t>Mothers and their adopted children : the bonding process / Dorothy W. Smith, Laurie N. Sherwen.</t>
  </si>
  <si>
    <t>Smith, Dorothy W.</t>
  </si>
  <si>
    <t>New York City : Tiresias Press, c1988.</t>
  </si>
  <si>
    <t>1991-12-30</t>
  </si>
  <si>
    <t>16821117:eng</t>
  </si>
  <si>
    <t>17783861</t>
  </si>
  <si>
    <t>991001263729702656</t>
  </si>
  <si>
    <t>2268063040002656</t>
  </si>
  <si>
    <t>9780913292402</t>
  </si>
  <si>
    <t>32285000881499</t>
  </si>
  <si>
    <t>893328019</t>
  </si>
  <si>
    <t>HV8756 .D82</t>
  </si>
  <si>
    <t>0                      HV 8756000D  82</t>
  </si>
  <si>
    <t>Correctional policy and prison organization / David Duffee.</t>
  </si>
  <si>
    <t>Duffee, David.</t>
  </si>
  <si>
    <t>[Beverly Hills] : Sage Publications ; New York : distributed by Halsted Press, [1975]</t>
  </si>
  <si>
    <t>1999-04-17</t>
  </si>
  <si>
    <t>1992-04-28</t>
  </si>
  <si>
    <t>2290385:eng</t>
  </si>
  <si>
    <t>1500323</t>
  </si>
  <si>
    <t>991003785049702656</t>
  </si>
  <si>
    <t>2260384950002656</t>
  </si>
  <si>
    <t>9780470223727</t>
  </si>
  <si>
    <t>32285001102291</t>
  </si>
  <si>
    <t>893429222</t>
  </si>
  <si>
    <t>HV881 .F36</t>
  </si>
  <si>
    <t>0                      HV 0881000F  36</t>
  </si>
  <si>
    <t>Children in foster care : a longitudinal investigation / David Fanshel and Eugene B. Shinn.</t>
  </si>
  <si>
    <t>Fanshel, David.</t>
  </si>
  <si>
    <t>New York : Columbia University Press, 1978.</t>
  </si>
  <si>
    <t>1992-09-09</t>
  </si>
  <si>
    <t>308989860:eng</t>
  </si>
  <si>
    <t>2818394</t>
  </si>
  <si>
    <t>991001767039702656</t>
  </si>
  <si>
    <t>2265210970002656</t>
  </si>
  <si>
    <t>9780231035767</t>
  </si>
  <si>
    <t>32285001297083</t>
  </si>
  <si>
    <t>893697015</t>
  </si>
  <si>
    <t>HV881 .P55 1992</t>
  </si>
  <si>
    <t>0                      HV 0881000P  55          1992</t>
  </si>
  <si>
    <t>When you place a child-- / by Erwin H. Plumer.</t>
  </si>
  <si>
    <t>Plumer, Erwin H.</t>
  </si>
  <si>
    <t>Springfield, Ill., U.S.A. : C.C. Thomas, Publisher, c1992.</t>
  </si>
  <si>
    <t>1993-01-05</t>
  </si>
  <si>
    <t>27391305:eng</t>
  </si>
  <si>
    <t>24590252</t>
  </si>
  <si>
    <t>991001945979702656</t>
  </si>
  <si>
    <t>2272652830002656</t>
  </si>
  <si>
    <t>9780398057701</t>
  </si>
  <si>
    <t>32285001404929</t>
  </si>
  <si>
    <t>893340859</t>
  </si>
  <si>
    <t>HV881 .T67 1997</t>
  </si>
  <si>
    <t>0                      HV 0881000T  67          1997</t>
  </si>
  <si>
    <t>Orphans of the living : stories of America's children in foster care / Jennifer Toth.</t>
  </si>
  <si>
    <t>Toth, Jennifer.</t>
  </si>
  <si>
    <t>New York : Simon &amp; Schuster, c1997.</t>
  </si>
  <si>
    <t>1997-07-15</t>
  </si>
  <si>
    <t>40251751:eng</t>
  </si>
  <si>
    <t>36103961</t>
  </si>
  <si>
    <t>991002751159702656</t>
  </si>
  <si>
    <t>2263222770002656</t>
  </si>
  <si>
    <t>9780684800974</t>
  </si>
  <si>
    <t>32285002882222</t>
  </si>
  <si>
    <t>893804984</t>
  </si>
  <si>
    <t>HV881 .W57</t>
  </si>
  <si>
    <t>0                      HV 0881000W  57</t>
  </si>
  <si>
    <t>Independent adoptions, a follow up study by Helen L. Witmer [and others]</t>
  </si>
  <si>
    <t>Witmer, Helen Leland.</t>
  </si>
  <si>
    <t>New York, Russell Sage Foundation, 1963.</t>
  </si>
  <si>
    <t>1995-12-09</t>
  </si>
  <si>
    <t>309088775:eng</t>
  </si>
  <si>
    <t>263673</t>
  </si>
  <si>
    <t>991002072639702656</t>
  </si>
  <si>
    <t>2268664640002656</t>
  </si>
  <si>
    <t>32285000906205</t>
  </si>
  <si>
    <t>893892097</t>
  </si>
  <si>
    <t>HV8836 .V4</t>
  </si>
  <si>
    <t>0                      HV 8836000V  4</t>
  </si>
  <si>
    <t>Problems of homosexuality in corrections, by Clyde B. Vedder and Patricia G. King.</t>
  </si>
  <si>
    <t>Vedder, Clyde B. (Clyde Bennett), 1903-</t>
  </si>
  <si>
    <t>Springfield, Ill., C. C. Thomas [1967]</t>
  </si>
  <si>
    <t>2007-09-23</t>
  </si>
  <si>
    <t>1381332:eng</t>
  </si>
  <si>
    <t>265049</t>
  </si>
  <si>
    <t>991002084399702656</t>
  </si>
  <si>
    <t>2265238880002656</t>
  </si>
  <si>
    <t>32285003159190</t>
  </si>
  <si>
    <t>893590896</t>
  </si>
  <si>
    <t>HV8836 .W66 1982</t>
  </si>
  <si>
    <t>0                      HV 8836000W  66          1982</t>
  </si>
  <si>
    <t>Men behind bars : sexual exploitation in prison / Wayne S. Wooden and Jay Parker.</t>
  </si>
  <si>
    <t>Wooden, Wayne S.</t>
  </si>
  <si>
    <t>New York : Plenum Press, c1982.</t>
  </si>
  <si>
    <t>438603:eng</t>
  </si>
  <si>
    <t>8588091</t>
  </si>
  <si>
    <t>991000024819702656</t>
  </si>
  <si>
    <t>2258122240002656</t>
  </si>
  <si>
    <t>9780306410741</t>
  </si>
  <si>
    <t>32285000183771</t>
  </si>
  <si>
    <t>893230816</t>
  </si>
  <si>
    <t>HV8843 .P76</t>
  </si>
  <si>
    <t>0                      HV 8843000P  76</t>
  </si>
  <si>
    <t>Prison homosexuality : myth and reality / Alice M. Propper.</t>
  </si>
  <si>
    <t>Propper, Alice M.</t>
  </si>
  <si>
    <t>793913120:eng</t>
  </si>
  <si>
    <t>7573664</t>
  </si>
  <si>
    <t>991005132599702656</t>
  </si>
  <si>
    <t>2271543770002656</t>
  </si>
  <si>
    <t>9780669036282</t>
  </si>
  <si>
    <t>32285001183010</t>
  </si>
  <si>
    <t>893688641</t>
  </si>
  <si>
    <t>HV885.N5 B46 2001</t>
  </si>
  <si>
    <t>0                      HV 0885000N  5                  B  46          2001</t>
  </si>
  <si>
    <t>The lost children of Wilder : the epic struggle to change foster care / Nina Bernstein.</t>
  </si>
  <si>
    <t>Bernstein, Nina, 1949-</t>
  </si>
  <si>
    <t>New York : Pantheon Books c2001.</t>
  </si>
  <si>
    <t>2001-08-14</t>
  </si>
  <si>
    <t>38997965:eng</t>
  </si>
  <si>
    <t>44548986</t>
  </si>
  <si>
    <t>991003591189702656</t>
  </si>
  <si>
    <t>2261565700002656</t>
  </si>
  <si>
    <t>9780679439790</t>
  </si>
  <si>
    <t>32285004377585</t>
  </si>
  <si>
    <t>893330522</t>
  </si>
  <si>
    <t>HV885.N5 R574 1988</t>
  </si>
  <si>
    <t>0                      HV 0885000N  5                  R  574         1988</t>
  </si>
  <si>
    <t>Sometimes God has a kid's face : letters from Covenant House / Bruce Ritter.</t>
  </si>
  <si>
    <t>Ritter, Bruce, 1927-</t>
  </si>
  <si>
    <t>[New York] : Covenant House, 1988.</t>
  </si>
  <si>
    <t>2161562:eng</t>
  </si>
  <si>
    <t>18455432</t>
  </si>
  <si>
    <t>991001352879702656</t>
  </si>
  <si>
    <t>2269592190002656</t>
  </si>
  <si>
    <t>32285000873025</t>
  </si>
  <si>
    <t>893797507</t>
  </si>
  <si>
    <t>HV8855 .A84 2010</t>
  </si>
  <si>
    <t>0                      HV 8855000A  84          2010</t>
  </si>
  <si>
    <t>Dress behind bars : prison clothing as criminality / Juliet Ash.</t>
  </si>
  <si>
    <t>Ash, Juliet, 1949-</t>
  </si>
  <si>
    <t>London ; New York : I.B. Tauris ; New York, N.Y. : Distributed in the U.S. by Palgrave Macmillan, 2010.</t>
  </si>
  <si>
    <t>483394723:eng</t>
  </si>
  <si>
    <t>432408598</t>
  </si>
  <si>
    <t>991000213679702656</t>
  </si>
  <si>
    <t>2259097500002656</t>
  </si>
  <si>
    <t>9781850438939</t>
  </si>
  <si>
    <t>32285005608145</t>
  </si>
  <si>
    <t>893345485</t>
  </si>
  <si>
    <t>HV887.E8 B67 1998</t>
  </si>
  <si>
    <t>0                      HV 0887000E  8                  B  67          1998</t>
  </si>
  <si>
    <t>The kindness of strangers : the abandonment of children in Western Europe from late antiquity to the Renaissance / John Boswell.</t>
  </si>
  <si>
    <t>Boswell, John, 1947-1994.</t>
  </si>
  <si>
    <t>Chicago : University of Chicago Press, 1998.</t>
  </si>
  <si>
    <t>University of Chicago Press ed.</t>
  </si>
  <si>
    <t>2006-04-08</t>
  </si>
  <si>
    <t>1999-09-09</t>
  </si>
  <si>
    <t>9429985302:eng</t>
  </si>
  <si>
    <t>38948345</t>
  </si>
  <si>
    <t>991002929759702656</t>
  </si>
  <si>
    <t>2264851100002656</t>
  </si>
  <si>
    <t>9780226067124</t>
  </si>
  <si>
    <t>32285003587465</t>
  </si>
  <si>
    <t>893692181</t>
  </si>
  <si>
    <t>HV887.V452 C376 1999</t>
  </si>
  <si>
    <t>0                      HV 0887000V  452                C  376         1999</t>
  </si>
  <si>
    <t>The street is my home : youth and violence in Caracas / Patricia C. Márquez.</t>
  </si>
  <si>
    <t>Márquez, Patricia C., 1965-</t>
  </si>
  <si>
    <t>Stanford, Calif. : Stanford University Press, c1999.</t>
  </si>
  <si>
    <t>197101828:eng</t>
  </si>
  <si>
    <t>40305572</t>
  </si>
  <si>
    <t>991003239999702656</t>
  </si>
  <si>
    <t>2262348080002656</t>
  </si>
  <si>
    <t>9780804734530</t>
  </si>
  <si>
    <t>32285003760773</t>
  </si>
  <si>
    <t>893336281</t>
  </si>
  <si>
    <t>HV888 .D35 1982</t>
  </si>
  <si>
    <t>0                      HV 0888000D  35          1982</t>
  </si>
  <si>
    <t>Children who are different : meeting the challenges of birth defects in society / Rosalyn Benjamin Darling, Jon Darling.</t>
  </si>
  <si>
    <t>Darling, Rosalyn Benjamin.</t>
  </si>
  <si>
    <t>St. Louis : Mosby, 1982.</t>
  </si>
  <si>
    <t>227397747:eng</t>
  </si>
  <si>
    <t>7946089</t>
  </si>
  <si>
    <t>991005181159702656</t>
  </si>
  <si>
    <t>2272729080002656</t>
  </si>
  <si>
    <t>9780801612275</t>
  </si>
  <si>
    <t>32285000008895</t>
  </si>
  <si>
    <t>893801874</t>
  </si>
  <si>
    <t>HV888 .F36 1986</t>
  </si>
  <si>
    <t>0                      HV 0888000F  36          1986</t>
  </si>
  <si>
    <t>Families of handicapped children : needs and supports across the lifespan / edited by Rebecca R. Fewell and Patricia F. Vadasy.</t>
  </si>
  <si>
    <t>Austin, Texas : PRO-ED, c1986.</t>
  </si>
  <si>
    <t>429651428:eng</t>
  </si>
  <si>
    <t>12163034</t>
  </si>
  <si>
    <t>991000651089702656</t>
  </si>
  <si>
    <t>2269975510002656</t>
  </si>
  <si>
    <t>9780936104843</t>
  </si>
  <si>
    <t>32285000838812</t>
  </si>
  <si>
    <t>893419655</t>
  </si>
  <si>
    <t>HV888 .H45</t>
  </si>
  <si>
    <t>0                      HV 0888000H  45</t>
  </si>
  <si>
    <t>A handicapped child in the family; a guide for parents.</t>
  </si>
  <si>
    <t>Heisler, Verda.</t>
  </si>
  <si>
    <t>New York, Grune &amp; Stratton [1972]</t>
  </si>
  <si>
    <t>1992-12-22</t>
  </si>
  <si>
    <t>465665:eng</t>
  </si>
  <si>
    <t>308658</t>
  </si>
  <si>
    <t>991002272219702656</t>
  </si>
  <si>
    <t>2266203310002656</t>
  </si>
  <si>
    <t>9780808907343</t>
  </si>
  <si>
    <t>32285001469302</t>
  </si>
  <si>
    <t>893439974</t>
  </si>
  <si>
    <t>HV888 .M55 1984</t>
  </si>
  <si>
    <t>0                      HV 0888000M  55          1984</t>
  </si>
  <si>
    <t>Daily living with a handicapped child / Diana M. Millard.</t>
  </si>
  <si>
    <t>Millard, Diana M.</t>
  </si>
  <si>
    <t>London ; Canberra : Croom Helm, 1984.</t>
  </si>
  <si>
    <t>xxk</t>
  </si>
  <si>
    <t>Croom Helm special education series</t>
  </si>
  <si>
    <t>1991-11-12</t>
  </si>
  <si>
    <t>5274155:eng</t>
  </si>
  <si>
    <t>12549902</t>
  </si>
  <si>
    <t>991000401669702656</t>
  </si>
  <si>
    <t>2258740900002656</t>
  </si>
  <si>
    <t>9780709917014</t>
  </si>
  <si>
    <t>32285000821289</t>
  </si>
  <si>
    <t>893419414</t>
  </si>
  <si>
    <t>HV888 .S23 1996</t>
  </si>
  <si>
    <t>0                      HV 0888000S  23          1996</t>
  </si>
  <si>
    <t>A history of childhood and disability / Philip L. Safford &amp; Elizabeth J. Safford ; foreword by Seymour Sarason.</t>
  </si>
  <si>
    <t>Safford, Philip L.</t>
  </si>
  <si>
    <t>New York : Teachers College Press, c1996.</t>
  </si>
  <si>
    <t>2000-11-14</t>
  </si>
  <si>
    <t>1996-03-07</t>
  </si>
  <si>
    <t>1005524:eng</t>
  </si>
  <si>
    <t>33132046</t>
  </si>
  <si>
    <t>991002549929702656</t>
  </si>
  <si>
    <t>2268840750002656</t>
  </si>
  <si>
    <t>9780807734858</t>
  </si>
  <si>
    <t>32285002140654</t>
  </si>
  <si>
    <t>893616262</t>
  </si>
  <si>
    <t>HV888.5 .S45 2007</t>
  </si>
  <si>
    <t>0                      HV 0888500S  45          2007</t>
  </si>
  <si>
    <t>Ordinary families, special children : a systems approach to childhood disability / Milton Seligman, Rosalyn Benjamin Darling.</t>
  </si>
  <si>
    <t>Seligman, Milton, 1937-</t>
  </si>
  <si>
    <t>New York : Guilford Press, c2007.</t>
  </si>
  <si>
    <t>2007-06-05</t>
  </si>
  <si>
    <t>837060248:eng</t>
  </si>
  <si>
    <t>73502359</t>
  </si>
  <si>
    <t>991005074009702656</t>
  </si>
  <si>
    <t>2267987550002656</t>
  </si>
  <si>
    <t>9781593853624</t>
  </si>
  <si>
    <t>32285005314777</t>
  </si>
  <si>
    <t>893520372</t>
  </si>
  <si>
    <t>HV8886.U5 H46 1982</t>
  </si>
  <si>
    <t>0                      HV 8886000U  5                  H  46          1982</t>
  </si>
  <si>
    <t>Imprisoned mothers and their children : a descriptive and analytical study / Zelma Weston Henriques.</t>
  </si>
  <si>
    <t>Henriques, Zelma Weston.</t>
  </si>
  <si>
    <t>30790328:eng</t>
  </si>
  <si>
    <t>8109408</t>
  </si>
  <si>
    <t>991005203069702656</t>
  </si>
  <si>
    <t>2261534120002656</t>
  </si>
  <si>
    <t>9780819122254</t>
  </si>
  <si>
    <t>32285001183036</t>
  </si>
  <si>
    <t>893320232</t>
  </si>
  <si>
    <t>HV8886.U5 P75 2003</t>
  </si>
  <si>
    <t>0                      HV 8886000U  5                  P  75          2003</t>
  </si>
  <si>
    <t>Prisoners once removed : the impact of incarceration and reentry on children, families, and communities / edited by Jeremy Travis and Michelle Waul.</t>
  </si>
  <si>
    <t>Washington, D.C. : Urban Institute Press, c2003.</t>
  </si>
  <si>
    <t>2005-05-31</t>
  </si>
  <si>
    <t>732119:eng</t>
  </si>
  <si>
    <t>52765783</t>
  </si>
  <si>
    <t>991004511949702656</t>
  </si>
  <si>
    <t>2263262400002656</t>
  </si>
  <si>
    <t>9780877667155</t>
  </si>
  <si>
    <t>32285005091565</t>
  </si>
  <si>
    <t>893259808</t>
  </si>
  <si>
    <t>HV890.G7 C65 1986</t>
  </si>
  <si>
    <t>0                      HV 0890000G  7                  C  65          1986</t>
  </si>
  <si>
    <t>Residential special education : living and learning in a special school / Ted Cole.</t>
  </si>
  <si>
    <t>Cole, Ted.</t>
  </si>
  <si>
    <t>Milton Keynes, England ; Philadelphia : Open University Press, 1986.</t>
  </si>
  <si>
    <t>Children with special needs series</t>
  </si>
  <si>
    <t>2009-09-21</t>
  </si>
  <si>
    <t>836641156:eng</t>
  </si>
  <si>
    <t>13560320</t>
  </si>
  <si>
    <t>991000845969702656</t>
  </si>
  <si>
    <t>2263579400002656</t>
  </si>
  <si>
    <t>9780335151240</t>
  </si>
  <si>
    <t>32285001682813</t>
  </si>
  <si>
    <t>893878401</t>
  </si>
  <si>
    <t>HV891 .M44</t>
  </si>
  <si>
    <t>0                      HV 0891000M  44</t>
  </si>
  <si>
    <t>Mental retardation : social and educational perspectives / [compiled by] Clifford J. Drew, Michael L. Hardman, Harry P. Bluhm ; with a foreword by Burton Blatt.</t>
  </si>
  <si>
    <t>Saint Louis : Mosby, 1977.</t>
  </si>
  <si>
    <t>2000-03-25</t>
  </si>
  <si>
    <t>4575249743:eng</t>
  </si>
  <si>
    <t>2862724</t>
  </si>
  <si>
    <t>991004265389702656</t>
  </si>
  <si>
    <t>2268251880002656</t>
  </si>
  <si>
    <t>9780801614620</t>
  </si>
  <si>
    <t>32285003156808</t>
  </si>
  <si>
    <t>893599630</t>
  </si>
  <si>
    <t>HV891 .M73 2006</t>
  </si>
  <si>
    <t>0                      HV 0891000M  73          2006</t>
  </si>
  <si>
    <t>Parenting your complex child : become a powerful advocate for the autistic, Down syndrome, PDD, bipolar, or other special-needs child / Peggy Lou Morgan.</t>
  </si>
  <si>
    <t>Morgan, Peggy Lou, 1950-</t>
  </si>
  <si>
    <t>New York : AMACOM, c2006.</t>
  </si>
  <si>
    <t>2006-03-22</t>
  </si>
  <si>
    <t>198191767:eng</t>
  </si>
  <si>
    <t>62302313</t>
  </si>
  <si>
    <t>991004769879702656</t>
  </si>
  <si>
    <t>2260166930002656</t>
  </si>
  <si>
    <t>9780814473160</t>
  </si>
  <si>
    <t>32285005167233</t>
  </si>
  <si>
    <t>893876564</t>
  </si>
  <si>
    <t>HV891 .W5</t>
  </si>
  <si>
    <t>0                      HV 0891000W  5</t>
  </si>
  <si>
    <t>The mentally retarded child: identification, acceptance, and curriculum, by Roy DeVerl Willey and Kathleen Barnette Waite.</t>
  </si>
  <si>
    <t>Willey, Roy De Verl.</t>
  </si>
  <si>
    <t>2000-04-18</t>
  </si>
  <si>
    <t>309137539:eng</t>
  </si>
  <si>
    <t>264111</t>
  </si>
  <si>
    <t>991002078479702656</t>
  </si>
  <si>
    <t>2268180670002656</t>
  </si>
  <si>
    <t>32285003156824</t>
  </si>
  <si>
    <t>893597000</t>
  </si>
  <si>
    <t>HV8964.C5 W85 1996</t>
  </si>
  <si>
    <t>0                      HV 8964000C  5                  W  85          1996</t>
  </si>
  <si>
    <t>Troublemaker : one man's crusade against China's cruelty / Harry Wu with George Vecsey.</t>
  </si>
  <si>
    <t>Wu, Hongda Harry.</t>
  </si>
  <si>
    <t>New York : Times Books, c1996.</t>
  </si>
  <si>
    <t>2000-12-02</t>
  </si>
  <si>
    <t>614177:eng</t>
  </si>
  <si>
    <t>34705050</t>
  </si>
  <si>
    <t>991002654629702656</t>
  </si>
  <si>
    <t>2264624600002656</t>
  </si>
  <si>
    <t>9780812963748</t>
  </si>
  <si>
    <t>32285002391893</t>
  </si>
  <si>
    <t>893691841</t>
  </si>
  <si>
    <t>HV8978.F7 P6 1969</t>
  </si>
  <si>
    <t>0                      HV 8978000F  7                  P  6           1969</t>
  </si>
  <si>
    <t>Elizabeth Fry.</t>
  </si>
  <si>
    <t>Pitman, Emma Raymond.</t>
  </si>
  <si>
    <t>New York, Greenwood Press [1969]</t>
  </si>
  <si>
    <t>1252798:eng</t>
  </si>
  <si>
    <t>200860</t>
  </si>
  <si>
    <t>991001227949702656</t>
  </si>
  <si>
    <t>2258939960002656</t>
  </si>
  <si>
    <t>32285003159265</t>
  </si>
  <si>
    <t>893690449</t>
  </si>
  <si>
    <t>HV90 .G53 1992</t>
  </si>
  <si>
    <t>0                      HV 0090000G  53          1992</t>
  </si>
  <si>
    <t>Social work almanac / by Leon Ginsberg.</t>
  </si>
  <si>
    <t>Ginsberg, Leon H.</t>
  </si>
  <si>
    <t>Washington, DC : NASW Press, c1992.</t>
  </si>
  <si>
    <t>1998-10-27</t>
  </si>
  <si>
    <t>28599529:eng</t>
  </si>
  <si>
    <t>26401528</t>
  </si>
  <si>
    <t>991002064939702656</t>
  </si>
  <si>
    <t>2265497880002656</t>
  </si>
  <si>
    <t>9780871011961</t>
  </si>
  <si>
    <t>32285001498921</t>
  </si>
  <si>
    <t>893603161</t>
  </si>
  <si>
    <t>HV901.G7 G43 1983</t>
  </si>
  <si>
    <t>0                      HV 0901000G  7                  G  43          1983</t>
  </si>
  <si>
    <t>Unshared care : parents and their disabled children / Caroline Glendinning.</t>
  </si>
  <si>
    <t>Glendinning, Caroline, 1950-</t>
  </si>
  <si>
    <t>London ; Boston : Routledge &amp; K. Paul, 1983.</t>
  </si>
  <si>
    <t>International library of social policy</t>
  </si>
  <si>
    <t>836721238:eng</t>
  </si>
  <si>
    <t>9413327</t>
  </si>
  <si>
    <t>991000192219702656</t>
  </si>
  <si>
    <t>2263970530002656</t>
  </si>
  <si>
    <t>9780710094681</t>
  </si>
  <si>
    <t>32285000134899</t>
  </si>
  <si>
    <t>893777774</t>
  </si>
  <si>
    <t>HV9025 .B68</t>
  </si>
  <si>
    <t>0                      HV 9025000B  68</t>
  </si>
  <si>
    <t>Prison victimization / Lee H. Bowker.</t>
  </si>
  <si>
    <t>New York : Elsevier, c1980.</t>
  </si>
  <si>
    <t>2008-03-20</t>
  </si>
  <si>
    <t>21955257:eng</t>
  </si>
  <si>
    <t>6356395</t>
  </si>
  <si>
    <t>991004969589702656</t>
  </si>
  <si>
    <t>2257134120002656</t>
  </si>
  <si>
    <t>9780444005519</t>
  </si>
  <si>
    <t>32285000065689</t>
  </si>
  <si>
    <t>893260379</t>
  </si>
  <si>
    <t>HV9025 .P74</t>
  </si>
  <si>
    <t>0                      HV 9025000P  74</t>
  </si>
  <si>
    <t>Prison violence / edited by Albert K. Cohen, George F. Cole, Robert G. Bailey.</t>
  </si>
  <si>
    <t>351190209:eng</t>
  </si>
  <si>
    <t>2188447</t>
  </si>
  <si>
    <t>991004041099702656</t>
  </si>
  <si>
    <t>2266710070002656</t>
  </si>
  <si>
    <t>9780669001853</t>
  </si>
  <si>
    <t>32285003159273</t>
  </si>
  <si>
    <t>893775530</t>
  </si>
  <si>
    <t>HV9025 .S94</t>
  </si>
  <si>
    <t>0                      HV 9025000S  94</t>
  </si>
  <si>
    <t>Prison homicide / by Sawyer F. Sylvester, John H. Reed, David O. Nelson.</t>
  </si>
  <si>
    <t>Sylvester, Sawyer F.</t>
  </si>
  <si>
    <t>Jamaica, N.Y. : Spectrum Publications ; New York : distributed by Halsted Press, c1977.</t>
  </si>
  <si>
    <t>Sociomedical science series</t>
  </si>
  <si>
    <t>8135936:eng</t>
  </si>
  <si>
    <t>3168117</t>
  </si>
  <si>
    <t>991004362499702656</t>
  </si>
  <si>
    <t>2262236570002656</t>
  </si>
  <si>
    <t>9780470991817</t>
  </si>
  <si>
    <t>32285001095644</t>
  </si>
  <si>
    <t>893706313</t>
  </si>
  <si>
    <t>HV903 .B47</t>
  </si>
  <si>
    <t>0                      HV 0903000B  47</t>
  </si>
  <si>
    <t>Individuals with physical disabilities : an introduction for educators / Gary A. Best.</t>
  </si>
  <si>
    <t>Best, Gary A., 1939-</t>
  </si>
  <si>
    <t>St. Louis : Mosby, 1978.</t>
  </si>
  <si>
    <t>2000-03-19</t>
  </si>
  <si>
    <t>309322268:eng</t>
  </si>
  <si>
    <t>4003556</t>
  </si>
  <si>
    <t>991004561989702656</t>
  </si>
  <si>
    <t>2267735760002656</t>
  </si>
  <si>
    <t>9780801606656</t>
  </si>
  <si>
    <t>32285001682854</t>
  </si>
  <si>
    <t>893350160</t>
  </si>
  <si>
    <t>HV9058 .S9 1972</t>
  </si>
  <si>
    <t>0                      HV 9058000S  9           1972</t>
  </si>
  <si>
    <t>Delinquency, crime, and society / edited by James F. Short, Jr. ; contributors, Daniel J. Abbott ... [et al.].</t>
  </si>
  <si>
    <t>Symposium on Juvenile Delinquency (1972 : University of Chicago)</t>
  </si>
  <si>
    <t>Chicago : University of Chicago Press, c1976.</t>
  </si>
  <si>
    <t>2000-03-01</t>
  </si>
  <si>
    <t>780900537:eng</t>
  </si>
  <si>
    <t>2034742</t>
  </si>
  <si>
    <t>991003987199702656</t>
  </si>
  <si>
    <t>2270276130002656</t>
  </si>
  <si>
    <t>9780226754680</t>
  </si>
  <si>
    <t>32285003159281</t>
  </si>
  <si>
    <t>893253105</t>
  </si>
  <si>
    <t>HV9064 .L8 1964</t>
  </si>
  <si>
    <t>0                      HV 9064000L  8           1964</t>
  </si>
  <si>
    <t>Statistics on delinquents and delinquency / by Walter A. Lunden.</t>
  </si>
  <si>
    <t>Springfield, Ill. : C. C. Thomas, [1964]</t>
  </si>
  <si>
    <t>1993-05-04</t>
  </si>
  <si>
    <t>1382901:eng</t>
  </si>
  <si>
    <t>265685</t>
  </si>
  <si>
    <t>991002096229702656</t>
  </si>
  <si>
    <t>2267787070002656</t>
  </si>
  <si>
    <t>32285001029171</t>
  </si>
  <si>
    <t>893866799</t>
  </si>
  <si>
    <t>HV9067.H6 H44 1999</t>
  </si>
  <si>
    <t>0                      HV 9067000H  6                  H  44          1999</t>
  </si>
  <si>
    <t>Young killers : the challenge of juvenile homicide / Kathleen M. Heide.</t>
  </si>
  <si>
    <t>Heide, Kathleen M.</t>
  </si>
  <si>
    <t>Thousand Oaks, Calif. : Sage Publications, c1999.</t>
  </si>
  <si>
    <t>2005-03-03</t>
  </si>
  <si>
    <t>1999-08-31</t>
  </si>
  <si>
    <t>42036212:eng</t>
  </si>
  <si>
    <t>39223637</t>
  </si>
  <si>
    <t>991002945719702656</t>
  </si>
  <si>
    <t>2270659980002656</t>
  </si>
  <si>
    <t>9780761900627</t>
  </si>
  <si>
    <t>32285003585246</t>
  </si>
  <si>
    <t>893616795</t>
  </si>
  <si>
    <t>HV9067.S48 D53 2009</t>
  </si>
  <si>
    <t>0                      HV 9067000S  48                 D  53          2009</t>
  </si>
  <si>
    <t>The perversion of youth : controversies in the assessment and treatment of juvenile sex offenders / Frank C. DiCataldo.</t>
  </si>
  <si>
    <t>DiCataldo, Frank C.</t>
  </si>
  <si>
    <t>New York : New York University Press, c2009.</t>
  </si>
  <si>
    <t>Psychology and crime series</t>
  </si>
  <si>
    <t>159582520:eng</t>
  </si>
  <si>
    <t>276816808</t>
  </si>
  <si>
    <t>991005334639702656</t>
  </si>
  <si>
    <t>2267800320002656</t>
  </si>
  <si>
    <t>9780814720011</t>
  </si>
  <si>
    <t>32285005544977</t>
  </si>
  <si>
    <t>893431250</t>
  </si>
  <si>
    <t>HV9069 .B52 1987</t>
  </si>
  <si>
    <t>0                      HV 9069000B  52          1987</t>
  </si>
  <si>
    <t>Behavioral approaches to crime and delinquency : a handbook of application, research, and concepts / edited by Edward K. Morris and Curtis J. Braukmann.</t>
  </si>
  <si>
    <t>New York : Plenum Press, c1987.</t>
  </si>
  <si>
    <t>2008-08-28</t>
  </si>
  <si>
    <t>836731893:eng</t>
  </si>
  <si>
    <t>16922669</t>
  </si>
  <si>
    <t>991001165019702656</t>
  </si>
  <si>
    <t>2271871750002656</t>
  </si>
  <si>
    <t>9780306426322</t>
  </si>
  <si>
    <t>32285000117639</t>
  </si>
  <si>
    <t>893709044</t>
  </si>
  <si>
    <t>HV9069 .C38 1978</t>
  </si>
  <si>
    <t>0                      HV 9069000C  38          1978</t>
  </si>
  <si>
    <t>The Changing faces of juvenile justice / edited by V. Lorne Stewart.</t>
  </si>
  <si>
    <t>New York : New York University Press, 1978.</t>
  </si>
  <si>
    <t>Monographs of the United Nations Crime Prevention and Criminal Justice Branch</t>
  </si>
  <si>
    <t>54203734:eng</t>
  </si>
  <si>
    <t>3540502</t>
  </si>
  <si>
    <t>991004458299702656</t>
  </si>
  <si>
    <t>2265818390002656</t>
  </si>
  <si>
    <t>9780814777886</t>
  </si>
  <si>
    <t>32285002029659</t>
  </si>
  <si>
    <t>893807089</t>
  </si>
  <si>
    <t>HV9069 .F45 1992</t>
  </si>
  <si>
    <t>0                      HV 9069000F  45          1992</t>
  </si>
  <si>
    <t>Group counseling with juvenile delinquents : the limit and lead approach / Matthew L. Ferrara.</t>
  </si>
  <si>
    <t>Ferrara, Matthew L.</t>
  </si>
  <si>
    <t>Newbury Park, CA : Sage Publications, 1992.</t>
  </si>
  <si>
    <t>Sage human services guides ; v. 65</t>
  </si>
  <si>
    <t>2001-02-08</t>
  </si>
  <si>
    <t>1995-07-21</t>
  </si>
  <si>
    <t>324370778:eng</t>
  </si>
  <si>
    <t>23143464</t>
  </si>
  <si>
    <t>991001842499702656</t>
  </si>
  <si>
    <t>2265660090002656</t>
  </si>
  <si>
    <t>9780803938854</t>
  </si>
  <si>
    <t>32285002075249</t>
  </si>
  <si>
    <t>893779132</t>
  </si>
  <si>
    <t>HV9069 .G46</t>
  </si>
  <si>
    <t>0                      HV 9069000G  46</t>
  </si>
  <si>
    <t>Cultural factors in delinquency / edited by T. C. N. Gibbens and R. H. Ahrenfeldt.</t>
  </si>
  <si>
    <t>Gibbens, T. C. N., editor.</t>
  </si>
  <si>
    <t>[London] : Tavistock Publications ; [Philadelphia] : Lippincott, [1966]</t>
  </si>
  <si>
    <t>2005-12-02</t>
  </si>
  <si>
    <t>1994-03-21</t>
  </si>
  <si>
    <t>598595558:eng</t>
  </si>
  <si>
    <t>383758</t>
  </si>
  <si>
    <t>991002639879702656</t>
  </si>
  <si>
    <t>2260515400002656</t>
  </si>
  <si>
    <t>32285001854545</t>
  </si>
  <si>
    <t>893616361</t>
  </si>
  <si>
    <t>HV9069 .G55</t>
  </si>
  <si>
    <t>0                      HV 9069000G  55</t>
  </si>
  <si>
    <t>Unraveling juvenile delinquency / Sheldon and Eleanor Glueck.</t>
  </si>
  <si>
    <t>Glueck, Sheldon, 1896-1980.</t>
  </si>
  <si>
    <t>New York : Commonwealth Fund, 1950.</t>
  </si>
  <si>
    <t>Harvard Law School studies in criminology</t>
  </si>
  <si>
    <t>2003-03-16</t>
  </si>
  <si>
    <t>1997-08-26</t>
  </si>
  <si>
    <t>132919100:eng</t>
  </si>
  <si>
    <t>2843840</t>
  </si>
  <si>
    <t>991004260789702656</t>
  </si>
  <si>
    <t>2264278790002656</t>
  </si>
  <si>
    <t>32285003159489</t>
  </si>
  <si>
    <t>893894766</t>
  </si>
  <si>
    <t>HV9069 .H23</t>
  </si>
  <si>
    <t>0                      HV 9069000H  23</t>
  </si>
  <si>
    <t>The juvenile offender and the law / by Paul H. Hahn, assisted by John P. O'Connor.</t>
  </si>
  <si>
    <t>Hahn, Paul H.</t>
  </si>
  <si>
    <t>Cincinnati : W. H. Anderson Co., [1971]</t>
  </si>
  <si>
    <t>Police text series ; v. 5</t>
  </si>
  <si>
    <t>1992-12-10</t>
  </si>
  <si>
    <t>1281538:eng</t>
  </si>
  <si>
    <t>209797</t>
  </si>
  <si>
    <t>991001265789702656</t>
  </si>
  <si>
    <t>2270872600002656</t>
  </si>
  <si>
    <t>32285001440220</t>
  </si>
  <si>
    <t>893866100</t>
  </si>
  <si>
    <t>HV9069 .H34</t>
  </si>
  <si>
    <t>0                      HV 9069000H  34</t>
  </si>
  <si>
    <t>Analyzing and predicting juvenile delinquency with the MMPI / ed. by Starke R. Hathaway [and] Elio D. Monachesi.</t>
  </si>
  <si>
    <t>Hathaway, Starke R. (Starke Rosecrans), 1903-1984.</t>
  </si>
  <si>
    <t>Minneapolis : Univ. of Minnesota Press, [1953]</t>
  </si>
  <si>
    <t>348448545:eng</t>
  </si>
  <si>
    <t>14679487</t>
  </si>
  <si>
    <t>991000951459702656</t>
  </si>
  <si>
    <t>2268729430002656</t>
  </si>
  <si>
    <t>32285001872612</t>
  </si>
  <si>
    <t>893897363</t>
  </si>
  <si>
    <t>HV9069 .J795 2004</t>
  </si>
  <si>
    <t>0                      HV 9069000J  795         2004</t>
  </si>
  <si>
    <t>Juvenile delinquency : understanding the origins of individual differences / Vernon L. Quinsey ... [et al.].</t>
  </si>
  <si>
    <t>Washington, DC : American Psychological Association, c2004.</t>
  </si>
  <si>
    <t>2004-09-15</t>
  </si>
  <si>
    <t>1078140450:eng</t>
  </si>
  <si>
    <t>51923594</t>
  </si>
  <si>
    <t>991004352649702656</t>
  </si>
  <si>
    <t>2259994880002656</t>
  </si>
  <si>
    <t>9781591470489</t>
  </si>
  <si>
    <t>32285004987540</t>
  </si>
  <si>
    <t>893229254</t>
  </si>
  <si>
    <t>HV9069 .M46 2005</t>
  </si>
  <si>
    <t>0                      HV 9069000M  46          2005</t>
  </si>
  <si>
    <t>Mental health screening and assessment in juvenile justice / edited by Thomas Grisso, Gina Vincent, Daniel Seagrave.</t>
  </si>
  <si>
    <t>New York : Guilford Press, c2005.</t>
  </si>
  <si>
    <t>2008-12-05</t>
  </si>
  <si>
    <t>2006-03-06</t>
  </si>
  <si>
    <t>364197039:eng</t>
  </si>
  <si>
    <t>56793793</t>
  </si>
  <si>
    <t>991004759639702656</t>
  </si>
  <si>
    <t>2257269340002656</t>
  </si>
  <si>
    <t>9781593851323</t>
  </si>
  <si>
    <t>32285005169163</t>
  </si>
  <si>
    <t>893801313</t>
  </si>
  <si>
    <t>HV9069 .S52 1969</t>
  </si>
  <si>
    <t>0                      HV 9069000S  52          1969</t>
  </si>
  <si>
    <t>Juvenile delinquency and urban areas; a study of rates of delinquency in relation to differential characteristics of local communities in American cities, by Clifford R. Shaw and Henry D. McKay. With a new introd. by James F. Short, Jr., and new chapters updating delinquency data for Chicago and suburbs by Henry D. McKay.</t>
  </si>
  <si>
    <t>Shaw, Clifford R. (Clifford Robe), 1895-1957.</t>
  </si>
  <si>
    <t>Chicago, University of Chicago Press [1969]</t>
  </si>
  <si>
    <t>1089561009:eng</t>
  </si>
  <si>
    <t>22948</t>
  </si>
  <si>
    <t>991001617889702656</t>
  </si>
  <si>
    <t>2268229460002656</t>
  </si>
  <si>
    <t>32285003159638</t>
  </si>
  <si>
    <t>893322083</t>
  </si>
  <si>
    <t>HV9076.5 .C47 1986</t>
  </si>
  <si>
    <t>0                      HV 9076500C  47          1986</t>
  </si>
  <si>
    <t>Children in adult prisons : an international perspective / edited by Katarina Tomaševski.</t>
  </si>
  <si>
    <t>New York : St. Martin's Press, 1986.</t>
  </si>
  <si>
    <t>366871965:eng</t>
  </si>
  <si>
    <t>12665676</t>
  </si>
  <si>
    <t>991000720869702656</t>
  </si>
  <si>
    <t>2264310540002656</t>
  </si>
  <si>
    <t>9780312132378</t>
  </si>
  <si>
    <t>32285001004893</t>
  </si>
  <si>
    <t>893708644</t>
  </si>
  <si>
    <t>HV9076.5 .H35</t>
  </si>
  <si>
    <t>0                      HV 9076500H  35</t>
  </si>
  <si>
    <t>Television and delinquency / by J. D. Halloran, R. L. Brown &amp; D. C. Chaney.</t>
  </si>
  <si>
    <t>Halloran, James D. (James Dermot)</t>
  </si>
  <si>
    <t>Leicester : Leicester U.P., 1970.</t>
  </si>
  <si>
    <t>Television Research Committee. Working paper no. 3</t>
  </si>
  <si>
    <t>2000-10-24</t>
  </si>
  <si>
    <t>1170993:eng</t>
  </si>
  <si>
    <t>101301</t>
  </si>
  <si>
    <t>991000614359702656</t>
  </si>
  <si>
    <t>2261335330002656</t>
  </si>
  <si>
    <t>9780718510886</t>
  </si>
  <si>
    <t>32285003159679</t>
  </si>
  <si>
    <t>893595717</t>
  </si>
  <si>
    <t>HV9091 .F87 1979</t>
  </si>
  <si>
    <t>0                      HV 9091000F  87          1979</t>
  </si>
  <si>
    <t>The Future of childhood and juvenile justice / edited by LaMar T. Empey ; contributors, LaMar T. Empey ... [et al.].</t>
  </si>
  <si>
    <t>Charlottesville : University Press of Virginia, 1979.</t>
  </si>
  <si>
    <t>425265773:eng</t>
  </si>
  <si>
    <t>6372680</t>
  </si>
  <si>
    <t>991004972659702656</t>
  </si>
  <si>
    <t>2267752130002656</t>
  </si>
  <si>
    <t>9780813908328</t>
  </si>
  <si>
    <t>32285000087287</t>
  </si>
  <si>
    <t>893325999</t>
  </si>
  <si>
    <t>HV9091 .J88</t>
  </si>
  <si>
    <t>0                      HV 9091000J  88</t>
  </si>
  <si>
    <t>The Juvenile court / introduction by Robert M. Mennel.</t>
  </si>
  <si>
    <t>New York : Arno Press, 1974.</t>
  </si>
  <si>
    <t>54013323:eng</t>
  </si>
  <si>
    <t>902718</t>
  </si>
  <si>
    <t>991003367319702656</t>
  </si>
  <si>
    <t>2262629400002656</t>
  </si>
  <si>
    <t>9780405059650</t>
  </si>
  <si>
    <t>32285002029667</t>
  </si>
  <si>
    <t>893258359</t>
  </si>
  <si>
    <t>HV9096.U5 H56</t>
  </si>
  <si>
    <t>0                      HV 9096000U  5                  H  56</t>
  </si>
  <si>
    <t>Causes of delinquency.</t>
  </si>
  <si>
    <t>Hirschi, Travis.</t>
  </si>
  <si>
    <t>Berkeley : University of California Press, 1969.</t>
  </si>
  <si>
    <t>500557:eng</t>
  </si>
  <si>
    <t>47920</t>
  </si>
  <si>
    <t>991000110329702656</t>
  </si>
  <si>
    <t>2262349320002656</t>
  </si>
  <si>
    <t>32285000975093</t>
  </si>
  <si>
    <t>893613901</t>
  </si>
  <si>
    <t>HV91 .A683 1996</t>
  </si>
  <si>
    <t>0                      HV 0091000A  683         1996</t>
  </si>
  <si>
    <t>The American welfare system : origins, structure, and effects / edited by Howard Gensler.</t>
  </si>
  <si>
    <t>1996-10-16</t>
  </si>
  <si>
    <t>836967336:eng</t>
  </si>
  <si>
    <t>32856371</t>
  </si>
  <si>
    <t>991002528009702656</t>
  </si>
  <si>
    <t>2271395080002656</t>
  </si>
  <si>
    <t>9780275952044</t>
  </si>
  <si>
    <t>32285002366374</t>
  </si>
  <si>
    <t>893786254</t>
  </si>
  <si>
    <t>HV91 .B713 2008</t>
  </si>
  <si>
    <t>0                      HV 0091000B  713         2008</t>
  </si>
  <si>
    <t>Stealing from each other : how the welfare state robs Americans of money and spirit / Edgar K. Browning.</t>
  </si>
  <si>
    <t>Browning, Edgar K.</t>
  </si>
  <si>
    <t>Westport, Conn. : Praeger, 2008.</t>
  </si>
  <si>
    <t>2009-07-20</t>
  </si>
  <si>
    <t>213138596:eng</t>
  </si>
  <si>
    <t>176861127</t>
  </si>
  <si>
    <t>991005327179702656</t>
  </si>
  <si>
    <t>2263040560002656</t>
  </si>
  <si>
    <t>9780313348228</t>
  </si>
  <si>
    <t>32285005538755</t>
  </si>
  <si>
    <t>893905378</t>
  </si>
  <si>
    <t>HV91 .C675</t>
  </si>
  <si>
    <t>0                      HV 0091000C  675</t>
  </si>
  <si>
    <t>Giving in America : toward a stronger voluntary sector : report of the Commission on Private Philanthropy and Public Needs.</t>
  </si>
  <si>
    <t>Commission on Private Philanthropy and Public Needs.</t>
  </si>
  <si>
    <t>[Washington] : The Commission, c1975.</t>
  </si>
  <si>
    <t>3651162:eng</t>
  </si>
  <si>
    <t>2058702</t>
  </si>
  <si>
    <t>991003995359702656</t>
  </si>
  <si>
    <t>2262905500002656</t>
  </si>
  <si>
    <t>32285003155636</t>
  </si>
  <si>
    <t>893794359</t>
  </si>
  <si>
    <t>HV91 .C6758 1992</t>
  </si>
  <si>
    <t>0                      HV 0091000C  6758        1992</t>
  </si>
  <si>
    <t>Controversial issues in social work / edited by Eileen Gambrill, Robert Pruger.</t>
  </si>
  <si>
    <t>Boston : Allyn and Bacon, c1992.</t>
  </si>
  <si>
    <t>356272580:eng</t>
  </si>
  <si>
    <t>24066090</t>
  </si>
  <si>
    <t>991001904239702656</t>
  </si>
  <si>
    <t>2262093460002656</t>
  </si>
  <si>
    <t>9780205129027</t>
  </si>
  <si>
    <t>32285002053188</t>
  </si>
  <si>
    <t>893334699</t>
  </si>
  <si>
    <t>HV91 .D462 1988</t>
  </si>
  <si>
    <t>0                      HV 0091000D  462         1988</t>
  </si>
  <si>
    <t>Democracy and the welfare state / edited by Amy Gutmann.</t>
  </si>
  <si>
    <t>Princeton, N.J. : Princeton University Press, c1988.</t>
  </si>
  <si>
    <t>Studies from the Project on the Federal Social Role</t>
  </si>
  <si>
    <t>138603829:eng</t>
  </si>
  <si>
    <t>17384028</t>
  </si>
  <si>
    <t>991001209599702656</t>
  </si>
  <si>
    <t>2269860310002656</t>
  </si>
  <si>
    <t>9780691022758</t>
  </si>
  <si>
    <t>32285001680742</t>
  </si>
  <si>
    <t>893696567</t>
  </si>
  <si>
    <t>HV91 .E453 1988</t>
  </si>
  <si>
    <t>0                      HV 0091000E  453         1988</t>
  </si>
  <si>
    <t>Poor support : poverty in the American family / David T. Ellwood.</t>
  </si>
  <si>
    <t>Ellwood, David T.</t>
  </si>
  <si>
    <t>1999-04-20</t>
  </si>
  <si>
    <t>15505281:eng</t>
  </si>
  <si>
    <t>17507301</t>
  </si>
  <si>
    <t>991001226009702656</t>
  </si>
  <si>
    <t>2271233540002656</t>
  </si>
  <si>
    <t>9780465059966</t>
  </si>
  <si>
    <t>32285001680775</t>
  </si>
  <si>
    <t>893496928</t>
  </si>
  <si>
    <t>HV91 .F684 1993</t>
  </si>
  <si>
    <t>0                      HV 0091000F  684         1993</t>
  </si>
  <si>
    <t>The kindness of strangers : adult mentors, urban youth, and the new voluntarism / Marc Freedman.</t>
  </si>
  <si>
    <t>Freedman, Marc.</t>
  </si>
  <si>
    <t>San Francisco, Calif. : Jossey-Bass, c1993.</t>
  </si>
  <si>
    <t>1994-01-26</t>
  </si>
  <si>
    <t>386194:eng</t>
  </si>
  <si>
    <t>28067683</t>
  </si>
  <si>
    <t>991002181359702656</t>
  </si>
  <si>
    <t>2258969800002656</t>
  </si>
  <si>
    <t>9781555425579</t>
  </si>
  <si>
    <t>32285001833630</t>
  </si>
  <si>
    <t>893885942</t>
  </si>
  <si>
    <t>HV91 .G34</t>
  </si>
  <si>
    <t>0                      HV 0091000G  34</t>
  </si>
  <si>
    <t>Self-help in the human services / Alan Gartner, Frank Riessman.</t>
  </si>
  <si>
    <t>Gartner, Alan.</t>
  </si>
  <si>
    <t>San Francisco : Jossey-Bass Publishers, 1977.</t>
  </si>
  <si>
    <t>2005-07-21</t>
  </si>
  <si>
    <t>1994-11-29</t>
  </si>
  <si>
    <t>9381054861:eng</t>
  </si>
  <si>
    <t>3365988</t>
  </si>
  <si>
    <t>991004416829702656</t>
  </si>
  <si>
    <t>2257762100002656</t>
  </si>
  <si>
    <t>9780875893389</t>
  </si>
  <si>
    <t>32285001968865</t>
  </si>
  <si>
    <t>893869691</t>
  </si>
  <si>
    <t>HV91 .G447 2004</t>
  </si>
  <si>
    <t>0                      HV 0091000G  447         2004</t>
  </si>
  <si>
    <t>What social workers do / by Margaret Gibelman.</t>
  </si>
  <si>
    <t>Washington, DC : NASW Press, [2004?]</t>
  </si>
  <si>
    <t>2005-11-08</t>
  </si>
  <si>
    <t>11468612:eng</t>
  </si>
  <si>
    <t>53477119</t>
  </si>
  <si>
    <t>991004408989702656</t>
  </si>
  <si>
    <t>2270430570002656</t>
  </si>
  <si>
    <t>9780871013644</t>
  </si>
  <si>
    <t>32285005145197</t>
  </si>
  <si>
    <t>893411501</t>
  </si>
  <si>
    <t>HV91 .G6</t>
  </si>
  <si>
    <t>0                      HV 0091000G  6</t>
  </si>
  <si>
    <t>The economics of welfare policies.</t>
  </si>
  <si>
    <t>Gordon, Margaret S.</t>
  </si>
  <si>
    <t>New York : Columbia University Press, 1963.</t>
  </si>
  <si>
    <t>1996-02-11</t>
  </si>
  <si>
    <t>1999-09-17</t>
  </si>
  <si>
    <t>1376515:eng</t>
  </si>
  <si>
    <t>263223</t>
  </si>
  <si>
    <t>991001620719702656</t>
  </si>
  <si>
    <t>2268591190002656</t>
  </si>
  <si>
    <t>32285001968857</t>
  </si>
  <si>
    <t>893351935</t>
  </si>
  <si>
    <t>HV91 .K34</t>
  </si>
  <si>
    <t>0                      HV 0091000K  34</t>
  </si>
  <si>
    <t>Give! Who gets your charity dollar?</t>
  </si>
  <si>
    <t>Katz, Harvey.</t>
  </si>
  <si>
    <t>2000-11-27</t>
  </si>
  <si>
    <t>2035157:eng</t>
  </si>
  <si>
    <t>1125074</t>
  </si>
  <si>
    <t>991003556699702656</t>
  </si>
  <si>
    <t>2268864450002656</t>
  </si>
  <si>
    <t>9780385022200</t>
  </si>
  <si>
    <t>32285003155685</t>
  </si>
  <si>
    <t>893262805</t>
  </si>
  <si>
    <t>HV91 .K349 1996</t>
  </si>
  <si>
    <t>0                      HV 0091000K  349         1996</t>
  </si>
  <si>
    <t>In the shadow of the poorhouse : a social history of welfare in America / Michael B. Katz.</t>
  </si>
  <si>
    <t>Katz, Michael B., 1939-2014.</t>
  </si>
  <si>
    <t>New York : BasicBooks, c1996.</t>
  </si>
  <si>
    <t>10th anniversary ed., rev. and updated.</t>
  </si>
  <si>
    <t>7562570:eng</t>
  </si>
  <si>
    <t>36127250</t>
  </si>
  <si>
    <t>991002753479702656</t>
  </si>
  <si>
    <t>2266637260002656</t>
  </si>
  <si>
    <t>9780465032105</t>
  </si>
  <si>
    <t>32285002431913</t>
  </si>
  <si>
    <t>893710645</t>
  </si>
  <si>
    <t>HV91 .K35 1983</t>
  </si>
  <si>
    <t>0                      HV 0091000K  35          1983</t>
  </si>
  <si>
    <t>Poverty and policy in American history / Michael B. Katz.</t>
  </si>
  <si>
    <t>Katz, M. B.</t>
  </si>
  <si>
    <t>New York : Academic Press, c1983.</t>
  </si>
  <si>
    <t>Studies in social discontinuity</t>
  </si>
  <si>
    <t>43134023:eng</t>
  </si>
  <si>
    <t>9282916</t>
  </si>
  <si>
    <t>991000165539702656</t>
  </si>
  <si>
    <t>2259750950002656</t>
  </si>
  <si>
    <t>9780124017627</t>
  </si>
  <si>
    <t>32285000246560</t>
  </si>
  <si>
    <t>893796486</t>
  </si>
  <si>
    <t>HV91 .L14 2006</t>
  </si>
  <si>
    <t>0                      HV 0091000L  14          2006</t>
  </si>
  <si>
    <t>Accountability in social services : the culture of the paper program / Jill Florence Lackey.</t>
  </si>
  <si>
    <t>Lackey, Jill Florence.</t>
  </si>
  <si>
    <t>Haworth health and social policy</t>
  </si>
  <si>
    <t>1030587290:eng</t>
  </si>
  <si>
    <t>61351646</t>
  </si>
  <si>
    <t>991004924309702656</t>
  </si>
  <si>
    <t>2258836210002656</t>
  </si>
  <si>
    <t>9780789023742</t>
  </si>
  <si>
    <t>32285005228415</t>
  </si>
  <si>
    <t>893600368</t>
  </si>
  <si>
    <t>HV91 .M285</t>
  </si>
  <si>
    <t>0                      HV 0091000M  285</t>
  </si>
  <si>
    <t>Voluntarism at the crossroads / Gordon Manser and Rosemary Higgins Cass.</t>
  </si>
  <si>
    <t>Manser, Gordon.</t>
  </si>
  <si>
    <t>New York : Family Service Association of America, c1976.</t>
  </si>
  <si>
    <t>4499910:eng</t>
  </si>
  <si>
    <t>2276547</t>
  </si>
  <si>
    <t>991004062729702656</t>
  </si>
  <si>
    <t>2271508750002656</t>
  </si>
  <si>
    <t>9780873041409</t>
  </si>
  <si>
    <t>32285001385409</t>
  </si>
  <si>
    <t>893888272</t>
  </si>
  <si>
    <t>HV91 .O33 1990</t>
  </si>
  <si>
    <t>0                      HV 0091000O  33          1990</t>
  </si>
  <si>
    <t>Charity begins at home : generosity and self-interest among the philanthropic elite / Teresa Odendahl.</t>
  </si>
  <si>
    <t>Odendahl, Teresa Jean.</t>
  </si>
  <si>
    <t>New York : Basic Books, c1990.</t>
  </si>
  <si>
    <t>2010-10-01</t>
  </si>
  <si>
    <t>1991-11-26</t>
  </si>
  <si>
    <t>203425668:eng</t>
  </si>
  <si>
    <t>20631473</t>
  </si>
  <si>
    <t>991001597889702656</t>
  </si>
  <si>
    <t>2260750940002656</t>
  </si>
  <si>
    <t>9780465009626</t>
  </si>
  <si>
    <t>32285000817667</t>
  </si>
  <si>
    <t>893709376</t>
  </si>
  <si>
    <t>HV91 .P37</t>
  </si>
  <si>
    <t>0                      HV 0091000P  37</t>
  </si>
  <si>
    <t>Paraprofessionals in the human services / edited by Stanley S. Robin and Morton O. Wagenfeld.</t>
  </si>
  <si>
    <t>New York : Human Sciences Press, c1981.</t>
  </si>
  <si>
    <t>Community psychology series ; v. 6</t>
  </si>
  <si>
    <t>1992-11-17</t>
  </si>
  <si>
    <t>427005167:eng</t>
  </si>
  <si>
    <t>6447115</t>
  </si>
  <si>
    <t>991004984889702656</t>
  </si>
  <si>
    <t>2255618040002656</t>
  </si>
  <si>
    <t>9780877054900</t>
  </si>
  <si>
    <t>32285000246594</t>
  </si>
  <si>
    <t>893326014</t>
  </si>
  <si>
    <t>HV91 .P38 1998</t>
  </si>
  <si>
    <t>0                      HV 0091000P  38          1998</t>
  </si>
  <si>
    <t>Overcoming welfare : expecting more from the poor--and from ourselves / James L. Payne.</t>
  </si>
  <si>
    <t>Payne, James L.</t>
  </si>
  <si>
    <t>New York : Basic Books, c1998.</t>
  </si>
  <si>
    <t>2002-12-04</t>
  </si>
  <si>
    <t>1998-07-16</t>
  </si>
  <si>
    <t>340397013:eng</t>
  </si>
  <si>
    <t>38295157</t>
  </si>
  <si>
    <t>991002903839702656</t>
  </si>
  <si>
    <t>2263001800002656</t>
  </si>
  <si>
    <t>9780465069248</t>
  </si>
  <si>
    <t>32285003432555</t>
  </si>
  <si>
    <t>893498694</t>
  </si>
  <si>
    <t>HV91 .P68 2005</t>
  </si>
  <si>
    <t>0                      HV 0091000P  68          2005</t>
  </si>
  <si>
    <t>Social work, social welfare, and American society / Philip R. Popple, Leslie Leighninger.</t>
  </si>
  <si>
    <t>Popple, Philip R.</t>
  </si>
  <si>
    <t>6th ed.</t>
  </si>
  <si>
    <t>2005-09-22</t>
  </si>
  <si>
    <t>2005-01-19</t>
  </si>
  <si>
    <t>6362066:eng</t>
  </si>
  <si>
    <t>56198580</t>
  </si>
  <si>
    <t>991004424259702656</t>
  </si>
  <si>
    <t>2272573150002656</t>
  </si>
  <si>
    <t>9780205401819</t>
  </si>
  <si>
    <t>32285005022016</t>
  </si>
  <si>
    <t>893506835</t>
  </si>
  <si>
    <t>HV91 .P734 1999</t>
  </si>
  <si>
    <t>0                      HV 0091000P  734         1999</t>
  </si>
  <si>
    <t>Preserving and strengthening small towns and rural communities / Iris B. Carlton-LaNey, Richard L. Edwards, and P. Nelson Reid, editors.</t>
  </si>
  <si>
    <t>2003-03-19</t>
  </si>
  <si>
    <t>475787776:eng</t>
  </si>
  <si>
    <t>41412041</t>
  </si>
  <si>
    <t>991004007649702656</t>
  </si>
  <si>
    <t>2257855450002656</t>
  </si>
  <si>
    <t>9780871013101</t>
  </si>
  <si>
    <t>32285004684873</t>
  </si>
  <si>
    <t>893324817</t>
  </si>
  <si>
    <t>HV91 .R36 1994</t>
  </si>
  <si>
    <t>0                      HV 0091000R  36          1994</t>
  </si>
  <si>
    <t>Living on the edge : the realities of welfare in America / Mark Robert Rank.</t>
  </si>
  <si>
    <t>Rank, Mark R.</t>
  </si>
  <si>
    <t>New York : Columbia University Press, c1994.</t>
  </si>
  <si>
    <t>2007-10-12</t>
  </si>
  <si>
    <t>1996-03-19</t>
  </si>
  <si>
    <t>991436:eng</t>
  </si>
  <si>
    <t>28221561</t>
  </si>
  <si>
    <t>991002195189702656</t>
  </si>
  <si>
    <t>2261603970002656</t>
  </si>
  <si>
    <t>9780231084246</t>
  </si>
  <si>
    <t>32285002144888</t>
  </si>
  <si>
    <t>893504112</t>
  </si>
  <si>
    <t>HV91 .R363 2004</t>
  </si>
  <si>
    <t>0                      HV 0091000R  363         2004</t>
  </si>
  <si>
    <t>One nation, underprivileged : why American poverty affects us all / Mark Robert Rank.</t>
  </si>
  <si>
    <t>2004-07-11</t>
  </si>
  <si>
    <t>793951442:eng</t>
  </si>
  <si>
    <t>52334871</t>
  </si>
  <si>
    <t>991004304519702656</t>
  </si>
  <si>
    <t>2256678620002656</t>
  </si>
  <si>
    <t>9780195101683</t>
  </si>
  <si>
    <t>32285004922893</t>
  </si>
  <si>
    <t>893319042</t>
  </si>
  <si>
    <t>HV91 .R46</t>
  </si>
  <si>
    <t>0                      HV 0091000R  46</t>
  </si>
  <si>
    <t>Welfare : the social issues in philosophical perspective.</t>
  </si>
  <si>
    <t>Rescher, Nicholas.</t>
  </si>
  <si>
    <t>[Pittsburgh] University of Pittsburgh Press [1972]</t>
  </si>
  <si>
    <t>483715781:eng</t>
  </si>
  <si>
    <t>266713</t>
  </si>
  <si>
    <t>991002107609702656</t>
  </si>
  <si>
    <t>2269207790002656</t>
  </si>
  <si>
    <t>9780822932338</t>
  </si>
  <si>
    <t>32285002464344</t>
  </si>
  <si>
    <t>893352158</t>
  </si>
  <si>
    <t>HV91 .R727 1980</t>
  </si>
  <si>
    <t>0                      HV 0091000R  727         1980</t>
  </si>
  <si>
    <t>Conscience and convenience : the asylum and its alternatives in progressive America / David J. Rothman.</t>
  </si>
  <si>
    <t>Rothman, David J.</t>
  </si>
  <si>
    <t>Boston : Little, Brown, c1980.</t>
  </si>
  <si>
    <t>1999-02-17</t>
  </si>
  <si>
    <t>800682988:eng</t>
  </si>
  <si>
    <t>5674858</t>
  </si>
  <si>
    <t>991001666539702656</t>
  </si>
  <si>
    <t>2260281870002656</t>
  </si>
  <si>
    <t>9780316757744</t>
  </si>
  <si>
    <t>32285000246610</t>
  </si>
  <si>
    <t>893885464</t>
  </si>
  <si>
    <t>HV91 .R772 1989</t>
  </si>
  <si>
    <t>0                      HV 0091000R  772         1989</t>
  </si>
  <si>
    <t>Rural poverty : special causes and policy reforms / edited by Harrell R. Rodgers, Jr., and Gregory Weiher ; prepared under the auspices of the Policy Studies Organization.</t>
  </si>
  <si>
    <t>Studies in social welfare policies and programs, 8755-5360 ; no. 12</t>
  </si>
  <si>
    <t>1998-10-25</t>
  </si>
  <si>
    <t>836840910:eng</t>
  </si>
  <si>
    <t>19130306</t>
  </si>
  <si>
    <t>991001436499702656</t>
  </si>
  <si>
    <t>2261640300002656</t>
  </si>
  <si>
    <t>9780313266300</t>
  </si>
  <si>
    <t>32285000463751</t>
  </si>
  <si>
    <t>893315779</t>
  </si>
  <si>
    <t>HV91 .S33</t>
  </si>
  <si>
    <t>0                      HV 0091000S  33</t>
  </si>
  <si>
    <t>Poverty in America : the welfare dilemma / Ralph Segalman, Asoke Basu.</t>
  </si>
  <si>
    <t>Segalman, Ralph.</t>
  </si>
  <si>
    <t>Westport, Conn. : Greenwood Press, c1981.</t>
  </si>
  <si>
    <t>Contributions in sociology, 0084-9278 ; no. 39</t>
  </si>
  <si>
    <t>445352:eng</t>
  </si>
  <si>
    <t>5800728</t>
  </si>
  <si>
    <t>991004878699702656</t>
  </si>
  <si>
    <t>2263781590002656</t>
  </si>
  <si>
    <t>9780313207518</t>
  </si>
  <si>
    <t>32285000120328</t>
  </si>
  <si>
    <t>893776540</t>
  </si>
  <si>
    <t>HV91 .S625 1998</t>
  </si>
  <si>
    <t>0                      HV 0091000S  625         1998</t>
  </si>
  <si>
    <t>Social work in rural communities / edited by Leon H. Ginsberg.</t>
  </si>
  <si>
    <t>Alexandria, Va. : Council on Social Work Education, 1998.</t>
  </si>
  <si>
    <t>55705183:eng</t>
  </si>
  <si>
    <t>38355859</t>
  </si>
  <si>
    <t>991004471329702656</t>
  </si>
  <si>
    <t>2255228170002656</t>
  </si>
  <si>
    <t>32285005041149</t>
  </si>
  <si>
    <t>893506891</t>
  </si>
  <si>
    <t>HV91 .S6267 1995</t>
  </si>
  <si>
    <t>0                      HV 0091000S  6267        1995</t>
  </si>
  <si>
    <t>Conducting needs assessments : a multidisciplinary approach / Fernando I. Soriano.</t>
  </si>
  <si>
    <t>Soriano, Fernando I.</t>
  </si>
  <si>
    <t>Thousand Oaks : Sage Publications, c1995.</t>
  </si>
  <si>
    <t>Sage human services guide ; 68</t>
  </si>
  <si>
    <t>2003-10-10</t>
  </si>
  <si>
    <t>797258607:eng</t>
  </si>
  <si>
    <t>32166625</t>
  </si>
  <si>
    <t>991003476019702656</t>
  </si>
  <si>
    <t>2266183970002656</t>
  </si>
  <si>
    <t>9780803952119</t>
  </si>
  <si>
    <t>32285004293535</t>
  </si>
  <si>
    <t>893604828</t>
  </si>
  <si>
    <t>HV91 .S64</t>
  </si>
  <si>
    <t>0                      HV 0091000S  64</t>
  </si>
  <si>
    <t>Public welfare / Arthur Spindler.</t>
  </si>
  <si>
    <t>Spindler, Arthur.</t>
  </si>
  <si>
    <t>New York : Human Sciences Press, c1979.</t>
  </si>
  <si>
    <t>1994-11-14</t>
  </si>
  <si>
    <t>535336:eng</t>
  </si>
  <si>
    <t>4056597</t>
  </si>
  <si>
    <t>991004580239702656</t>
  </si>
  <si>
    <t>2272107700002656</t>
  </si>
  <si>
    <t>9780877053255</t>
  </si>
  <si>
    <t>32285001680841</t>
  </si>
  <si>
    <t>893423969</t>
  </si>
  <si>
    <t>HV91 .W24 2000</t>
  </si>
  <si>
    <t>0                      HV 0091000W  24          2000</t>
  </si>
  <si>
    <t>What's love got to do with it? : a critical look at American charity / David Wagner.</t>
  </si>
  <si>
    <t>Wagner, David.</t>
  </si>
  <si>
    <t>New York : New Press, c2000.</t>
  </si>
  <si>
    <t>2002-01-07</t>
  </si>
  <si>
    <t>13494274:eng</t>
  </si>
  <si>
    <t>41516629</t>
  </si>
  <si>
    <t>991003686369702656</t>
  </si>
  <si>
    <t>2257875550002656</t>
  </si>
  <si>
    <t>9781565844131</t>
  </si>
  <si>
    <t>32285004445879</t>
  </si>
  <si>
    <t>893717976</t>
  </si>
  <si>
    <t>HV91 .W4</t>
  </si>
  <si>
    <t>0                      HV 0091000W  4</t>
  </si>
  <si>
    <t>The charity organization movement in the United States; a study in American philanthropy, by Frank Dekker Watson ...</t>
  </si>
  <si>
    <t>Watson, Frank Dekker.</t>
  </si>
  <si>
    <t>New York, The Macmillan Company, 1922.</t>
  </si>
  <si>
    <t>1922</t>
  </si>
  <si>
    <t>1995-02-28</t>
  </si>
  <si>
    <t>1432726:eng</t>
  </si>
  <si>
    <t>501441</t>
  </si>
  <si>
    <t>991002873799702656</t>
  </si>
  <si>
    <t>2256686530002656</t>
  </si>
  <si>
    <t>9780405031304</t>
  </si>
  <si>
    <t>32285002010857</t>
  </si>
  <si>
    <t>893874119</t>
  </si>
  <si>
    <t>HV91 .W47 1982</t>
  </si>
  <si>
    <t>0                      HV 0091000W  47          1982</t>
  </si>
  <si>
    <t>Welfare reform in America : perspectives and prospects / Paul M. Sommers, editor.</t>
  </si>
  <si>
    <t>Boston : Kluwer-Nijhoff, c1982.</t>
  </si>
  <si>
    <t>Middlebury conference series on economic issues</t>
  </si>
  <si>
    <t>2000-04-13</t>
  </si>
  <si>
    <t>367470309:eng</t>
  </si>
  <si>
    <t>7732593</t>
  </si>
  <si>
    <t>991005151159702656</t>
  </si>
  <si>
    <t>2257080680002656</t>
  </si>
  <si>
    <t>9780898380798</t>
  </si>
  <si>
    <t>32285000246677</t>
  </si>
  <si>
    <t>893520520</t>
  </si>
  <si>
    <t>HV91 .W627 1995</t>
  </si>
  <si>
    <t>0                      HV 0091000W  627         1995</t>
  </si>
  <si>
    <t>The work alternative : welfare reform and the realities of the job market / Demetra Smith Nightingale, Robert H. Haveman, editors.</t>
  </si>
  <si>
    <t>Washington, D.C. : Urban Institute Press, c1995.</t>
  </si>
  <si>
    <t>1996-01-02</t>
  </si>
  <si>
    <t>476660607:eng</t>
  </si>
  <si>
    <t>31328375</t>
  </si>
  <si>
    <t>991002407499702656</t>
  </si>
  <si>
    <t>2256806820002656</t>
  </si>
  <si>
    <t>9780877666233</t>
  </si>
  <si>
    <t>32285002113602</t>
  </si>
  <si>
    <t>893347464</t>
  </si>
  <si>
    <t>HV9104 .A82 1996</t>
  </si>
  <si>
    <t>0                      HV 9104000A  82          1996</t>
  </si>
  <si>
    <t>Background factors of juvenile delinquency / Huub Angenent &amp; Anton de Man.</t>
  </si>
  <si>
    <t>Angenent, Huub.</t>
  </si>
  <si>
    <t>New York : P. Lang, c1996.</t>
  </si>
  <si>
    <t>American university studies. Series XI, Anthropology and sociology, 0740-0489 ; vol. 68</t>
  </si>
  <si>
    <t>2004-07-22</t>
  </si>
  <si>
    <t>1996-05-15</t>
  </si>
  <si>
    <t>38283942:eng</t>
  </si>
  <si>
    <t>33045065</t>
  </si>
  <si>
    <t>991002542659702656</t>
  </si>
  <si>
    <t>2264871900002656</t>
  </si>
  <si>
    <t>9780820428901</t>
  </si>
  <si>
    <t>32285002168622</t>
  </si>
  <si>
    <t>893697934</t>
  </si>
  <si>
    <t>HV9104 .B45</t>
  </si>
  <si>
    <t>0                      HV 9104000B  45</t>
  </si>
  <si>
    <t>The effects of the juvenile justice system on self-concept / Dennis C. Bliss.</t>
  </si>
  <si>
    <t>Bliss, Dennis C.</t>
  </si>
  <si>
    <t>7224459:eng</t>
  </si>
  <si>
    <t>3019870</t>
  </si>
  <si>
    <t>991004322109702656</t>
  </si>
  <si>
    <t>2255994460002656</t>
  </si>
  <si>
    <t>9780882474335</t>
  </si>
  <si>
    <t>32285001440204</t>
  </si>
  <si>
    <t>893869590</t>
  </si>
  <si>
    <t>HV9104 .C44</t>
  </si>
  <si>
    <t>0                      HV 9104000C  44</t>
  </si>
  <si>
    <t>Children in confinement. Introd. by Robert M. Mennel.</t>
  </si>
  <si>
    <t>New York, Arno Press, 1974.</t>
  </si>
  <si>
    <t>2089984:eng</t>
  </si>
  <si>
    <t>1186774</t>
  </si>
  <si>
    <t>991003606439702656</t>
  </si>
  <si>
    <t>2266761200002656</t>
  </si>
  <si>
    <t>9780405059544</t>
  </si>
  <si>
    <t>32285003159737</t>
  </si>
  <si>
    <t>893234346</t>
  </si>
  <si>
    <t>HV9104 .E438 1999</t>
  </si>
  <si>
    <t>0                      HV 9104000E  438         1999</t>
  </si>
  <si>
    <t>Superpredators : the demonization of our children by the law / Peter Elikann ; foreword by Mark Klaas.</t>
  </si>
  <si>
    <t>Elikann, Peter T.</t>
  </si>
  <si>
    <t>New York : Insight Books, c1999.</t>
  </si>
  <si>
    <t>2000-03-13</t>
  </si>
  <si>
    <t>942227:eng</t>
  </si>
  <si>
    <t>40698539</t>
  </si>
  <si>
    <t>991003003799702656</t>
  </si>
  <si>
    <t>2264478460002656</t>
  </si>
  <si>
    <t>9780306460074</t>
  </si>
  <si>
    <t>32285003668778</t>
  </si>
  <si>
    <t>893887027</t>
  </si>
  <si>
    <t>HV9104 .E445 1985</t>
  </si>
  <si>
    <t>0                      HV 9104000E  445         1985</t>
  </si>
  <si>
    <t>Explaining delinquency and drug use / Delbert S. Elliott, David Huizinga, Suzanne S. Ageton.</t>
  </si>
  <si>
    <t>Elliott, Delbert S.</t>
  </si>
  <si>
    <t>Beverly Hills, Calif. : Sage Publications, c1985.</t>
  </si>
  <si>
    <t>1992-07-15</t>
  </si>
  <si>
    <t>4209017:eng</t>
  </si>
  <si>
    <t>11346477</t>
  </si>
  <si>
    <t>991000523449702656</t>
  </si>
  <si>
    <t>2262933640002656</t>
  </si>
  <si>
    <t>9780803924048</t>
  </si>
  <si>
    <t>32285001183192</t>
  </si>
  <si>
    <t>893315018</t>
  </si>
  <si>
    <t>HV9104 .E447 1989</t>
  </si>
  <si>
    <t>0                      HV 9104000E  447         1989</t>
  </si>
  <si>
    <t>Multiple problem youth : delinquency, substance use, and mental health problems / Delbert S. Elliott, David Huizinga, Scott Menard.</t>
  </si>
  <si>
    <t>New York : Springer-Verlag, c1989.</t>
  </si>
  <si>
    <t>1990-06-22</t>
  </si>
  <si>
    <t>18868265:eng</t>
  </si>
  <si>
    <t>18780296</t>
  </si>
  <si>
    <t>991001394189702656</t>
  </si>
  <si>
    <t>2260428100002656</t>
  </si>
  <si>
    <t>9780387969251</t>
  </si>
  <si>
    <t>32285000179597</t>
  </si>
  <si>
    <t>893878861</t>
  </si>
  <si>
    <t>HV9104 .G83 1998</t>
  </si>
  <si>
    <t>0                      HV 9104000G  83          1998</t>
  </si>
  <si>
    <t>Balancing juvenile justice / Susan Guarino-Ghezzi and Edward J. Loughran.</t>
  </si>
  <si>
    <t>Guarino-Ghezzi, Susan.</t>
  </si>
  <si>
    <t>New Brunswick, NJ : Transaction Publishers, 1998, c1996.</t>
  </si>
  <si>
    <t>1999-05-19</t>
  </si>
  <si>
    <t>762021:eng</t>
  </si>
  <si>
    <t>41391118</t>
  </si>
  <si>
    <t>991003027149702656</t>
  </si>
  <si>
    <t>2260879470002656</t>
  </si>
  <si>
    <t>9780765804532</t>
  </si>
  <si>
    <t>32285003571261</t>
  </si>
  <si>
    <t>893505121</t>
  </si>
  <si>
    <t>HV9104 .H24 1987</t>
  </si>
  <si>
    <t>0                      HV 9104000H  24          1987</t>
  </si>
  <si>
    <t>Handbook of juvenile delinquency / Herbert C. Quay, editor.</t>
  </si>
  <si>
    <t>New York : Wiley, c1987.</t>
  </si>
  <si>
    <t>Wiley series on personality processes</t>
  </si>
  <si>
    <t>2006-03-09</t>
  </si>
  <si>
    <t>9040746:eng</t>
  </si>
  <si>
    <t>15082992</t>
  </si>
  <si>
    <t>991000987139702656</t>
  </si>
  <si>
    <t>2257287840002656</t>
  </si>
  <si>
    <t>9780471817079</t>
  </si>
  <si>
    <t>32285001183226</t>
  </si>
  <si>
    <t>893522190</t>
  </si>
  <si>
    <t>HV9104 .J87</t>
  </si>
  <si>
    <t>0                      HV 9104000J  87</t>
  </si>
  <si>
    <t>The Juvenile justice system / Malcolm W. Klein, editor.</t>
  </si>
  <si>
    <t>Sage criminal justice system annuals ; v. 5</t>
  </si>
  <si>
    <t>54119873:eng</t>
  </si>
  <si>
    <t>2281942</t>
  </si>
  <si>
    <t>991001759489702656</t>
  </si>
  <si>
    <t>2268085600002656</t>
  </si>
  <si>
    <t>9780803904507</t>
  </si>
  <si>
    <t>32285001183234</t>
  </si>
  <si>
    <t>893785371</t>
  </si>
  <si>
    <t>HV9104 .K37</t>
  </si>
  <si>
    <t>0                      HV 9104000K  37</t>
  </si>
  <si>
    <t>Juvenile delinquency and the juvenile justice system / Daniel Katkin, Drew Hyman, John Kramer.</t>
  </si>
  <si>
    <t>Maier-Katkin, Daniel, 1945-</t>
  </si>
  <si>
    <t>North Scituate, Mass. : Duxbury Press, c1976.</t>
  </si>
  <si>
    <t>343122527:eng</t>
  </si>
  <si>
    <t>2212883</t>
  </si>
  <si>
    <t>991004051009702656</t>
  </si>
  <si>
    <t>2255680160002656</t>
  </si>
  <si>
    <t>9780878721047</t>
  </si>
  <si>
    <t>32285001051688</t>
  </si>
  <si>
    <t>893331148</t>
  </si>
  <si>
    <t>HV9104 .K38 1998</t>
  </si>
  <si>
    <t>0                      HV 9104000K  38          1998</t>
  </si>
  <si>
    <t>When good kids kill / by Michael D. Kelleher.</t>
  </si>
  <si>
    <t>Kelleher, Michael D.</t>
  </si>
  <si>
    <t>Westport, Conn. : Praeger, 1998.</t>
  </si>
  <si>
    <t>1999-02-09</t>
  </si>
  <si>
    <t>2580476:eng</t>
  </si>
  <si>
    <t>39060703</t>
  </si>
  <si>
    <t>991002936709702656</t>
  </si>
  <si>
    <t>2255760930002656</t>
  </si>
  <si>
    <t>9780275964108</t>
  </si>
  <si>
    <t>32285003518254</t>
  </si>
  <si>
    <t>893535262</t>
  </si>
  <si>
    <t>HV9104 .K546 1999</t>
  </si>
  <si>
    <t>0                      HV 9104000K  546         1999</t>
  </si>
  <si>
    <t>Angry young men : how parents, teachers, and counselors can help "bad boys" become good men / Aaron Kipnis.</t>
  </si>
  <si>
    <t>Kipnis, Aaron R.</t>
  </si>
  <si>
    <t>San Francisco : Jossey-Bass, c1999.</t>
  </si>
  <si>
    <t>2004-10-31</t>
  </si>
  <si>
    <t>20532414:eng</t>
  </si>
  <si>
    <t>40990054</t>
  </si>
  <si>
    <t>991003014809702656</t>
  </si>
  <si>
    <t>2272059590002656</t>
  </si>
  <si>
    <t>9780787946043</t>
  </si>
  <si>
    <t>32285003593968</t>
  </si>
  <si>
    <t>893698576</t>
  </si>
  <si>
    <t>HV9104 .L86 1993</t>
  </si>
  <si>
    <t>0                      HV 9104000L  86          1993</t>
  </si>
  <si>
    <t>Prevention and control of juvenile delinquency / Richard J. Lundman.</t>
  </si>
  <si>
    <t>Lundman, Richard J., 1944-</t>
  </si>
  <si>
    <t>New York : Oxford University Press, 1993.</t>
  </si>
  <si>
    <t>1996-11-26</t>
  </si>
  <si>
    <t>3052386:eng</t>
  </si>
  <si>
    <t>25509200</t>
  </si>
  <si>
    <t>991002006359702656</t>
  </si>
  <si>
    <t>2272047200002656</t>
  </si>
  <si>
    <t>9780195064070</t>
  </si>
  <si>
    <t>32285002386059</t>
  </si>
  <si>
    <t>893721239</t>
  </si>
  <si>
    <t>HV9104 .M55 2001</t>
  </si>
  <si>
    <t>0                      HV 9104000M  55          2001</t>
  </si>
  <si>
    <t>One of the guys : girls, gangs, and gender / Jody Miller.</t>
  </si>
  <si>
    <t>Miller, Jody, 1966-</t>
  </si>
  <si>
    <t>New York : Oxford University Press, c2001.</t>
  </si>
  <si>
    <t>2001-03-01</t>
  </si>
  <si>
    <t>836962332:eng</t>
  </si>
  <si>
    <t>43751649</t>
  </si>
  <si>
    <t>991003467659702656</t>
  </si>
  <si>
    <t>2264487990002656</t>
  </si>
  <si>
    <t>9780195130775</t>
  </si>
  <si>
    <t>32285004298740</t>
  </si>
  <si>
    <t>893252389</t>
  </si>
  <si>
    <t>HV9104 .S3286 1989</t>
  </si>
  <si>
    <t>0                      HV 9104000S  3286        1989</t>
  </si>
  <si>
    <t>(In)justice for juveniles : rethinking the best interests of the child / by Ira M. Schwartz ; [foreword by Birch Bayh].</t>
  </si>
  <si>
    <t>Schwartz, Ira M.</t>
  </si>
  <si>
    <t>2007-04-04</t>
  </si>
  <si>
    <t>196070991:eng</t>
  </si>
  <si>
    <t>17916650</t>
  </si>
  <si>
    <t>991001280069702656</t>
  </si>
  <si>
    <t>2270539700002656</t>
  </si>
  <si>
    <t>9780669149630</t>
  </si>
  <si>
    <t>32285000116094</t>
  </si>
  <si>
    <t>893803519</t>
  </si>
  <si>
    <t>HV9104 .S446 1986</t>
  </si>
  <si>
    <t>0                      HV 9104000S  446         1986</t>
  </si>
  <si>
    <t>Rehabilitating juvenile justice / Charles H. Shireman and Frederic G. Reamer.</t>
  </si>
  <si>
    <t>Shireman, Charles H.</t>
  </si>
  <si>
    <t>New york : Columbia University Press, 1986.</t>
  </si>
  <si>
    <t>7569206:eng</t>
  </si>
  <si>
    <t>13334110</t>
  </si>
  <si>
    <t>991000813939702656</t>
  </si>
  <si>
    <t>2261904890002656</t>
  </si>
  <si>
    <t>9780231063289</t>
  </si>
  <si>
    <t>32285001183267</t>
  </si>
  <si>
    <t>893515633</t>
  </si>
  <si>
    <t>HV9104 .S448 2005</t>
  </si>
  <si>
    <t>0                      HV 9104000S  448         2005</t>
  </si>
  <si>
    <t>Juvenile justice : a reference handbook / Donald J. Shoemaker and Timothy W. Wolfe.</t>
  </si>
  <si>
    <t>Shoemaker, Donald J.</t>
  </si>
  <si>
    <t>Santa Barbara, Calif. : ABC-CLIO, 2005.</t>
  </si>
  <si>
    <t>2005-11-17</t>
  </si>
  <si>
    <t>792939882:eng</t>
  </si>
  <si>
    <t>61151388</t>
  </si>
  <si>
    <t>991004694869702656</t>
  </si>
  <si>
    <t>2262539690002656</t>
  </si>
  <si>
    <t>9781576076415</t>
  </si>
  <si>
    <t>32285005147797</t>
  </si>
  <si>
    <t>893344139</t>
  </si>
  <si>
    <t>HV9104 .S55 1991</t>
  </si>
  <si>
    <t>0                      HV 9104000S  55          1991</t>
  </si>
  <si>
    <t>Juvenile justice in America / Clifford E. Simonsen.</t>
  </si>
  <si>
    <t>Simonsen, Clifford E.</t>
  </si>
  <si>
    <t>New York : Macmillan Pub. Co. ; Toronto : Collier Macmillan Canada, c1991.</t>
  </si>
  <si>
    <t>1991-04-16</t>
  </si>
  <si>
    <t>14911074:eng</t>
  </si>
  <si>
    <t>20854085</t>
  </si>
  <si>
    <t>991001628149702656</t>
  </si>
  <si>
    <t>2272131870002656</t>
  </si>
  <si>
    <t>9780024105318</t>
  </si>
  <si>
    <t>32285000567569</t>
  </si>
  <si>
    <t>893238211</t>
  </si>
  <si>
    <t>HV9105.T44 G534 2005</t>
  </si>
  <si>
    <t>0                      HV 9105000T  44                 G  534         2005</t>
  </si>
  <si>
    <t>Last chance in Texas : the redemption of criminal youth / John Hubner.</t>
  </si>
  <si>
    <t>Hubner, John.</t>
  </si>
  <si>
    <t>2005-09-27</t>
  </si>
  <si>
    <t>864881870:eng</t>
  </si>
  <si>
    <t>58386382</t>
  </si>
  <si>
    <t>991004614449702656</t>
  </si>
  <si>
    <t>2261440490002656</t>
  </si>
  <si>
    <t>9780375508097</t>
  </si>
  <si>
    <t>32285005086003</t>
  </si>
  <si>
    <t>893446302</t>
  </si>
  <si>
    <t>HV9106.N6 Y2</t>
  </si>
  <si>
    <t>0                      HV 9106000N  6                  Y  2</t>
  </si>
  <si>
    <t>The violent gang.</t>
  </si>
  <si>
    <t>Yablonsky, Lewis.</t>
  </si>
  <si>
    <t>New York : Macmillan, 1963, 1962.</t>
  </si>
  <si>
    <t>1236140:eng</t>
  </si>
  <si>
    <t>265526</t>
  </si>
  <si>
    <t>991002095619702656</t>
  </si>
  <si>
    <t>2267817650002656</t>
  </si>
  <si>
    <t>32285000848415</t>
  </si>
  <si>
    <t>893322554</t>
  </si>
  <si>
    <t>HV9146.L65 S48 1999</t>
  </si>
  <si>
    <t>0                      HV 9146000L  65                 S  48          1999</t>
  </si>
  <si>
    <t>Artful dodgers : youth and crime in early nineteenth-century London / Heather Shore.</t>
  </si>
  <si>
    <t>Shore, Heather, 1964-</t>
  </si>
  <si>
    <t>Rochester, NY : Royal Historical Society/Boydell Press, 1999.</t>
  </si>
  <si>
    <t>Royal Historical Society studies in history. New series, 0269-2244</t>
  </si>
  <si>
    <t>2001-01-09</t>
  </si>
  <si>
    <t>836953946:eng</t>
  </si>
  <si>
    <t>40754937</t>
  </si>
  <si>
    <t>991003300209702656</t>
  </si>
  <si>
    <t>2255754910002656</t>
  </si>
  <si>
    <t>9780861932429</t>
  </si>
  <si>
    <t>32285004281498</t>
  </si>
  <si>
    <t>893330179</t>
  </si>
  <si>
    <t>HV9275 .G5</t>
  </si>
  <si>
    <t>0                      HV 9275000G  5</t>
  </si>
  <si>
    <t>Changing the lawbreaker : the treatment of delinquents and criminals / Don C. Gibbons.</t>
  </si>
  <si>
    <t>Gibbons, Don C.</t>
  </si>
  <si>
    <t>Englewood Cliffs, N.J. : Prentice-Hall, c1965.</t>
  </si>
  <si>
    <t>2007-02-17</t>
  </si>
  <si>
    <t>2006-06-15</t>
  </si>
  <si>
    <t>512802:eng</t>
  </si>
  <si>
    <t>265520</t>
  </si>
  <si>
    <t>991001628689702656</t>
  </si>
  <si>
    <t>2267817580002656</t>
  </si>
  <si>
    <t>32285003190021</t>
  </si>
  <si>
    <t>893503540</t>
  </si>
  <si>
    <t>HV9275 .O74</t>
  </si>
  <si>
    <t>0                      HV 9275000O  74</t>
  </si>
  <si>
    <t>Justice, punishment, treatment : the correctional process / Leonard Orland ; introduction by Abraham S. Goldstein.</t>
  </si>
  <si>
    <t>Orland, Leonard.</t>
  </si>
  <si>
    <t>New York : Free Press, 1973.</t>
  </si>
  <si>
    <t>1995-03-21</t>
  </si>
  <si>
    <t>400712:eng</t>
  </si>
  <si>
    <t>1288989</t>
  </si>
  <si>
    <t>991001647589702656</t>
  </si>
  <si>
    <t>2266818950002656</t>
  </si>
  <si>
    <t>32285002012887</t>
  </si>
  <si>
    <t>893872675</t>
  </si>
  <si>
    <t>HV9275 .W36 2007</t>
  </si>
  <si>
    <t>0                      HV 9275000W  36          2007</t>
  </si>
  <si>
    <t>Rehabilitation : beyond the risk paradigm / Tony Ward and Shadd Maruna.</t>
  </si>
  <si>
    <t>Ward, Tony, 1954 March 17-</t>
  </si>
  <si>
    <t>London ; New York : Routledge, 2007.</t>
  </si>
  <si>
    <t>Key ideas in criminology</t>
  </si>
  <si>
    <t>796491223:eng</t>
  </si>
  <si>
    <t>73993512</t>
  </si>
  <si>
    <t>991005301389702656</t>
  </si>
  <si>
    <t>2263308640002656</t>
  </si>
  <si>
    <t>9780415386425</t>
  </si>
  <si>
    <t>32285005512487</t>
  </si>
  <si>
    <t>893594808</t>
  </si>
  <si>
    <t>HV9276 .L96 2001</t>
  </si>
  <si>
    <t>0                      HV 9276000L  96          2001</t>
  </si>
  <si>
    <t>Prisoner reentry in perspective / James P. Lynch, William J. Sabol.</t>
  </si>
  <si>
    <t>Lynch, James P. (James Patrick), 1949-</t>
  </si>
  <si>
    <t>Washington, D.C. : Urban Institute, c2001.</t>
  </si>
  <si>
    <t>Crime policy report ; 3</t>
  </si>
  <si>
    <t>2003-10-09</t>
  </si>
  <si>
    <t>13421918:eng</t>
  </si>
  <si>
    <t>48085892</t>
  </si>
  <si>
    <t>991004097609702656</t>
  </si>
  <si>
    <t>2255312560002656</t>
  </si>
  <si>
    <t>32285004787668</t>
  </si>
  <si>
    <t>893605617</t>
  </si>
  <si>
    <t>HV9276.5 .B66 1994</t>
  </si>
  <si>
    <t>0                      HV 9276500B  66          1994</t>
  </si>
  <si>
    <t>Alternatives to imprisonment : intentions and reality / Ulla V. Bondeson.</t>
  </si>
  <si>
    <t>Bondeson, Ulla, 1937-</t>
  </si>
  <si>
    <t>Crime &amp; society</t>
  </si>
  <si>
    <t>1995-08-02</t>
  </si>
  <si>
    <t>31863045:eng</t>
  </si>
  <si>
    <t>29668246</t>
  </si>
  <si>
    <t>991001661399702656</t>
  </si>
  <si>
    <t>2271105860002656</t>
  </si>
  <si>
    <t>9780813320113</t>
  </si>
  <si>
    <t>32285002038544</t>
  </si>
  <si>
    <t>893420490</t>
  </si>
  <si>
    <t>HV9278 .D72</t>
  </si>
  <si>
    <t>0                      HV 9278000D  72</t>
  </si>
  <si>
    <t>Practice and theory of probation and parole / by David Dressler.</t>
  </si>
  <si>
    <t>Dressler, David.</t>
  </si>
  <si>
    <t>New York : Columbia University Press, c1959.</t>
  </si>
  <si>
    <t>1990-09-05</t>
  </si>
  <si>
    <t>419666:eng</t>
  </si>
  <si>
    <t>268325</t>
  </si>
  <si>
    <t>991002116019702656</t>
  </si>
  <si>
    <t>2270491760002656</t>
  </si>
  <si>
    <t>32285000300615</t>
  </si>
  <si>
    <t>893427224</t>
  </si>
  <si>
    <t>HV9278 .N5 1964</t>
  </si>
  <si>
    <t>0                      HV 9278000N  5           1964</t>
  </si>
  <si>
    <t>Sourcebook on probation, parole, and pardons. With an introd. by Milton G. Rector.</t>
  </si>
  <si>
    <t>Newman, Charles L., editor.</t>
  </si>
  <si>
    <t>Springfield, Ill., Thomas [1964]</t>
  </si>
  <si>
    <t>1382630:eng</t>
  </si>
  <si>
    <t>265592</t>
  </si>
  <si>
    <t>991002095759702656</t>
  </si>
  <si>
    <t>2267816490002656</t>
  </si>
  <si>
    <t>32285001051704</t>
  </si>
  <si>
    <t>893322555</t>
  </si>
  <si>
    <t>HV9278 .R8 1968</t>
  </si>
  <si>
    <t>0                      HV 9278000R  8           1968</t>
  </si>
  <si>
    <t>Probation and social adjustment / [by] Jay Rumney [and] Joseph P. Murphy. Published for Essex County Probation Office.</t>
  </si>
  <si>
    <t>Rumney, Jay, 1905-1957.</t>
  </si>
  <si>
    <t>New York : Greenwood Press, 1968 [c1952]</t>
  </si>
  <si>
    <t>1246560:eng</t>
  </si>
  <si>
    <t>74481</t>
  </si>
  <si>
    <t>991000423709702656</t>
  </si>
  <si>
    <t>2272089500002656</t>
  </si>
  <si>
    <t>32285002012879</t>
  </si>
  <si>
    <t>893345642</t>
  </si>
  <si>
    <t>HV9304 .C37</t>
  </si>
  <si>
    <t>0                      HV 9304000C  37</t>
  </si>
  <si>
    <t>Corrections in America / Robert M. Carter, Richard A. McGee, E. Kim Nelson.</t>
  </si>
  <si>
    <t>Carter, Robert Melvin, 1929-</t>
  </si>
  <si>
    <t>Philadelphia : Lippincott, [1975]</t>
  </si>
  <si>
    <t>1995-05-06</t>
  </si>
  <si>
    <t>2118465:eng</t>
  </si>
  <si>
    <t>1174596</t>
  </si>
  <si>
    <t>991003592379702656</t>
  </si>
  <si>
    <t>2272418750002656</t>
  </si>
  <si>
    <t>9780397473175</t>
  </si>
  <si>
    <t>32285002032703</t>
  </si>
  <si>
    <t>893686690</t>
  </si>
  <si>
    <t>HV9304 .P77 1985</t>
  </si>
  <si>
    <t>0                      HV 9304000P  77          1985</t>
  </si>
  <si>
    <t>Probation and parole in America / Harry E. Allen ... [et al.].</t>
  </si>
  <si>
    <t>New York : Free Press ; London : Collier Macmillan, c1985.</t>
  </si>
  <si>
    <t>1992-04-06</t>
  </si>
  <si>
    <t>4715975:eng</t>
  </si>
  <si>
    <t>12081833</t>
  </si>
  <si>
    <t>991000636859702656</t>
  </si>
  <si>
    <t>2266392940002656</t>
  </si>
  <si>
    <t>9780029004401</t>
  </si>
  <si>
    <t>32285001051365</t>
  </si>
  <si>
    <t>893225165</t>
  </si>
  <si>
    <t>HV9304 .S54 1993</t>
  </si>
  <si>
    <t>0                      HV 9304000S  54          1993</t>
  </si>
  <si>
    <t>Poor discipline : parole and the social control of the underclass, 1890-1990 / Jonathan Simon.</t>
  </si>
  <si>
    <t>Simon, Jonathan, 1959-</t>
  </si>
  <si>
    <t>328917:eng</t>
  </si>
  <si>
    <t>28025808</t>
  </si>
  <si>
    <t>991001658229702656</t>
  </si>
  <si>
    <t>2262793140002656</t>
  </si>
  <si>
    <t>9780226758565</t>
  </si>
  <si>
    <t>32285002003852</t>
  </si>
  <si>
    <t>893328268</t>
  </si>
  <si>
    <t>HV9379.H48 F67</t>
  </si>
  <si>
    <t>0                      HV 9379000H  48                 F  67</t>
  </si>
  <si>
    <t>Treating the untreatable; chronic criminals at Herstedvester [by] Georg K. Stürup.</t>
  </si>
  <si>
    <t>Stürup, Georg K. (Georg Kristoffer), 1905-1988.</t>
  </si>
  <si>
    <t>Baltimore, Johns Hopkins Press [1968]</t>
  </si>
  <si>
    <t>The Isaac Ray award lectures, 1966</t>
  </si>
  <si>
    <t>2004-04-02</t>
  </si>
  <si>
    <t>37934970:eng</t>
  </si>
  <si>
    <t>265973</t>
  </si>
  <si>
    <t>991002098779702656</t>
  </si>
  <si>
    <t>2265528350002656</t>
  </si>
  <si>
    <t>32285003190070</t>
  </si>
  <si>
    <t>893721282</t>
  </si>
  <si>
    <t>HV9466 .H3</t>
  </si>
  <si>
    <t>0                      HV 9466000H  3</t>
  </si>
  <si>
    <t>The American prison system / by Fred E. Haynes.</t>
  </si>
  <si>
    <t>Haynes, Frederick Emory, 1868-</t>
  </si>
  <si>
    <t>New York ; London : McGraw-Hill Book Company, inc., 1939.</t>
  </si>
  <si>
    <t>McGraw-Hill publications in sociology</t>
  </si>
  <si>
    <t>1997-03-31</t>
  </si>
  <si>
    <t>1993-12-02</t>
  </si>
  <si>
    <t>1500439:eng</t>
  </si>
  <si>
    <t>383316</t>
  </si>
  <si>
    <t>991002638539702656</t>
  </si>
  <si>
    <t>2260466570002656</t>
  </si>
  <si>
    <t>32285001805562</t>
  </si>
  <si>
    <t>893530273</t>
  </si>
  <si>
    <t>HV9466 .M3 1968</t>
  </si>
  <si>
    <t>0                      HV 9466000M  3           1968</t>
  </si>
  <si>
    <t>American prisons : a study in American social history prior to 1915.</t>
  </si>
  <si>
    <t>McKelvey, Blake, 1903-2000.</t>
  </si>
  <si>
    <t>Montclair, N.J. : Patterson Smith, 1968 [c1936]</t>
  </si>
  <si>
    <t>Patterson Smith reprint series in criminology, law enforcement, and social problems ; publication no. 17</t>
  </si>
  <si>
    <t>1995-05-04</t>
  </si>
  <si>
    <t>422743397:eng</t>
  </si>
  <si>
    <t>451747</t>
  </si>
  <si>
    <t>991002809259702656</t>
  </si>
  <si>
    <t>2261045670002656</t>
  </si>
  <si>
    <t>32285002032042</t>
  </si>
  <si>
    <t>893335749</t>
  </si>
  <si>
    <t>HV9466 .M69</t>
  </si>
  <si>
    <t>0                      HV 9466000M  69</t>
  </si>
  <si>
    <t>The American jail : its development and growth / J. M. Moynahan and Earle K. Stewart.</t>
  </si>
  <si>
    <t>Moynahan, J. M.</t>
  </si>
  <si>
    <t>Chicago : Nelson-Hall, 1980.</t>
  </si>
  <si>
    <t>194964466:eng</t>
  </si>
  <si>
    <t>5310693</t>
  </si>
  <si>
    <t>991004816679702656</t>
  </si>
  <si>
    <t>2264435640002656</t>
  </si>
  <si>
    <t>9780882295312</t>
  </si>
  <si>
    <t>32285001183390</t>
  </si>
  <si>
    <t>893876609</t>
  </si>
  <si>
    <t>HV9466 .R34 1985</t>
  </si>
  <si>
    <t>0                      HV 9466000R  34          1985</t>
  </si>
  <si>
    <t>Partial justice : women in state prisons, 1800-1935 / Nicole Hahn Rafter.</t>
  </si>
  <si>
    <t>Rafter, Nicole Hahn, 1939-</t>
  </si>
  <si>
    <t>Boston, MA : Northeastern University Press, c1985.</t>
  </si>
  <si>
    <t>2010-02-08</t>
  </si>
  <si>
    <t>3443640:eng</t>
  </si>
  <si>
    <t>10725673</t>
  </si>
  <si>
    <t>991000417659702656</t>
  </si>
  <si>
    <t>2263752010002656</t>
  </si>
  <si>
    <t>9780930350635</t>
  </si>
  <si>
    <t>32285001183408</t>
  </si>
  <si>
    <t>893528029</t>
  </si>
  <si>
    <t>HV9466 .R63 2006</t>
  </si>
  <si>
    <t>0                      HV 9466000R  63          2006</t>
  </si>
  <si>
    <t>Forced passages : imprisoned radical intellectuals and the U.S. prison regime / Dylan Rodriguez.</t>
  </si>
  <si>
    <t>Rodriguez, Dylan.</t>
  </si>
  <si>
    <t>Minneapolis : University of Minnesota Press, c2006.</t>
  </si>
  <si>
    <t>801945692:eng</t>
  </si>
  <si>
    <t>61461513</t>
  </si>
  <si>
    <t>991004991539702656</t>
  </si>
  <si>
    <t>2267230810002656</t>
  </si>
  <si>
    <t>9780816645602</t>
  </si>
  <si>
    <t>32285005268783</t>
  </si>
  <si>
    <t>893713291</t>
  </si>
  <si>
    <t>HV9468 .C44 2006</t>
  </si>
  <si>
    <t>0                      HV 9468000C  44          2006</t>
  </si>
  <si>
    <t>Back from the dead : one woman's search for the men who walked off America's death row / Joan M. Cheever.</t>
  </si>
  <si>
    <t>Cheever, Joan M.</t>
  </si>
  <si>
    <t>Chichester, England ; Hoboken, NJ : John Wiley, 2006.</t>
  </si>
  <si>
    <t>2007-02-20</t>
  </si>
  <si>
    <t>52295097:eng</t>
  </si>
  <si>
    <t>63186137</t>
  </si>
  <si>
    <t>991004953399702656</t>
  </si>
  <si>
    <t>2271989120002656</t>
  </si>
  <si>
    <t>9780470017500</t>
  </si>
  <si>
    <t>32285005264840</t>
  </si>
  <si>
    <t>893707045</t>
  </si>
  <si>
    <t>HV9468 .J65 2003</t>
  </si>
  <si>
    <t>0                      HV 9468000J  65          2003</t>
  </si>
  <si>
    <t>Inner lives : voices of African American women in prison / Paula C. Johnson ; with a foreword by Joyce A. Logan and an afterword by Angela J. Davis.</t>
  </si>
  <si>
    <t>Johnson, Paula C.</t>
  </si>
  <si>
    <t>New York : New York University Press, c2003.</t>
  </si>
  <si>
    <t>2004-02-11</t>
  </si>
  <si>
    <t>793945369:eng</t>
  </si>
  <si>
    <t>50520521</t>
  </si>
  <si>
    <t>991004213779702656</t>
  </si>
  <si>
    <t>2255084570002656</t>
  </si>
  <si>
    <t>9780814742549</t>
  </si>
  <si>
    <t>32285004638275</t>
  </si>
  <si>
    <t>893624483</t>
  </si>
  <si>
    <t>HV9468 .S24</t>
  </si>
  <si>
    <t>0                      HV 9468000S  24</t>
  </si>
  <si>
    <t>Love and evil; from a probation officer's casebook [by] Dan Sakall and Alan Harrington.</t>
  </si>
  <si>
    <t>Sakall, Dan.</t>
  </si>
  <si>
    <t>Boston, Little, Brown [1974]</t>
  </si>
  <si>
    <t>2002-06-17</t>
  </si>
  <si>
    <t>1652247:eng</t>
  </si>
  <si>
    <t>811008</t>
  </si>
  <si>
    <t>991003289339702656</t>
  </si>
  <si>
    <t>2269474490002656</t>
  </si>
  <si>
    <t>9780316347600</t>
  </si>
  <si>
    <t>32285003190088</t>
  </si>
  <si>
    <t>893717502</t>
  </si>
  <si>
    <t>HV9468.H23 A3 1988</t>
  </si>
  <si>
    <t>0                      HV 9468000H  23                 A  3           1988</t>
  </si>
  <si>
    <t>They always call us ladies : stories from prison / Jean Harris.</t>
  </si>
  <si>
    <t>Harris, Jean, 1923-2012.</t>
  </si>
  <si>
    <t>New York : Scribner's : Special Sales Director, Macmillan Pub. Co. [distributor], c1988.</t>
  </si>
  <si>
    <t>356013:eng</t>
  </si>
  <si>
    <t>17841282</t>
  </si>
  <si>
    <t>991001270819702656</t>
  </si>
  <si>
    <t>2268898260002656</t>
  </si>
  <si>
    <t>9780684189635</t>
  </si>
  <si>
    <t>32285001183416</t>
  </si>
  <si>
    <t>893503267</t>
  </si>
  <si>
    <t>HV9468.O35 A34 1976</t>
  </si>
  <si>
    <t>0                      HV 9468000O  35                 A  34          1976</t>
  </si>
  <si>
    <t>In prison / by Kate Richards O'Hare, sometime Federal prisoner number 21669 ; introd. by Jack M. Holl.</t>
  </si>
  <si>
    <t>O'Hare, Kate Richards, 1877-1948.</t>
  </si>
  <si>
    <t>Seattle : University of Washington Press, 1976, c1923.</t>
  </si>
  <si>
    <t>Americana library ; 30</t>
  </si>
  <si>
    <t>3862176643:eng</t>
  </si>
  <si>
    <t>2953012</t>
  </si>
  <si>
    <t>991004292669702656</t>
  </si>
  <si>
    <t>2270597250002656</t>
  </si>
  <si>
    <t>9780295954516</t>
  </si>
  <si>
    <t>32285001095602</t>
  </si>
  <si>
    <t>893888525</t>
  </si>
  <si>
    <t>HV9468.V35 F35 2001</t>
  </si>
  <si>
    <t>0                      HV 9468000V  35                 F  35          2001</t>
  </si>
  <si>
    <t>The long prison journey of Leslie Van Houten : life beyond the cult / by Karlene Faith.</t>
  </si>
  <si>
    <t>Faith, Karlene.</t>
  </si>
  <si>
    <t>2007-09-27</t>
  </si>
  <si>
    <t>35892183:eng</t>
  </si>
  <si>
    <t>46394174</t>
  </si>
  <si>
    <t>991003755809702656</t>
  </si>
  <si>
    <t>2269195560002656</t>
  </si>
  <si>
    <t>9781555534813</t>
  </si>
  <si>
    <t>32285004463732</t>
  </si>
  <si>
    <t>893441673</t>
  </si>
  <si>
    <t>HV9469 .D54 1987</t>
  </si>
  <si>
    <t>0                      HV 9469000D  54          1987</t>
  </si>
  <si>
    <t>Governing prisons : a comparative study of correctional management / John J. DiIulio, Jr.</t>
  </si>
  <si>
    <t>DiIulio, John J., Jr., 1958-</t>
  </si>
  <si>
    <t>2003-03-18</t>
  </si>
  <si>
    <t>836717960:eng</t>
  </si>
  <si>
    <t>15549219</t>
  </si>
  <si>
    <t>991001036119702656</t>
  </si>
  <si>
    <t>2266755640002656</t>
  </si>
  <si>
    <t>9780029078815</t>
  </si>
  <si>
    <t>32285001183440</t>
  </si>
  <si>
    <t>893432543</t>
  </si>
  <si>
    <t>HV9469 .H25 2001</t>
  </si>
  <si>
    <t>0                      HV 9469000H  25          2001</t>
  </si>
  <si>
    <t>Going up the river : travels in a prison nation / Joseph T. Hallinan.</t>
  </si>
  <si>
    <t>Hallinan, Joseph T.</t>
  </si>
  <si>
    <t>New York : Random House, c2001.</t>
  </si>
  <si>
    <t>2001-05-16</t>
  </si>
  <si>
    <t>793903071:eng</t>
  </si>
  <si>
    <t>44750836</t>
  </si>
  <si>
    <t>991003491459702656</t>
  </si>
  <si>
    <t>2261995390002656</t>
  </si>
  <si>
    <t>9780375502637</t>
  </si>
  <si>
    <t>32285004313549</t>
  </si>
  <si>
    <t>893611098</t>
  </si>
  <si>
    <t>HV9469 .H83 1999</t>
  </si>
  <si>
    <t>0                      HV 9469000H  83          1999</t>
  </si>
  <si>
    <t>A survey of the representation of prisoners in the United States : discipline and photographs--the prison experience / James R. Hugunin.</t>
  </si>
  <si>
    <t>Hugunin, James Richard.</t>
  </si>
  <si>
    <t>Lewiston, N.Y. : Edwin Mellen Press, c1999.</t>
  </si>
  <si>
    <t>Studies in the photographic arts ; v. 3</t>
  </si>
  <si>
    <t>1999-11-04</t>
  </si>
  <si>
    <t>202132938:eng</t>
  </si>
  <si>
    <t>40481191</t>
  </si>
  <si>
    <t>991005429819702656</t>
  </si>
  <si>
    <t>2260346910002656</t>
  </si>
  <si>
    <t>9780773481527</t>
  </si>
  <si>
    <t>32285003563680</t>
  </si>
  <si>
    <t>893796216</t>
  </si>
  <si>
    <t>HV9469 .P76 1993</t>
  </si>
  <si>
    <t>0                      HV 9469000P  76          1993</t>
  </si>
  <si>
    <t>Privatizing correctional institutions / edited by Gary W. Bowman, Simon Hakim, Paul Seidenstat ; with a foreword by Warren Burger.</t>
  </si>
  <si>
    <t>New Brunswick, N.J. : Transaction Publishers, c1993.</t>
  </si>
  <si>
    <t>2003-10-24</t>
  </si>
  <si>
    <t>350618838:eng</t>
  </si>
  <si>
    <t>25009283</t>
  </si>
  <si>
    <t>991001971359702656</t>
  </si>
  <si>
    <t>2269438820002656</t>
  </si>
  <si>
    <t>9781560000556</t>
  </si>
  <si>
    <t>32285003494613</t>
  </si>
  <si>
    <t>893334778</t>
  </si>
  <si>
    <t>HV9469 .S53</t>
  </si>
  <si>
    <t>0                      HV 9469000S  53</t>
  </si>
  <si>
    <t>Imprisonment in America : choosing the future / Michael Sherman and Gordon Hawkins.</t>
  </si>
  <si>
    <t>Sherman, Michael E.</t>
  </si>
  <si>
    <t>365471401:eng</t>
  </si>
  <si>
    <t>7572793</t>
  </si>
  <si>
    <t>991001672199702656</t>
  </si>
  <si>
    <t>2271685480002656</t>
  </si>
  <si>
    <t>9780226752792</t>
  </si>
  <si>
    <t>32285000890888</t>
  </si>
  <si>
    <t>893444753</t>
  </si>
  <si>
    <t>HV9469 .S58 2008</t>
  </si>
  <si>
    <t>0                      HV 9469000S  58          2008</t>
  </si>
  <si>
    <t>How black female offenders explain their crime and describe their hopes : a case study of inmates in a California prison / La Tanya Skiffer ; with a preface by Sharon Bethea.</t>
  </si>
  <si>
    <t>Skiffer, La Tanya.</t>
  </si>
  <si>
    <t>Lewiston, N.Y. : Edwin Mellen Press, c2008.</t>
  </si>
  <si>
    <t>157861927:eng</t>
  </si>
  <si>
    <t>271104113</t>
  </si>
  <si>
    <t>991005334599702656</t>
  </si>
  <si>
    <t>2264985720002656</t>
  </si>
  <si>
    <t>9780773449169</t>
  </si>
  <si>
    <t>32285005545677</t>
  </si>
  <si>
    <t>893613527</t>
  </si>
  <si>
    <t>HV9471 .A484 2005</t>
  </si>
  <si>
    <t>0                      HV 9471000A  484         2005</t>
  </si>
  <si>
    <t>America's disappeared : detainees, secret imprisonment, and the "War on Terror" / edited by Rachel Meeropol ; with Reed Brody ... [et al.].</t>
  </si>
  <si>
    <t>New York : Seven Stories Press, c2005.</t>
  </si>
  <si>
    <t>An open media book</t>
  </si>
  <si>
    <t>2008-12-09</t>
  </si>
  <si>
    <t>2007-01-31</t>
  </si>
  <si>
    <t>2290281133:eng</t>
  </si>
  <si>
    <t>57193021</t>
  </si>
  <si>
    <t>991005018579702656</t>
  </si>
  <si>
    <t>2266010330002656</t>
  </si>
  <si>
    <t>9781583226452</t>
  </si>
  <si>
    <t>32285005274039</t>
  </si>
  <si>
    <t>893810794</t>
  </si>
  <si>
    <t>HV9471 .B39 1985</t>
  </si>
  <si>
    <t>0                      HV 9471000B  39          1985</t>
  </si>
  <si>
    <t>Mothers in prison / Phyllis Jo Baunach.</t>
  </si>
  <si>
    <t>Baunach, Phyllis Jo.</t>
  </si>
  <si>
    <t>New Brunswick, N.J. : Transaction Books, 1985.</t>
  </si>
  <si>
    <t>2007-03-19</t>
  </si>
  <si>
    <t>3808467:eng</t>
  </si>
  <si>
    <t>11113297</t>
  </si>
  <si>
    <t>991000491819702656</t>
  </si>
  <si>
    <t>2258233190002656</t>
  </si>
  <si>
    <t>9780887380273</t>
  </si>
  <si>
    <t>32285001183465</t>
  </si>
  <si>
    <t>893620521</t>
  </si>
  <si>
    <t>HV9471 .C665 1982</t>
  </si>
  <si>
    <t>0                      HV 9471000C  665         1982</t>
  </si>
  <si>
    <t>Coping with imprisonment / edited by Nicolette Parisi.</t>
  </si>
  <si>
    <t>Perspectives in criminal justice ; 3</t>
  </si>
  <si>
    <t>1990-03-27</t>
  </si>
  <si>
    <t>353233418:eng</t>
  </si>
  <si>
    <t>7998177</t>
  </si>
  <si>
    <t>991005190049702656</t>
  </si>
  <si>
    <t>2258574110002656</t>
  </si>
  <si>
    <t>9780803917859</t>
  </si>
  <si>
    <t>32285000097625</t>
  </si>
  <si>
    <t>893883476</t>
  </si>
  <si>
    <t>HV9471 .C6695 1992</t>
  </si>
  <si>
    <t>0                      HV 9471000C  6695        1992</t>
  </si>
  <si>
    <t>Corrections : dilemmas and directions / [edited] by Peter J. Benekos, Alida V. Merlo.</t>
  </si>
  <si>
    <t>Highland Heights, KY : Academy of Criminal Justice Sciences ; Cincinnati, OH : Anderson Pub. Co., 1992.</t>
  </si>
  <si>
    <t>435324310:eng</t>
  </si>
  <si>
    <t>27041396</t>
  </si>
  <si>
    <t>991002110439702656</t>
  </si>
  <si>
    <t>2267735960002656</t>
  </si>
  <si>
    <t>9780870842351</t>
  </si>
  <si>
    <t>32285003514659</t>
  </si>
  <si>
    <t>893504035</t>
  </si>
  <si>
    <t>HV9471 .C87 1998</t>
  </si>
  <si>
    <t>0                      HV 9471000C  87          1998</t>
  </si>
  <si>
    <t>Crime and punishment in America / Elliott Currie.</t>
  </si>
  <si>
    <t>Currie, Elliott.</t>
  </si>
  <si>
    <t>New York : Metropolitan Books, 1998.</t>
  </si>
  <si>
    <t>1998-04-06</t>
  </si>
  <si>
    <t>20601686:eng</t>
  </si>
  <si>
    <t>37361750</t>
  </si>
  <si>
    <t>991002836679702656</t>
  </si>
  <si>
    <t>2268112700002656</t>
  </si>
  <si>
    <t>9780805048353</t>
  </si>
  <si>
    <t>32285003383386</t>
  </si>
  <si>
    <t>893341912</t>
  </si>
  <si>
    <t>HV9471 .G56</t>
  </si>
  <si>
    <t>0                      HV 9471000G  56</t>
  </si>
  <si>
    <t>The effectiveness of a prison and parole system.</t>
  </si>
  <si>
    <t>Glaser, Daniel.</t>
  </si>
  <si>
    <t>Indianapolis : Bobbs-Merrill, [1964]</t>
  </si>
  <si>
    <t>1194192:eng</t>
  </si>
  <si>
    <t>265305</t>
  </si>
  <si>
    <t>991002088519702656</t>
  </si>
  <si>
    <t>2267583040002656</t>
  </si>
  <si>
    <t>32285000300607</t>
  </si>
  <si>
    <t>893414804</t>
  </si>
  <si>
    <t>HV9471 .M4</t>
  </si>
  <si>
    <t>0                      HV 9471000M  4</t>
  </si>
  <si>
    <t>Prisons and politics / Richard A. McGee.</t>
  </si>
  <si>
    <t>McGee, Richard A.</t>
  </si>
  <si>
    <t>2003-09-09</t>
  </si>
  <si>
    <t>42843533:eng</t>
  </si>
  <si>
    <t>7329524</t>
  </si>
  <si>
    <t>991005105819702656</t>
  </si>
  <si>
    <t>2271599150002656</t>
  </si>
  <si>
    <t>9780669045277</t>
  </si>
  <si>
    <t>32285001183507</t>
  </si>
  <si>
    <t>893236284</t>
  </si>
  <si>
    <t>HV9471 .O8</t>
  </si>
  <si>
    <t>0                      HV 9471000O  8</t>
  </si>
  <si>
    <t>Society and prisons : some suggestions for a new penology / by Thomas Mott Osborne.</t>
  </si>
  <si>
    <t>Osborne, Thomas Mott, 1859-1926.</t>
  </si>
  <si>
    <t>New Haven : Yale university press, 1916.</t>
  </si>
  <si>
    <t>1916</t>
  </si>
  <si>
    <t>Yale lectures on the responsibilities of citizenship</t>
  </si>
  <si>
    <t>1998-03-18</t>
  </si>
  <si>
    <t>4926544702:eng</t>
  </si>
  <si>
    <t>1041492</t>
  </si>
  <si>
    <t>991001690779702656</t>
  </si>
  <si>
    <t>2268971250002656</t>
  </si>
  <si>
    <t>32285000999721</t>
  </si>
  <si>
    <t>893885478</t>
  </si>
  <si>
    <t>HV9471 .P77</t>
  </si>
  <si>
    <t>0                      HV 9471000P  77</t>
  </si>
  <si>
    <t>Prisoners in America. [Lloyd E. Ohlin, editor]</t>
  </si>
  <si>
    <t>Englewood Cliffs, N.J., Prentice-Hall [1973]</t>
  </si>
  <si>
    <t>1992-07-23</t>
  </si>
  <si>
    <t>510182218:eng</t>
  </si>
  <si>
    <t>578774</t>
  </si>
  <si>
    <t>991001657089702656</t>
  </si>
  <si>
    <t>2258729950002656</t>
  </si>
  <si>
    <t>9780137108220</t>
  </si>
  <si>
    <t>32285001095594</t>
  </si>
  <si>
    <t>893715597</t>
  </si>
  <si>
    <t>HV9471 .R36 1999</t>
  </si>
  <si>
    <t>0                      HV 9471000R  36          1999</t>
  </si>
  <si>
    <t>Prisons in America : a reference handbook / Nicole Hahn Rafter and Debra L. Stanley.</t>
  </si>
  <si>
    <t>Santa Barbara, Calif. : ABC-CLIO, c1999.</t>
  </si>
  <si>
    <t>2008-04-15</t>
  </si>
  <si>
    <t>1999-12-09</t>
  </si>
  <si>
    <t>1054218:eng</t>
  </si>
  <si>
    <t>41528182</t>
  </si>
  <si>
    <t>991003022179702656</t>
  </si>
  <si>
    <t>2259900640002656</t>
  </si>
  <si>
    <t>9781576071021</t>
  </si>
  <si>
    <t>32285003630752</t>
  </si>
  <si>
    <t>893717234</t>
  </si>
  <si>
    <t>HV9471 .T47 1987</t>
  </si>
  <si>
    <t>0                      HV 9471000T  47          1987</t>
  </si>
  <si>
    <t>Corrections in America : problems of the past and the present / Charles W. Thomas.</t>
  </si>
  <si>
    <t>Thomas, Charles Wellington, 1943-</t>
  </si>
  <si>
    <t>Law and criminal justice series ; v. 7</t>
  </si>
  <si>
    <t>9273532:eng</t>
  </si>
  <si>
    <t>15090748</t>
  </si>
  <si>
    <t>991000989289702656</t>
  </si>
  <si>
    <t>2260028690002656</t>
  </si>
  <si>
    <t>9780803922112</t>
  </si>
  <si>
    <t>32285000065671</t>
  </si>
  <si>
    <t>893503003</t>
  </si>
  <si>
    <t>HV9475.C2 W55 2005</t>
  </si>
  <si>
    <t>0                      HV 9475000C  2                  W  55          2005</t>
  </si>
  <si>
    <t>Prison work : a tale of thirty years in the California Department of Corrections / William Richard Wilkinson ; edited by John C. Burnham and Joseph F. Spillane.</t>
  </si>
  <si>
    <t>Wilkinson, William Richard.</t>
  </si>
  <si>
    <t>Columbus : Ohio State University, c2005.</t>
  </si>
  <si>
    <t>History of crime and criminal justice</t>
  </si>
  <si>
    <t>2006-12-12</t>
  </si>
  <si>
    <t>962934:eng</t>
  </si>
  <si>
    <t>58546400</t>
  </si>
  <si>
    <t>991004991719702656</t>
  </si>
  <si>
    <t>2257935700002656</t>
  </si>
  <si>
    <t>9780814210017</t>
  </si>
  <si>
    <t>32285005266175</t>
  </si>
  <si>
    <t>893795476</t>
  </si>
  <si>
    <t>HV9475.C3 C57 1968</t>
  </si>
  <si>
    <t>0                      HV 9475000C  3                  C  57          1968</t>
  </si>
  <si>
    <t>Prisoners are people, by Kenyon J. Scudder.</t>
  </si>
  <si>
    <t>Scudder, Kenyon J. (Kenyon Judson), 1890-1977.</t>
  </si>
  <si>
    <t>New York, Greenwood Press, 1968 [c1952]</t>
  </si>
  <si>
    <t>499378:eng</t>
  </si>
  <si>
    <t>296401</t>
  </si>
  <si>
    <t>991002237959702656</t>
  </si>
  <si>
    <t>2262667000002656</t>
  </si>
  <si>
    <t>32285003190138</t>
  </si>
  <si>
    <t>893798351</t>
  </si>
  <si>
    <t>HV9475.I32 S824</t>
  </si>
  <si>
    <t>0                      HV 9475000I  32                 S  824</t>
  </si>
  <si>
    <t>Stateville : the penitentiary in mass society / James B. Jacobs.</t>
  </si>
  <si>
    <t>Jacobs, James B.</t>
  </si>
  <si>
    <t>Chicago : University of Chicago Press, 1977.</t>
  </si>
  <si>
    <t>1999-01-13</t>
  </si>
  <si>
    <t>795092258:eng</t>
  </si>
  <si>
    <t>2372714</t>
  </si>
  <si>
    <t>991001653999702656</t>
  </si>
  <si>
    <t>2256410620002656</t>
  </si>
  <si>
    <t>9780226389769</t>
  </si>
  <si>
    <t>32285003190161</t>
  </si>
  <si>
    <t>893497252</t>
  </si>
  <si>
    <t>HV9475.N52 T7</t>
  </si>
  <si>
    <t>0                      HV 9475000N  52                 T  7</t>
  </si>
  <si>
    <t>The society of captives : a study of maximum security prison / by Gresham M. Sykes.</t>
  </si>
  <si>
    <t>Sykes, Gresham M.</t>
  </si>
  <si>
    <t>Princeton, N.J. : Princeton University Press, 1958.</t>
  </si>
  <si>
    <t>1958</t>
  </si>
  <si>
    <t>441017:eng</t>
  </si>
  <si>
    <t>265301</t>
  </si>
  <si>
    <t>991002088019702656</t>
  </si>
  <si>
    <t>2267582400002656</t>
  </si>
  <si>
    <t>32285003190187</t>
  </si>
  <si>
    <t>893341020</t>
  </si>
  <si>
    <t>HV9475.N72 S563 2000</t>
  </si>
  <si>
    <t>0                      HV 9475000N  72                 S  563         2000</t>
  </si>
  <si>
    <t>Newjack : guarding Sing Sing / Ted Conover.</t>
  </si>
  <si>
    <t>Conover, Ted.</t>
  </si>
  <si>
    <t>New York : Random House, c2000.</t>
  </si>
  <si>
    <t>2001-07-23</t>
  </si>
  <si>
    <t>27658460:eng</t>
  </si>
  <si>
    <t>43109918</t>
  </si>
  <si>
    <t>991003539549702656</t>
  </si>
  <si>
    <t>2268025280002656</t>
  </si>
  <si>
    <t>9780375501777</t>
  </si>
  <si>
    <t>32285004329842</t>
  </si>
  <si>
    <t>893505673</t>
  </si>
  <si>
    <t>HV9475.T4 L9</t>
  </si>
  <si>
    <t>0                      HV 9475000T  4                  L  9</t>
  </si>
  <si>
    <t>Conversations with the dead / photos. of prison life, with the letters and drawings of Billy McCune #122054.</t>
  </si>
  <si>
    <t>Lyon, Danny.</t>
  </si>
  <si>
    <t>New York : Holt, Rinehart and Winston, [1971]</t>
  </si>
  <si>
    <t>2453290837:eng</t>
  </si>
  <si>
    <t>210471</t>
  </si>
  <si>
    <t>991001267999702656</t>
  </si>
  <si>
    <t>2261936230002656</t>
  </si>
  <si>
    <t>9780030850684</t>
  </si>
  <si>
    <t>32285001874626</t>
  </si>
  <si>
    <t>893803507</t>
  </si>
  <si>
    <t>HV95 .A5995 2006</t>
  </si>
  <si>
    <t>0                      HV 0095000A  5995        2006</t>
  </si>
  <si>
    <t>Social welfare programs : narratives from hard times / Raymond Albert, Louise Skolnik.</t>
  </si>
  <si>
    <t>Albert, Raymond.</t>
  </si>
  <si>
    <t>2008-04-04</t>
  </si>
  <si>
    <t>46302628:eng</t>
  </si>
  <si>
    <t>61774028</t>
  </si>
  <si>
    <t>991004674129702656</t>
  </si>
  <si>
    <t>2260811080002656</t>
  </si>
  <si>
    <t>9780534359188</t>
  </si>
  <si>
    <t>32285005145635</t>
  </si>
  <si>
    <t>893782519</t>
  </si>
  <si>
    <t>HV95 .A755 1978</t>
  </si>
  <si>
    <t>0                      HV 0095000A  755         1978</t>
  </si>
  <si>
    <t>Welfare : the political economy of welfare reform in the United States / Martin Anderson.</t>
  </si>
  <si>
    <t>Anderson, Martin.</t>
  </si>
  <si>
    <t>Stanford, Calif. : Hoover Institution Press, c1978, 1981 printing.</t>
  </si>
  <si>
    <t>Hoover Institution Press publication ; 181</t>
  </si>
  <si>
    <t>197346257:eng</t>
  </si>
  <si>
    <t>3730791</t>
  </si>
  <si>
    <t>991004504989702656</t>
  </si>
  <si>
    <t>2270843300002656</t>
  </si>
  <si>
    <t>9780817968113</t>
  </si>
  <si>
    <t>32285000246693</t>
  </si>
  <si>
    <t>893235583</t>
  </si>
  <si>
    <t>HV95 .B44 1987</t>
  </si>
  <si>
    <t>0                      HV 0095000B  44          1987</t>
  </si>
  <si>
    <t>Contemporary social welfare / Winifred Bell.</t>
  </si>
  <si>
    <t>Bell, Winifred.</t>
  </si>
  <si>
    <t>New York : Macmillan ; London : Collier Macmillan Publishers, c1987.</t>
  </si>
  <si>
    <t>1995-07-14</t>
  </si>
  <si>
    <t>7233825:eng</t>
  </si>
  <si>
    <t>14068560</t>
  </si>
  <si>
    <t>991000902409702656</t>
  </si>
  <si>
    <t>2256798100002656</t>
  </si>
  <si>
    <t>9780023079412</t>
  </si>
  <si>
    <t>32285002054400</t>
  </si>
  <si>
    <t>893702544</t>
  </si>
  <si>
    <t>HV95 .B49 1988</t>
  </si>
  <si>
    <t>0                      HV 0095000B  49          1988</t>
  </si>
  <si>
    <t>Beyond welfare : new approaches to the problem of poverty in America / edited by Harrell R. Rodgers, Jr.</t>
  </si>
  <si>
    <t>Armonk, N.Y. : M.E. Sharpe, c1988.</t>
  </si>
  <si>
    <t>836734001:eng</t>
  </si>
  <si>
    <t>16982340</t>
  </si>
  <si>
    <t>991001172979702656</t>
  </si>
  <si>
    <t>2255910330002656</t>
  </si>
  <si>
    <t>9780873324618</t>
  </si>
  <si>
    <t>32285000246701</t>
  </si>
  <si>
    <t>893590076</t>
  </si>
  <si>
    <t>HV95 .B585 2004</t>
  </si>
  <si>
    <t>0                      HV 0095000B  585         2004</t>
  </si>
  <si>
    <t>Of little faith : the politics of George W. Bush's faith-based initiatives / Amy E. Black, Douglas L. Koopman, and David K. Ryden.</t>
  </si>
  <si>
    <t>Black, Amy E.</t>
  </si>
  <si>
    <t>Washington, D.C. : Georgetown University Press, c2004.</t>
  </si>
  <si>
    <t>Religion and politics series</t>
  </si>
  <si>
    <t>2008-10-03</t>
  </si>
  <si>
    <t>798704:eng</t>
  </si>
  <si>
    <t>52980595</t>
  </si>
  <si>
    <t>991004239779702656</t>
  </si>
  <si>
    <t>2268636580002656</t>
  </si>
  <si>
    <t>9781589010123</t>
  </si>
  <si>
    <t>32285004908728</t>
  </si>
  <si>
    <t>893706137</t>
  </si>
  <si>
    <t>HV95 .B59 1997</t>
  </si>
  <si>
    <t>0                      HV 0095000B  59          1997</t>
  </si>
  <si>
    <t>It takes a nation : a new agenda for fighting poverty / Rebecca M. Blank.</t>
  </si>
  <si>
    <t>Blank, Rebecca M.</t>
  </si>
  <si>
    <t>New York : Russell Sage Foundation ; Princeton, N.J. : Princeton University Press, c1997.</t>
  </si>
  <si>
    <t>890861:eng</t>
  </si>
  <si>
    <t>34704893</t>
  </si>
  <si>
    <t>991001671729702656</t>
  </si>
  <si>
    <t>2264912230002656</t>
  </si>
  <si>
    <t>9780691026756</t>
  </si>
  <si>
    <t>32285003381109</t>
  </si>
  <si>
    <t>893609034</t>
  </si>
  <si>
    <t>HV95 .B73 1986</t>
  </si>
  <si>
    <t>0                      HV 0095000B  73          1986</t>
  </si>
  <si>
    <t>Politics and social welfare policy in the United States / Robert X Browning.</t>
  </si>
  <si>
    <t>Browning, Robert X., 1950-</t>
  </si>
  <si>
    <t>Knoxville : University of Tennessee Press, c1986.</t>
  </si>
  <si>
    <t>1994-12-06</t>
  </si>
  <si>
    <t>5027221:eng</t>
  </si>
  <si>
    <t>12370737</t>
  </si>
  <si>
    <t>991000677879702656</t>
  </si>
  <si>
    <t>2261384540002656</t>
  </si>
  <si>
    <t>9780870494864</t>
  </si>
  <si>
    <t>32285000246719</t>
  </si>
  <si>
    <t>893339776</t>
  </si>
  <si>
    <t>HV95 .B87 1985</t>
  </si>
  <si>
    <t>0                      HV 0095000B  87          1985</t>
  </si>
  <si>
    <t>Testing the social safety net : the impact of changes in support programs during the Reagan administration / Martha R. Burt, Karen J. Pittman.</t>
  </si>
  <si>
    <t>Washington, D.C. : Urban Institute Press, c1985.</t>
  </si>
  <si>
    <t>The Changing domestic priorities</t>
  </si>
  <si>
    <t>889185367:eng</t>
  </si>
  <si>
    <t>12557254</t>
  </si>
  <si>
    <t>991000706109702656</t>
  </si>
  <si>
    <t>2255433440002656</t>
  </si>
  <si>
    <t>9780877663928</t>
  </si>
  <si>
    <t>32285000246743</t>
  </si>
  <si>
    <t>893614426</t>
  </si>
  <si>
    <t>HV95 .C6478 1992</t>
  </si>
  <si>
    <t>0                      HV 0095000C  6478        1992</t>
  </si>
  <si>
    <t>Support for the American welfare state : the views of Congress and the public / Fay Lomax Cook, Edith J. Barrett.</t>
  </si>
  <si>
    <t>Cook, Fay Lomax.</t>
  </si>
  <si>
    <t>New York : Columbia University Press, c1992.</t>
  </si>
  <si>
    <t>1999-04-27</t>
  </si>
  <si>
    <t>1993-08-09</t>
  </si>
  <si>
    <t>1061997:eng</t>
  </si>
  <si>
    <t>26096694</t>
  </si>
  <si>
    <t>991002045139702656</t>
  </si>
  <si>
    <t>2268241730002656</t>
  </si>
  <si>
    <t>9780231076180</t>
  </si>
  <si>
    <t>32285001725489</t>
  </si>
  <si>
    <t>893529459</t>
  </si>
  <si>
    <t>HV95 .D56 2005</t>
  </si>
  <si>
    <t>0                      HV 0095000D  56          2005</t>
  </si>
  <si>
    <t>Social welfare : politics and public policy / Diana M. DiNitto.</t>
  </si>
  <si>
    <t>DiNitto, Diana M.</t>
  </si>
  <si>
    <t>6th ed. / with Linda K. Cummins.</t>
  </si>
  <si>
    <t>2010-01-21</t>
  </si>
  <si>
    <t>2005-10-20</t>
  </si>
  <si>
    <t>666064:eng</t>
  </si>
  <si>
    <t>56608485</t>
  </si>
  <si>
    <t>991004651959702656</t>
  </si>
  <si>
    <t>2261583670002656</t>
  </si>
  <si>
    <t>9780205375998</t>
  </si>
  <si>
    <t>32285005140859</t>
  </si>
  <si>
    <t>893882710</t>
  </si>
  <si>
    <t>HV95 .D58 1988</t>
  </si>
  <si>
    <t>0                      HV 0095000D  58          1988</t>
  </si>
  <si>
    <t>Divided opportunities : minorities, poverty, and social policy / edited by Gary D. Sandefur and Marta Tienda.</t>
  </si>
  <si>
    <t>New York : Plenum Press, c1988.</t>
  </si>
  <si>
    <t>Environment, development, and public policy. Public policy and social services</t>
  </si>
  <si>
    <t>2002-08-23</t>
  </si>
  <si>
    <t>836885257:eng</t>
  </si>
  <si>
    <t>17981212</t>
  </si>
  <si>
    <t>991001288289702656</t>
  </si>
  <si>
    <t>2257524950002656</t>
  </si>
  <si>
    <t>9780306428760</t>
  </si>
  <si>
    <t>32285000246768</t>
  </si>
  <si>
    <t>893408020</t>
  </si>
  <si>
    <t>HV95 .D6</t>
  </si>
  <si>
    <t>0                      HV 0095000D  6</t>
  </si>
  <si>
    <t>Politics, economics, and public welfare / Andrew W. Dobelstein.</t>
  </si>
  <si>
    <t>Dobelstein, Andrew W.</t>
  </si>
  <si>
    <t>Englewood Cliffs, N.J. : Prentice-Hall, c1980.</t>
  </si>
  <si>
    <t>Prentice-Hall series in social work practice</t>
  </si>
  <si>
    <t>4417634:eng</t>
  </si>
  <si>
    <t>5101450</t>
  </si>
  <si>
    <t>991004776809702656</t>
  </si>
  <si>
    <t>2259206780002656</t>
  </si>
  <si>
    <t>9780136839798</t>
  </si>
  <si>
    <t>32285000246776</t>
  </si>
  <si>
    <t>893513666</t>
  </si>
  <si>
    <t>HV95 .D6 1986</t>
  </si>
  <si>
    <t>0                      HV 0095000D  6           1986</t>
  </si>
  <si>
    <t>Englewood Cliffs, N.J. : Prentice-Hall, c1986.</t>
  </si>
  <si>
    <t>11865887</t>
  </si>
  <si>
    <t>991000605049702656</t>
  </si>
  <si>
    <t>2264513470002656</t>
  </si>
  <si>
    <t>9780136841012</t>
  </si>
  <si>
    <t>32285000246784</t>
  </si>
  <si>
    <t>893508930</t>
  </si>
  <si>
    <t>HV95 .D62 1990</t>
  </si>
  <si>
    <t>0                      HV 0095000D  62          1990</t>
  </si>
  <si>
    <t>Social welfare : policy and analysis / Andrew W. Dobelstein.</t>
  </si>
  <si>
    <t>Chicago : Nelson-Hall Publishers, c1990.</t>
  </si>
  <si>
    <t>Nelson-Hall series in social welfare</t>
  </si>
  <si>
    <t>2007-01-15</t>
  </si>
  <si>
    <t>1030223:eng</t>
  </si>
  <si>
    <t>20219275</t>
  </si>
  <si>
    <t>991001550389702656</t>
  </si>
  <si>
    <t>2269844350002656</t>
  </si>
  <si>
    <t>9780830411443</t>
  </si>
  <si>
    <t>32285001863603</t>
  </si>
  <si>
    <t>893414306</t>
  </si>
  <si>
    <t>HV95 .E69 2002</t>
  </si>
  <si>
    <t>0                      HV 0095000E  69          2002</t>
  </si>
  <si>
    <t>American policy making : welfare as ritual / William M. Epstein.</t>
  </si>
  <si>
    <t>Epstein, William M., 1944-</t>
  </si>
  <si>
    <t>Lanham, Md. : Rowman &amp; Littlefield, c2002.</t>
  </si>
  <si>
    <t>2003-09-08</t>
  </si>
  <si>
    <t>36730952:eng</t>
  </si>
  <si>
    <t>47623869</t>
  </si>
  <si>
    <t>991003888389702656</t>
  </si>
  <si>
    <t>2269467210002656</t>
  </si>
  <si>
    <t>9780742517325</t>
  </si>
  <si>
    <t>32285004661798</t>
  </si>
  <si>
    <t>893337091</t>
  </si>
  <si>
    <t>HV95 .F58 1989</t>
  </si>
  <si>
    <t>0                      HV 0095000F  58          1989</t>
  </si>
  <si>
    <t>The common good : social welfare and the American future : policy recommendations of the Executive Panel / Ford Foundation Project on Social Welfare and the American Future.</t>
  </si>
  <si>
    <t>Ford Foundation. Project on Social Welfare and the American Future. Executive Panel.</t>
  </si>
  <si>
    <t>New York, N.Y. : The Foundation, 1989.</t>
  </si>
  <si>
    <t>1996-05-26</t>
  </si>
  <si>
    <t>21249509:eng</t>
  </si>
  <si>
    <t>19509619</t>
  </si>
  <si>
    <t>991001465369702656</t>
  </si>
  <si>
    <t>2269973810002656</t>
  </si>
  <si>
    <t>9780916584382</t>
  </si>
  <si>
    <t>32285000246826</t>
  </si>
  <si>
    <t>893328148</t>
  </si>
  <si>
    <t>HV95 .F86 1993</t>
  </si>
  <si>
    <t>0                      HV 0095000F  86          1993</t>
  </si>
  <si>
    <t>Tyranny of kindness : dismantling the welfare system to end poverty in America / Theresa Funiciello.</t>
  </si>
  <si>
    <t>Funiciello, Theresa.</t>
  </si>
  <si>
    <t>New York : Atlantic Monthly Press, c1993.</t>
  </si>
  <si>
    <t>1996-05-03</t>
  </si>
  <si>
    <t>344570525:eng</t>
  </si>
  <si>
    <t>27683323</t>
  </si>
  <si>
    <t>991002148709702656</t>
  </si>
  <si>
    <t>2259289680002656</t>
  </si>
  <si>
    <t>9780871135438</t>
  </si>
  <si>
    <t>32285001704542</t>
  </si>
  <si>
    <t>893262108</t>
  </si>
  <si>
    <t>HV95 .G5 1983</t>
  </si>
  <si>
    <t>0                      HV 0095000G  5           1983</t>
  </si>
  <si>
    <t>Capitalism and the welfare state : dilemmas of social benevolence / Neil Gilbert.</t>
  </si>
  <si>
    <t>Gilbert, Neil.</t>
  </si>
  <si>
    <t>1999-10-22</t>
  </si>
  <si>
    <t>347679621:eng</t>
  </si>
  <si>
    <t>9557397</t>
  </si>
  <si>
    <t>991001625719702656</t>
  </si>
  <si>
    <t>2266582920002656</t>
  </si>
  <si>
    <t>9780300031126</t>
  </si>
  <si>
    <t>32285000246800</t>
  </si>
  <si>
    <t>893516324</t>
  </si>
  <si>
    <t>HV95 .H259 1991</t>
  </si>
  <si>
    <t>0                      HV 0095000H  259         1991</t>
  </si>
  <si>
    <t>The moral construction of poverty : welfare reform in America / Joel F. Handler, Yeheskel Hasenfeld.</t>
  </si>
  <si>
    <t>Handler, Joel F.</t>
  </si>
  <si>
    <t>Newbury Park : Sage Publications, c1991.</t>
  </si>
  <si>
    <t>1995-11-29</t>
  </si>
  <si>
    <t>1992-01-21</t>
  </si>
  <si>
    <t>24500466:eng</t>
  </si>
  <si>
    <t>23081937</t>
  </si>
  <si>
    <t>991001837789702656</t>
  </si>
  <si>
    <t>2258805990002656</t>
  </si>
  <si>
    <t>9780803941984</t>
  </si>
  <si>
    <t>32285000865021</t>
  </si>
  <si>
    <t>893872839</t>
  </si>
  <si>
    <t>HV95 .H2595 1995</t>
  </si>
  <si>
    <t>0                      HV 0095000H  2595        1995</t>
  </si>
  <si>
    <t>The poverty of welfare reform / Joel F. Handler.</t>
  </si>
  <si>
    <t>1998-05-11</t>
  </si>
  <si>
    <t>1997-02-26</t>
  </si>
  <si>
    <t>34274746:eng</t>
  </si>
  <si>
    <t>32510916</t>
  </si>
  <si>
    <t>991001667279702656</t>
  </si>
  <si>
    <t>2257177020002656</t>
  </si>
  <si>
    <t>9780300064803</t>
  </si>
  <si>
    <t>32285002159571</t>
  </si>
  <si>
    <t>893334470</t>
  </si>
  <si>
    <t>HV95 .H554 1996</t>
  </si>
  <si>
    <t>0                      HV 0095000H  554         1996</t>
  </si>
  <si>
    <t>Welfare reform : a reference handbook / Mary Ellen Hombs.</t>
  </si>
  <si>
    <t>Hombs, Mary Ellen.</t>
  </si>
  <si>
    <t>Santa Barbara, Calif. : ABC-CLIO, 1996.</t>
  </si>
  <si>
    <t>1996-12-23</t>
  </si>
  <si>
    <t>1033269:eng</t>
  </si>
  <si>
    <t>35792351</t>
  </si>
  <si>
    <t>991002832959702656</t>
  </si>
  <si>
    <t>2260899630002656</t>
  </si>
  <si>
    <t>9780874368444</t>
  </si>
  <si>
    <t>32285002403151</t>
  </si>
  <si>
    <t>893622791</t>
  </si>
  <si>
    <t>HV95 .H75 1992</t>
  </si>
  <si>
    <t>0                      HV 0095000H  75          1992</t>
  </si>
  <si>
    <t>Human services as complex organizations / edited by Yeheskel Hasenfeld ; [distinguished contributors, Andrew Abbott ... et al.].</t>
  </si>
  <si>
    <t>Newbury Park, Calif. : Sage Publications, c1992.</t>
  </si>
  <si>
    <t>2006-12-14</t>
  </si>
  <si>
    <t>3873176787:eng</t>
  </si>
  <si>
    <t>25246120</t>
  </si>
  <si>
    <t>991001987049702656</t>
  </si>
  <si>
    <t>2256330130002656</t>
  </si>
  <si>
    <t>9780803940642</t>
  </si>
  <si>
    <t>32285001496891</t>
  </si>
  <si>
    <t>893497588</t>
  </si>
  <si>
    <t>HV95 .I46 2005</t>
  </si>
  <si>
    <t>0                      HV 0095000I  46          2005</t>
  </si>
  <si>
    <t>The impact of welfare reform : balancing safety nets and behavior modification / Christopher R. Larrison, Michael Sullivan, editors.</t>
  </si>
  <si>
    <t>New York : Haworth Social Work Practice Press, c2005.</t>
  </si>
  <si>
    <t>375424006:eng</t>
  </si>
  <si>
    <t>61687595</t>
  </si>
  <si>
    <t>991004924479702656</t>
  </si>
  <si>
    <t>2262971770002656</t>
  </si>
  <si>
    <t>9780789031594</t>
  </si>
  <si>
    <t>32285005228050</t>
  </si>
  <si>
    <t>893789242</t>
  </si>
  <si>
    <t>HV95 .J64 1985</t>
  </si>
  <si>
    <t>0                      HV 0095000J  64          1985</t>
  </si>
  <si>
    <t>By the few, for the few : the Reagan welfare legacy / Tom Joe, Cheryl Rogers.</t>
  </si>
  <si>
    <t>Joe, Tom.</t>
  </si>
  <si>
    <t>Lexington, Mass. : Lexington Books, c1985.</t>
  </si>
  <si>
    <t>429299695:eng</t>
  </si>
  <si>
    <t>12052556</t>
  </si>
  <si>
    <t>991000631259702656</t>
  </si>
  <si>
    <t>2258276510002656</t>
  </si>
  <si>
    <t>9780669101676</t>
  </si>
  <si>
    <t>32285000246842</t>
  </si>
  <si>
    <t>893802947</t>
  </si>
  <si>
    <t>HV95 .K428 1999</t>
  </si>
  <si>
    <t>0                      HV 0095000K  428         1999</t>
  </si>
  <si>
    <t>Designing and managing programs : an effectiveness-based approach / Peter M. Kettner, Robert M. Moroney, and Lawrence L. Martin.</t>
  </si>
  <si>
    <t>Sage sourcebooks for the human services ; v. 11</t>
  </si>
  <si>
    <t>2000-12-13</t>
  </si>
  <si>
    <t>1089655:eng</t>
  </si>
  <si>
    <t>39539414</t>
  </si>
  <si>
    <t>991003330159702656</t>
  </si>
  <si>
    <t>2259946410002656</t>
  </si>
  <si>
    <t>9780761915485</t>
  </si>
  <si>
    <t>32285004276662</t>
  </si>
  <si>
    <t>893799610</t>
  </si>
  <si>
    <t>HV95 .L46 1982</t>
  </si>
  <si>
    <t>0                      HV 0095000L  46          1982</t>
  </si>
  <si>
    <t>Deinstitutionalization and the welfare state / Paul Lerman.</t>
  </si>
  <si>
    <t>Lerman, Paul, 1926-</t>
  </si>
  <si>
    <t>New Brunswick, N.J. : Rutgers University Press, c1982.</t>
  </si>
  <si>
    <t>4237067:eng</t>
  </si>
  <si>
    <t>7551447</t>
  </si>
  <si>
    <t>991005123879702656</t>
  </si>
  <si>
    <t>2266078130002656</t>
  </si>
  <si>
    <t>9780813509341</t>
  </si>
  <si>
    <t>32285000246859</t>
  </si>
  <si>
    <t>893501356</t>
  </si>
  <si>
    <t>HV95 .L915 1981</t>
  </si>
  <si>
    <t>0                      HV 0095000L  915         1981</t>
  </si>
  <si>
    <t>The President as policymaker : Jimmy Carter and welfare reform / Laurence E. Lynn, Jr. and David deF. Whitman.</t>
  </si>
  <si>
    <t>Lynn, Laurence E., 1937-</t>
  </si>
  <si>
    <t>Philadelphia : Temple University Press, 1981.</t>
  </si>
  <si>
    <t>535786:eng</t>
  </si>
  <si>
    <t>7307378</t>
  </si>
  <si>
    <t>991005103449702656</t>
  </si>
  <si>
    <t>2259554460002656</t>
  </si>
  <si>
    <t>9780877222231</t>
  </si>
  <si>
    <t>32285001680908</t>
  </si>
  <si>
    <t>893514041</t>
  </si>
  <si>
    <t>HV95 .M267 1989</t>
  </si>
  <si>
    <t>0                      HV 0095000M  267         1989</t>
  </si>
  <si>
    <t>Managing human service organizations / edited by Lynn E. Miller.</t>
  </si>
  <si>
    <t>New York : Quorum Books, c1989.</t>
  </si>
  <si>
    <t>1989-12-29</t>
  </si>
  <si>
    <t>55168597:eng</t>
  </si>
  <si>
    <t>18986295</t>
  </si>
  <si>
    <t>991001423529702656</t>
  </si>
  <si>
    <t>2268410310002656</t>
  </si>
  <si>
    <t>9780899303055</t>
  </si>
  <si>
    <t>32285000019538</t>
  </si>
  <si>
    <t>893321927</t>
  </si>
  <si>
    <t>HV95 .M2737 2006</t>
  </si>
  <si>
    <t>0                      HV 0095000M  2737        2006</t>
  </si>
  <si>
    <t>Not working : Latina immigrants, low-wage jobs, and the failure of welfare reform / Alejandra Marchevsky and Jeanne Theoharis.</t>
  </si>
  <si>
    <t>Marchevsky, Alejandra.</t>
  </si>
  <si>
    <t>794098044:eng</t>
  </si>
  <si>
    <t>62089873</t>
  </si>
  <si>
    <t>991005131949702656</t>
  </si>
  <si>
    <t>2271071140002656</t>
  </si>
  <si>
    <t>9780814757093</t>
  </si>
  <si>
    <t>32285005363063</t>
  </si>
  <si>
    <t>893902173</t>
  </si>
  <si>
    <t>HV95 .M2743 1993</t>
  </si>
  <si>
    <t>0                      HV 0095000M  2743        1993</t>
  </si>
  <si>
    <t>Total quality management in human service organizations / Lawrence L. Martin.</t>
  </si>
  <si>
    <t>Newbury Park : Sage Publications, c1993.</t>
  </si>
  <si>
    <t>Sage human services guide ; 67</t>
  </si>
  <si>
    <t>2006-07-08</t>
  </si>
  <si>
    <t>1999-07-27</t>
  </si>
  <si>
    <t>30677348:eng</t>
  </si>
  <si>
    <t>28374375</t>
  </si>
  <si>
    <t>991002204329702656</t>
  </si>
  <si>
    <t>2254756080002656</t>
  </si>
  <si>
    <t>9780803949492</t>
  </si>
  <si>
    <t>32285003579272</t>
  </si>
  <si>
    <t>893244884</t>
  </si>
  <si>
    <t>HV95 .M49 1990</t>
  </si>
  <si>
    <t>0                      HV 0095000M  49          1990</t>
  </si>
  <si>
    <t>Women and social welfare : a feminist analysis / Dorothy C. Miller.</t>
  </si>
  <si>
    <t>Miller, Dorothy C.</t>
  </si>
  <si>
    <t>1994-04-16</t>
  </si>
  <si>
    <t>1990-06-20</t>
  </si>
  <si>
    <t>257230781:eng</t>
  </si>
  <si>
    <t>20056336</t>
  </si>
  <si>
    <t>991001533339702656</t>
  </si>
  <si>
    <t>2271254270002656</t>
  </si>
  <si>
    <t>9780275929732</t>
  </si>
  <si>
    <t>32285000178896</t>
  </si>
  <si>
    <t>893497148</t>
  </si>
  <si>
    <t>HV95 .M57 1986</t>
  </si>
  <si>
    <t>0                      HV 0095000M  57          1986</t>
  </si>
  <si>
    <t>American social welfare policy : reassessment and reform / Marc L. Miringoff, Sandra Opdycke.</t>
  </si>
  <si>
    <t>Miringoff, Marc L.</t>
  </si>
  <si>
    <t>2000-04-30</t>
  </si>
  <si>
    <t>309156425:eng</t>
  </si>
  <si>
    <t>12999050</t>
  </si>
  <si>
    <t>991000765669702656</t>
  </si>
  <si>
    <t>2262918460002656</t>
  </si>
  <si>
    <t>9780130295545</t>
  </si>
  <si>
    <t>32285000246909</t>
  </si>
  <si>
    <t>893865658</t>
  </si>
  <si>
    <t>HV95 .O42 1996</t>
  </si>
  <si>
    <t>0                      HV 0095000O  42          1996</t>
  </si>
  <si>
    <t>Renewing American compassion / Marvin Olasky ; foreword by Newt Gingrich.</t>
  </si>
  <si>
    <t>Olasky, Marvin N.</t>
  </si>
  <si>
    <t>New York : Free Press, c1996.</t>
  </si>
  <si>
    <t>1996-05-21</t>
  </si>
  <si>
    <t>650511:eng</t>
  </si>
  <si>
    <t>34076452</t>
  </si>
  <si>
    <t>991002600049702656</t>
  </si>
  <si>
    <t>2269768640002656</t>
  </si>
  <si>
    <t>9780684830001</t>
  </si>
  <si>
    <t>32285002176393</t>
  </si>
  <si>
    <t>893597648</t>
  </si>
  <si>
    <t>HV95 .P472 1997</t>
  </si>
  <si>
    <t>0                      HV 0095000P  472         1997</t>
  </si>
  <si>
    <t>From welfare to work : corporate initiatives and welfare reform / Felice Davidson Perlmutter.</t>
  </si>
  <si>
    <t>Perlmutter, Felice Davidson, 1931-</t>
  </si>
  <si>
    <t>New York : Oxford University Press, 1997.</t>
  </si>
  <si>
    <t>1998-04-14</t>
  </si>
  <si>
    <t>197565353:eng</t>
  </si>
  <si>
    <t>35095929</t>
  </si>
  <si>
    <t>991002686069702656</t>
  </si>
  <si>
    <t>2272324770002656</t>
  </si>
  <si>
    <t>9780195110159</t>
  </si>
  <si>
    <t>32285003384889</t>
  </si>
  <si>
    <t>893798876</t>
  </si>
  <si>
    <t>HV95 .P48 1990</t>
  </si>
  <si>
    <t>0                      HV 0095000P  48          1990</t>
  </si>
  <si>
    <t>Welfare magnets : a new case for a national standard / Paul E. Peterson and Mark C. Rom, authors.</t>
  </si>
  <si>
    <t>Peterson, Paul E.</t>
  </si>
  <si>
    <t>Washinton, D.C. : Brookings Institution, c1990.</t>
  </si>
  <si>
    <t>1999-03-01</t>
  </si>
  <si>
    <t>1990-11-28</t>
  </si>
  <si>
    <t>366940060:eng</t>
  </si>
  <si>
    <t>22314277</t>
  </si>
  <si>
    <t>991001767359702656</t>
  </si>
  <si>
    <t>2263951670002656</t>
  </si>
  <si>
    <t>9780815770213</t>
  </si>
  <si>
    <t>32285000297423</t>
  </si>
  <si>
    <t>893866464</t>
  </si>
  <si>
    <t>HV95 .P57 1993</t>
  </si>
  <si>
    <t>0                      HV 0095000P  57          1993</t>
  </si>
  <si>
    <t>Regulating the poor : the functions of public welfare / Frances Fox Piven and Richard A. Cloward.</t>
  </si>
  <si>
    <t>Piven, Frances Fox.</t>
  </si>
  <si>
    <t>New York : Vintage Books, 1993.</t>
  </si>
  <si>
    <t>Updated ed.</t>
  </si>
  <si>
    <t>346923:eng</t>
  </si>
  <si>
    <t>28026493</t>
  </si>
  <si>
    <t>991002177399702656</t>
  </si>
  <si>
    <t>2262865660002656</t>
  </si>
  <si>
    <t>9780679745167</t>
  </si>
  <si>
    <t>32285001833721</t>
  </si>
  <si>
    <t>893892243</t>
  </si>
  <si>
    <t>HV95 .P656 1995</t>
  </si>
  <si>
    <t>0                      HV 0095000P  656         1995</t>
  </si>
  <si>
    <t>The politics of welfare reform / edited by Donald F. Norris, Lyke Thompson.</t>
  </si>
  <si>
    <t>350410335:eng</t>
  </si>
  <si>
    <t>31899925</t>
  </si>
  <si>
    <t>991002444969702656</t>
  </si>
  <si>
    <t>2266956270002656</t>
  </si>
  <si>
    <t>9780803957008</t>
  </si>
  <si>
    <t>32285002101706</t>
  </si>
  <si>
    <t>893622290</t>
  </si>
  <si>
    <t>HV95 .P67 1989</t>
  </si>
  <si>
    <t>0                      HV 0095000P  67          1989</t>
  </si>
  <si>
    <t>Poverty and public policy in modern America / edited by Donald T. Critchlow, Ellis W. Hawley.</t>
  </si>
  <si>
    <t>Chicago, Ill. : Dorsey Press, c1989.</t>
  </si>
  <si>
    <t>1998-09-27</t>
  </si>
  <si>
    <t>17415682:eng</t>
  </si>
  <si>
    <t>18559147</t>
  </si>
  <si>
    <t>991001366839702656</t>
  </si>
  <si>
    <t>2260859310002656</t>
  </si>
  <si>
    <t>9780256060249</t>
  </si>
  <si>
    <t>32285000246925</t>
  </si>
  <si>
    <t>893702969</t>
  </si>
  <si>
    <t>HV95 .P737 1998</t>
  </si>
  <si>
    <t>0                      HV 0095000P  737         1998</t>
  </si>
  <si>
    <t>The privatization of human services / Margaret Gibelman, Harold W. Demone, Jr., editors.</t>
  </si>
  <si>
    <t>New York : Springer, c1998.</t>
  </si>
  <si>
    <t>2007-04-24</t>
  </si>
  <si>
    <t>629202:eng</t>
  </si>
  <si>
    <t>37281705</t>
  </si>
  <si>
    <t>991002831229702656</t>
  </si>
  <si>
    <t>2258058190002656</t>
  </si>
  <si>
    <t>9780826198709</t>
  </si>
  <si>
    <t>32285003643599</t>
  </si>
  <si>
    <t>893886789</t>
  </si>
  <si>
    <t>HV95 .P7372 2006</t>
  </si>
  <si>
    <t>0                      HV 0095000P  7372        2006</t>
  </si>
  <si>
    <t>The promise of welfare reform : political rhetoric and the reality of poverty in the twenty-first century / Keith M. Kilty, Elizabeth A. Segal, editors.</t>
  </si>
  <si>
    <t>894493551:eng</t>
  </si>
  <si>
    <t>61261274</t>
  </si>
  <si>
    <t>991004924519702656</t>
  </si>
  <si>
    <t>2266956330002656</t>
  </si>
  <si>
    <t>9780789029218</t>
  </si>
  <si>
    <t>32285005228217</t>
  </si>
  <si>
    <t>893412082</t>
  </si>
  <si>
    <t>HV95 .R45</t>
  </si>
  <si>
    <t>0                      HV 0095000R  45</t>
  </si>
  <si>
    <t>The impact of social welfare policies in the United States/ by Robert D. Reischauer ; with a commentary by Jack A. Meyer ; edited by Edgar R. Fiedler.</t>
  </si>
  <si>
    <t>Reischauer, Robert D. (Robert Danton), 1941-</t>
  </si>
  <si>
    <t>[New York, N.Y.] : Conference Board, [c1982]</t>
  </si>
  <si>
    <t>Report/The Conference Board ; no. 823.</t>
  </si>
  <si>
    <t>1999-11-14</t>
  </si>
  <si>
    <t>32669698:eng</t>
  </si>
  <si>
    <t>8634970</t>
  </si>
  <si>
    <t>991000039569702656</t>
  </si>
  <si>
    <t>2266906500002656</t>
  </si>
  <si>
    <t>9780823702602</t>
  </si>
  <si>
    <t>32285001680924</t>
  </si>
  <si>
    <t>893695531</t>
  </si>
  <si>
    <t>HV95 .R515 2005</t>
  </si>
  <si>
    <t>0                      HV 0095000R  515         2005</t>
  </si>
  <si>
    <t>How management matters : street-level bureaucrats and welfare reform / Norma M. Riccucci.</t>
  </si>
  <si>
    <t>Riccucci, Norma.</t>
  </si>
  <si>
    <t>Washington, D.C. : Georgetown University Press, 2005.</t>
  </si>
  <si>
    <t>Public management and change</t>
  </si>
  <si>
    <t>17284083:eng</t>
  </si>
  <si>
    <t>56617214</t>
  </si>
  <si>
    <t>991004910919702656</t>
  </si>
  <si>
    <t>2256850410002656</t>
  </si>
  <si>
    <t>9781589010413</t>
  </si>
  <si>
    <t>32285005225817</t>
  </si>
  <si>
    <t>893612896</t>
  </si>
  <si>
    <t>HV95 .S25</t>
  </si>
  <si>
    <t>0                      HV 0095000S  25</t>
  </si>
  <si>
    <t>Welfare of the poor / Mary Bryna Sanger.</t>
  </si>
  <si>
    <t>Sanger, Mary Bryna.</t>
  </si>
  <si>
    <t>New York : Academic Press, c1979.</t>
  </si>
  <si>
    <t>1996-04-01</t>
  </si>
  <si>
    <t>17307614:eng</t>
  </si>
  <si>
    <t>5411562</t>
  </si>
  <si>
    <t>991004831769702656</t>
  </si>
  <si>
    <t>2258528680002656</t>
  </si>
  <si>
    <t>9780126186505</t>
  </si>
  <si>
    <t>32285000246958</t>
  </si>
  <si>
    <t>893594150</t>
  </si>
  <si>
    <t>HV95 .T36 1996</t>
  </si>
  <si>
    <t>0                      HV 0095000T  36          1996</t>
  </si>
  <si>
    <t>The end of welfare : fighting poverty in the civil society / Michael Tanner.</t>
  </si>
  <si>
    <t>Tanner, Michael, 1956-</t>
  </si>
  <si>
    <t>Washington, D.C. : Cato Institute, c1996.</t>
  </si>
  <si>
    <t>2006-04-05</t>
  </si>
  <si>
    <t>1997-06-03</t>
  </si>
  <si>
    <t>20458001:eng</t>
  </si>
  <si>
    <t>35360604</t>
  </si>
  <si>
    <t>991002707019702656</t>
  </si>
  <si>
    <t>2266767810002656</t>
  </si>
  <si>
    <t>9781882577378</t>
  </si>
  <si>
    <t>32285002613502</t>
  </si>
  <si>
    <t>893786434</t>
  </si>
  <si>
    <t>HV95 .W45</t>
  </si>
  <si>
    <t>0                      HV 0095000W  45</t>
  </si>
  <si>
    <t>Welfare in America : controlling the "dangerous classes" / Betty Reid Mandell, editor.</t>
  </si>
  <si>
    <t>Englewood Cliffs, N.J. : Prentice-Hall, c1975.</t>
  </si>
  <si>
    <t>1996-04-29</t>
  </si>
  <si>
    <t>905857971:eng</t>
  </si>
  <si>
    <t>1637886</t>
  </si>
  <si>
    <t>991003850139702656</t>
  </si>
  <si>
    <t>2263004220002656</t>
  </si>
  <si>
    <t>9780139493133</t>
  </si>
  <si>
    <t>32285000102920</t>
  </si>
  <si>
    <t>893506062</t>
  </si>
  <si>
    <t>HV95 .W4545 1997</t>
  </si>
  <si>
    <t>0                      HV 0095000W  4545        1997</t>
  </si>
  <si>
    <t>Welfare reform / Charles P. Cozic, book editor.</t>
  </si>
  <si>
    <t>San Diego, Calif. : Greenhaven Press, c1997.</t>
  </si>
  <si>
    <t>1998-03-20</t>
  </si>
  <si>
    <t>56097024:eng</t>
  </si>
  <si>
    <t>35235162</t>
  </si>
  <si>
    <t>991002698659702656</t>
  </si>
  <si>
    <t>2255024870002656</t>
  </si>
  <si>
    <t>9781565105454</t>
  </si>
  <si>
    <t>32285003359196</t>
  </si>
  <si>
    <t>893335604</t>
  </si>
  <si>
    <t>HV95 .W4547 1999</t>
  </si>
  <si>
    <t>0                      HV 0095000W  4547        1999</t>
  </si>
  <si>
    <t>Welfare reform : a race to the bottom? / edited by Sanford F. Schram and Samuel H. Beer.</t>
  </si>
  <si>
    <t>Washington, D.C. : Woodrow Wilson Center Press ; Baltimore : Distributed by Johns Hopkins University Press, c1999.</t>
  </si>
  <si>
    <t>836980351:eng</t>
  </si>
  <si>
    <t>42603205</t>
  </si>
  <si>
    <t>991003233939702656</t>
  </si>
  <si>
    <t>2266238300002656</t>
  </si>
  <si>
    <t>9780943875934</t>
  </si>
  <si>
    <t>32285003761649</t>
  </si>
  <si>
    <t>893610839</t>
  </si>
  <si>
    <t>HV95 .W455 1988</t>
  </si>
  <si>
    <t>0                      HV 0095000W  455         1988</t>
  </si>
  <si>
    <t>Welfare reform : consensus or conflict? / edited by James S. Denton ; foreword by Daniel P. Moynihan.</t>
  </si>
  <si>
    <t>Lanham, MD : University Press of America, c1988.</t>
  </si>
  <si>
    <t>836749454:eng</t>
  </si>
  <si>
    <t>17953844</t>
  </si>
  <si>
    <t>991001285539702656</t>
  </si>
  <si>
    <t>2271872780002656</t>
  </si>
  <si>
    <t>9780819169037</t>
  </si>
  <si>
    <t>32285000246982</t>
  </si>
  <si>
    <t>893684222</t>
  </si>
  <si>
    <t>HV95 .W462 2002</t>
  </si>
  <si>
    <t>0                      HV 0095000W  462         2002</t>
  </si>
  <si>
    <t>Welfare reform : the next act / edited by Alan Weil and Kenneth Finegold.</t>
  </si>
  <si>
    <t>Washington, D.C. : Urban Institute Press, c2002.</t>
  </si>
  <si>
    <t>2003-02-20</t>
  </si>
  <si>
    <t>376393963:eng</t>
  </si>
  <si>
    <t>49031152</t>
  </si>
  <si>
    <t>991003952289702656</t>
  </si>
  <si>
    <t>2258253120002656</t>
  </si>
  <si>
    <t>9780877667100</t>
  </si>
  <si>
    <t>32285004699848</t>
  </si>
  <si>
    <t>893900608</t>
  </si>
  <si>
    <t>HV9557.5.R63 A3 1995</t>
  </si>
  <si>
    <t>0                      HV 9557500R  63                 A  3           1995</t>
  </si>
  <si>
    <t>Diary of a survivor : nineteen years in a Cuban women's prison / by Ana Rodríguez and Glenn Garvin.</t>
  </si>
  <si>
    <t>Rodríguez, Ana.</t>
  </si>
  <si>
    <t>New York : St. Martin's Press, 1995.</t>
  </si>
  <si>
    <t>2008-09-09</t>
  </si>
  <si>
    <t>1996-02-22</t>
  </si>
  <si>
    <t>34017829:eng</t>
  </si>
  <si>
    <t>32166387</t>
  </si>
  <si>
    <t>991002468639702656</t>
  </si>
  <si>
    <t>2266173030002656</t>
  </si>
  <si>
    <t>9780312130503</t>
  </si>
  <si>
    <t>32285002137296</t>
  </si>
  <si>
    <t>893892585</t>
  </si>
  <si>
    <t>HV9644 .I36 1980</t>
  </si>
  <si>
    <t>0                      HV 9644000I  36          1980</t>
  </si>
  <si>
    <t>A just measure of pain : the penitentiary in the Industrial Revolution, 1750-1850 / Michael Ignatieff.</t>
  </si>
  <si>
    <t>Ignatieff, Michael.</t>
  </si>
  <si>
    <t>New York : Columbia University Press, 1980, c1978.</t>
  </si>
  <si>
    <t>Columbia University Press morningside ed.</t>
  </si>
  <si>
    <t>836719412:eng</t>
  </si>
  <si>
    <t>6087202</t>
  </si>
  <si>
    <t>991004927599702656</t>
  </si>
  <si>
    <t>2259492830002656</t>
  </si>
  <si>
    <t>9780231050579</t>
  </si>
  <si>
    <t>32285000529700</t>
  </si>
  <si>
    <t>893501099</t>
  </si>
  <si>
    <t>HV97.A3 C484 1996</t>
  </si>
  <si>
    <t>0                      HV 0097000A  3                  C  484         1996</t>
  </si>
  <si>
    <t>Welfare in America : Christian perpectives on a policy in crisis / edited by Stanley W. Carlson-Thies and James W. Skillen.</t>
  </si>
  <si>
    <t>Grand Rapids, Mich. : William B. Eerdmans Pub., c1996.</t>
  </si>
  <si>
    <t>367473260:eng</t>
  </si>
  <si>
    <t>33281644</t>
  </si>
  <si>
    <t>991005422419702656</t>
  </si>
  <si>
    <t>2270566860002656</t>
  </si>
  <si>
    <t>9780802841278</t>
  </si>
  <si>
    <t>32285002144458</t>
  </si>
  <si>
    <t>893444008</t>
  </si>
  <si>
    <t>HV97.H32 F84 1980</t>
  </si>
  <si>
    <t>0                      HV 0097000H  32                 F  84          1980</t>
  </si>
  <si>
    <t>Love in the mortar joints : the story of Habitat for Humanity / by Millard Fuller and Diane Scott.</t>
  </si>
  <si>
    <t>Fuller, Millard, 1935-2009.</t>
  </si>
  <si>
    <t>Chicago : Association Press, c1980.</t>
  </si>
  <si>
    <t>2007-09-04</t>
  </si>
  <si>
    <t>290370319:eng</t>
  </si>
  <si>
    <t>6195733</t>
  </si>
  <si>
    <t>991004943109702656</t>
  </si>
  <si>
    <t>2265721180002656</t>
  </si>
  <si>
    <t>9780695814441</t>
  </si>
  <si>
    <t>32285000872993</t>
  </si>
  <si>
    <t>893694536</t>
  </si>
  <si>
    <t>HV9713 .S6415 1973</t>
  </si>
  <si>
    <t>0                      HV 9713000S  6415        1973</t>
  </si>
  <si>
    <t>Der Archipel Gulag / Alexander Solschenizyn.</t>
  </si>
  <si>
    <t>Solzhenit︠s︡yn, Aleksandr Isaevich, 1918-2008.</t>
  </si>
  <si>
    <t>Bern : Scherz, [c1973]</t>
  </si>
  <si>
    <t>ger</t>
  </si>
  <si>
    <t xml:space="preserve">sz </t>
  </si>
  <si>
    <t>9323035624:ger</t>
  </si>
  <si>
    <t>10769145</t>
  </si>
  <si>
    <t>991000428309702656</t>
  </si>
  <si>
    <t>2266608170002656</t>
  </si>
  <si>
    <t>32285001802379</t>
  </si>
  <si>
    <t>893508764</t>
  </si>
  <si>
    <t>HV98.C3 A46 1988</t>
  </si>
  <si>
    <t>0                      HV 0098000C  3                  A  46          1988</t>
  </si>
  <si>
    <t>Welfare dependence and welfare policy : a statistical study / Vicky N. Albert ; foreword by Michael Wiseman.</t>
  </si>
  <si>
    <t>Albert, Vicky N., 1954-</t>
  </si>
  <si>
    <t>Studies in social welfare policies and programs, 8755-5360 ; no. 8</t>
  </si>
  <si>
    <t>1997-11-09</t>
  </si>
  <si>
    <t>1990-06-29</t>
  </si>
  <si>
    <t>138630606:eng</t>
  </si>
  <si>
    <t>17982692</t>
  </si>
  <si>
    <t>991001289649702656</t>
  </si>
  <si>
    <t>2259404160002656</t>
  </si>
  <si>
    <t>9780313261756</t>
  </si>
  <si>
    <t>32285000206283</t>
  </si>
  <si>
    <t>893346398</t>
  </si>
  <si>
    <t>HV98.C6 K73 2005</t>
  </si>
  <si>
    <t>0                      HV 0098000C  6                  K  73          2005</t>
  </si>
  <si>
    <t>Delivering aid : implementing progressive era welfare in the American West / Thomas A. Krainz.</t>
  </si>
  <si>
    <t>Krainz, Thomas A., 1965-</t>
  </si>
  <si>
    <t>Albuquerque : University of New Mexico Press, 2005.</t>
  </si>
  <si>
    <t>nmu</t>
  </si>
  <si>
    <t>943083580:eng</t>
  </si>
  <si>
    <t>60705498</t>
  </si>
  <si>
    <t>991005275329702656</t>
  </si>
  <si>
    <t>2265357560002656</t>
  </si>
  <si>
    <t>9780826330253</t>
  </si>
  <si>
    <t>32285005467278</t>
  </si>
  <si>
    <t>893688875</t>
  </si>
  <si>
    <t>HV98.S9 N48 2003</t>
  </si>
  <si>
    <t>0                      HV 0098000S  9                  N  48          2003</t>
  </si>
  <si>
    <t>The New Deal and beyond : social welfare in the South since 1930 / edited by Elna C. Green.</t>
  </si>
  <si>
    <t>Athens : University of Georgia Press, c2003.</t>
  </si>
  <si>
    <t>gau</t>
  </si>
  <si>
    <t>837335075:eng</t>
  </si>
  <si>
    <t>50243267</t>
  </si>
  <si>
    <t>991004358539702656</t>
  </si>
  <si>
    <t>2268138790002656</t>
  </si>
  <si>
    <t>9780820324814</t>
  </si>
  <si>
    <t>32285004989173</t>
  </si>
  <si>
    <t>893593594</t>
  </si>
  <si>
    <t>HV985 .C64 2010</t>
  </si>
  <si>
    <t>0                      HV 0985000C  64          2010</t>
  </si>
  <si>
    <t>Mail-order kid : an Orphan Train rider's story / Marilyn June Coffey.</t>
  </si>
  <si>
    <t>Coffey, Marilyn June.</t>
  </si>
  <si>
    <t>Omaha, Neb. : "Out West" Press, c2010.</t>
  </si>
  <si>
    <t>nbu</t>
  </si>
  <si>
    <t>2010-11-02</t>
  </si>
  <si>
    <t>3770994965:eng</t>
  </si>
  <si>
    <t>697319807</t>
  </si>
  <si>
    <t>991000191299702656</t>
  </si>
  <si>
    <t>2262556100002656</t>
  </si>
  <si>
    <t>9780962631726</t>
  </si>
  <si>
    <t>32285005603591</t>
  </si>
  <si>
    <t>893237148</t>
  </si>
  <si>
    <t>HV99.B6 T48 1997</t>
  </si>
  <si>
    <t>0                      HV 0099000B  6                  T  48          1997</t>
  </si>
  <si>
    <t>Through my own eyes : single mothers and the cultures of poverty / Susan D. Holloway ... [et al.].</t>
  </si>
  <si>
    <t>2003-04-25</t>
  </si>
  <si>
    <t>1998-04-13</t>
  </si>
  <si>
    <t>837143921:eng</t>
  </si>
  <si>
    <t>37037431</t>
  </si>
  <si>
    <t>991002819359702656</t>
  </si>
  <si>
    <t>2259324310002656</t>
  </si>
  <si>
    <t>9780674891227</t>
  </si>
  <si>
    <t>32285003384426</t>
  </si>
  <si>
    <t>893886770</t>
  </si>
  <si>
    <t>HV99.N59 D8</t>
  </si>
  <si>
    <t>0                      HV 0099000N  59                 D  8</t>
  </si>
  <si>
    <t>Welfare income and employment; an economic analysis of family choice [by] Elizabeth F. Durbin. Pref. by Oscar A. Ornati.</t>
  </si>
  <si>
    <t>Durbin, Elizabeth F.</t>
  </si>
  <si>
    <t>New York, Praeger [1969]</t>
  </si>
  <si>
    <t>Labor economics and urban studies ; v. 1</t>
  </si>
  <si>
    <t>1994-10-26</t>
  </si>
  <si>
    <t>1181427:eng</t>
  </si>
  <si>
    <t>54316</t>
  </si>
  <si>
    <t>991000131449702656</t>
  </si>
  <si>
    <t>2258196980002656</t>
  </si>
  <si>
    <t>32285001681021</t>
  </si>
  <si>
    <t>893714340</t>
  </si>
  <si>
    <t>HV99.N59 P66 1989</t>
  </si>
  <si>
    <t>0                      HV 0099000N  59                 P  66          1989</t>
  </si>
  <si>
    <t>Biting the hand that feeds them : organizing women on welfare at the grass roots level / Jacqueline Pope.</t>
  </si>
  <si>
    <t>Pope, Jacqueline.</t>
  </si>
  <si>
    <t>2000-04-19</t>
  </si>
  <si>
    <t>1996-06-06</t>
  </si>
  <si>
    <t>367777388:eng</t>
  </si>
  <si>
    <t>18442462</t>
  </si>
  <si>
    <t>991001351889702656</t>
  </si>
  <si>
    <t>2269537550002656</t>
  </si>
  <si>
    <t>9780275929220</t>
  </si>
  <si>
    <t>32285002188562</t>
  </si>
  <si>
    <t>893414180</t>
  </si>
  <si>
    <t>HV9950 .A334 2007</t>
  </si>
  <si>
    <t>0                      HV 9950000A  334         2007</t>
  </si>
  <si>
    <t>American furies : crime, punishment, and vengeance in the age of mass imprisonment / Sasha Abramsky.</t>
  </si>
  <si>
    <t>Abramsky, Sasha.</t>
  </si>
  <si>
    <t>Boston : Beacon Press, c2007.</t>
  </si>
  <si>
    <t>796458875:eng</t>
  </si>
  <si>
    <t>71507740</t>
  </si>
  <si>
    <t>991005269419702656</t>
  </si>
  <si>
    <t>2266020270002656</t>
  </si>
  <si>
    <t>9780807042229</t>
  </si>
  <si>
    <t>32285005462774</t>
  </si>
  <si>
    <t>893236567</t>
  </si>
  <si>
    <t>HV9950 .B86 2004</t>
  </si>
  <si>
    <t>0                      HV 9950000B  86          2004</t>
  </si>
  <si>
    <t>Profiling and criminal justice in America : a reference handbook / Jeffrey B. Bumgarner.</t>
  </si>
  <si>
    <t>Santa Barbara, Calif. : ABC-CLIO, [2004]</t>
  </si>
  <si>
    <t>815430:eng</t>
  </si>
  <si>
    <t>55679301</t>
  </si>
  <si>
    <t>991004382659702656</t>
  </si>
  <si>
    <t>2258699460002656</t>
  </si>
  <si>
    <t>9781851094691</t>
  </si>
  <si>
    <t>32285005001150</t>
  </si>
  <si>
    <t>893423723</t>
  </si>
  <si>
    <t>HV9950 .C66 1988</t>
  </si>
  <si>
    <t>0                      HV 9950000C  66          1988</t>
  </si>
  <si>
    <t>Controversial issues in crime and justice / edited by Joseph E. Scott [and] Travis Hirschi.</t>
  </si>
  <si>
    <t>Studies in crime, law, and justice ; v. 1</t>
  </si>
  <si>
    <t>349916282:eng</t>
  </si>
  <si>
    <t>16900836</t>
  </si>
  <si>
    <t>991001161699702656</t>
  </si>
  <si>
    <t>2268669870002656</t>
  </si>
  <si>
    <t>9780803929135</t>
  </si>
  <si>
    <t>32285000097633</t>
  </si>
  <si>
    <t>893797349</t>
  </si>
  <si>
    <t>HV9950 .D94 2000</t>
  </si>
  <si>
    <t>0                      HV 9950000D  94          2000</t>
  </si>
  <si>
    <t>The perpetual prisoner machine : how America profits from crime / by Joel Dyer.</t>
  </si>
  <si>
    <t>Dyer, Joel.</t>
  </si>
  <si>
    <t>Boulder, Colo : Westview Press, 2000.</t>
  </si>
  <si>
    <t>2000-10-18</t>
  </si>
  <si>
    <t>2020782:eng</t>
  </si>
  <si>
    <t>42393517</t>
  </si>
  <si>
    <t>991003283499702656</t>
  </si>
  <si>
    <t>2269156080002656</t>
  </si>
  <si>
    <t>9780813335070</t>
  </si>
  <si>
    <t>32285003768487</t>
  </si>
  <si>
    <t>893717496</t>
  </si>
  <si>
    <t>HV9950 .G58 1997</t>
  </si>
  <si>
    <t>0                      HV 9950000G  58          1997</t>
  </si>
  <si>
    <t>Profitable penalties : how to cut both crime rates and costs / Daniel Glaser.</t>
  </si>
  <si>
    <t>Thousand Oaks, Calif. : Pine Forge Press, c1997.</t>
  </si>
  <si>
    <t>591306:eng</t>
  </si>
  <si>
    <t>36284506</t>
  </si>
  <si>
    <t>991002765439702656</t>
  </si>
  <si>
    <t>2271031900002656</t>
  </si>
  <si>
    <t>9780761985341</t>
  </si>
  <si>
    <t>32285003668265</t>
  </si>
  <si>
    <t>893233386</t>
  </si>
  <si>
    <t>HV9950 .H46 1994</t>
  </si>
  <si>
    <t>0                      HV 9950000H  46          1994</t>
  </si>
  <si>
    <t>Crimes of the criminal justice system / Joel H. Henderson, David R. Simon.</t>
  </si>
  <si>
    <t>Henderson, Joel H.</t>
  </si>
  <si>
    <t>31826057:eng</t>
  </si>
  <si>
    <t>29590698</t>
  </si>
  <si>
    <t>991002281699702656</t>
  </si>
  <si>
    <t>2262015610002656</t>
  </si>
  <si>
    <t>9780870841637</t>
  </si>
  <si>
    <t>32285003514691</t>
  </si>
  <si>
    <t>893798397</t>
  </si>
  <si>
    <t>HV9950 .M3 1996</t>
  </si>
  <si>
    <t>0                      HV 9950000M  3           1996</t>
  </si>
  <si>
    <t>Doing justice, doing gender / Susan Ehrlich Martin, Nancy C. Jurik.</t>
  </si>
  <si>
    <t>Martin, Susan Ehrlich.</t>
  </si>
  <si>
    <t>Women and the criminal justice system</t>
  </si>
  <si>
    <t>1996-12-10</t>
  </si>
  <si>
    <t>10678276226:eng</t>
  </si>
  <si>
    <t>33440775</t>
  </si>
  <si>
    <t>991002573339702656</t>
  </si>
  <si>
    <t>2265892090002656</t>
  </si>
  <si>
    <t>9780803951976</t>
  </si>
  <si>
    <t>32285002389517</t>
  </si>
  <si>
    <t>893704232</t>
  </si>
  <si>
    <t>HV9950 .W56 1998</t>
  </si>
  <si>
    <t>0                      HV 9950000W  56          1998</t>
  </si>
  <si>
    <t>Politics, punishment, and populism / Lord Windlesham.</t>
  </si>
  <si>
    <t>Windlesham, David James George Hennessy, Baron, 1932-2010.</t>
  </si>
  <si>
    <t>New York : Oxford University Press, 1998.</t>
  </si>
  <si>
    <t>2006-03-24</t>
  </si>
  <si>
    <t>2000-07-31</t>
  </si>
  <si>
    <t>767081580:eng</t>
  </si>
  <si>
    <t>38120616</t>
  </si>
  <si>
    <t>991003225309702656</t>
  </si>
  <si>
    <t>2265333380002656</t>
  </si>
  <si>
    <t>9780195115307</t>
  </si>
  <si>
    <t>32285003743910</t>
  </si>
  <si>
    <t>893511708</t>
  </si>
  <si>
    <t>HV9955.O5 F85 2003</t>
  </si>
  <si>
    <t>0                      HV 9955000O  5                  F  85          2003</t>
  </si>
  <si>
    <t>Death and justice : an exposé of Oklahoma's death row machine / Mark Fuhrman.</t>
  </si>
  <si>
    <t>Fuhrman, Mark.</t>
  </si>
  <si>
    <t>New York : Morrow, c2003.</t>
  </si>
  <si>
    <t>2003-10-29</t>
  </si>
  <si>
    <t>2003-09-30</t>
  </si>
  <si>
    <t>647604:eng</t>
  </si>
  <si>
    <t>50958896</t>
  </si>
  <si>
    <t>991004112199702656</t>
  </si>
  <si>
    <t>2255978420002656</t>
  </si>
  <si>
    <t>9780060009175</t>
  </si>
  <si>
    <t>32285004786371</t>
  </si>
  <si>
    <t>893500127</t>
  </si>
  <si>
    <t>HV9955.W4 R45 1997</t>
  </si>
  <si>
    <t>0                      HV 9955000W  4                  R  45          1997</t>
  </si>
  <si>
    <t>Policing the elephant : crime, punishment, and social behavior on the Overland Trail / by John Phillip Reid.</t>
  </si>
  <si>
    <t>Reid, John Phillip.</t>
  </si>
  <si>
    <t>San Marino, Calif. : Huntington Library, c1997.</t>
  </si>
  <si>
    <t>1999-10-03</t>
  </si>
  <si>
    <t>1997-04-04</t>
  </si>
  <si>
    <t>476876259:eng</t>
  </si>
  <si>
    <t>35159215</t>
  </si>
  <si>
    <t>991002691839702656</t>
  </si>
  <si>
    <t>2262348050002656</t>
  </si>
  <si>
    <t>9780873281591</t>
  </si>
  <si>
    <t>32285002479466</t>
  </si>
  <si>
    <t>893445306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</si>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</sst>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55FF-718C-4F02-8046-3AFA773EEF6C}">
  <dimension ref="A1:BD1500"/>
  <sheetViews>
    <sheetView tabSelected="1" workbookViewId="0">
      <pane ySplit="1" topLeftCell="A2" activePane="bottomLeft" state="frozen"/>
      <selection pane="bottomLeft" activeCell="S2" sqref="S2"/>
    </sheetView>
  </sheetViews>
  <sheetFormatPr defaultRowHeight="45.75" customHeight="1" x14ac:dyDescent="0.25"/>
  <cols>
    <col min="1" max="1" width="16.28515625" customWidth="1"/>
    <col min="2" max="2" width="15.5703125" customWidth="1"/>
    <col min="3" max="3" width="0" hidden="1" customWidth="1"/>
    <col min="4" max="4" width="38.5703125" customWidth="1"/>
    <col min="6" max="10" width="0" hidden="1" customWidth="1"/>
    <col min="11" max="11" width="13.5703125" customWidth="1"/>
    <col min="12" max="12" width="15.57031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5.140625" customWidth="1"/>
    <col min="32" max="41" width="0" hidden="1" customWidth="1"/>
    <col min="42" max="44" width="11" customWidth="1"/>
    <col min="47" max="56" width="0" hidden="1" customWidth="1"/>
  </cols>
  <sheetData>
    <row r="1" spans="1:56" ht="45.75" customHeight="1" x14ac:dyDescent="0.25">
      <c r="A1" s="8" t="s">
        <v>19363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5.7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N2" s="2" t="s">
        <v>64</v>
      </c>
      <c r="O2" s="3" t="s">
        <v>65</v>
      </c>
      <c r="P2" s="3" t="s">
        <v>66</v>
      </c>
      <c r="R2" s="3" t="s">
        <v>67</v>
      </c>
      <c r="S2" s="4">
        <v>3</v>
      </c>
      <c r="T2" s="4">
        <v>3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345</v>
      </c>
      <c r="Z2" s="4">
        <v>319</v>
      </c>
      <c r="AA2" s="4">
        <v>511</v>
      </c>
      <c r="AB2" s="4">
        <v>3</v>
      </c>
      <c r="AC2" s="4">
        <v>4</v>
      </c>
      <c r="AD2" s="4">
        <v>12</v>
      </c>
      <c r="AE2" s="4">
        <v>21</v>
      </c>
      <c r="AF2" s="4">
        <v>2</v>
      </c>
      <c r="AG2" s="4">
        <v>7</v>
      </c>
      <c r="AH2" s="4">
        <v>3</v>
      </c>
      <c r="AI2" s="4">
        <v>6</v>
      </c>
      <c r="AJ2" s="4">
        <v>7</v>
      </c>
      <c r="AK2" s="4">
        <v>9</v>
      </c>
      <c r="AL2" s="4">
        <v>2</v>
      </c>
      <c r="AM2" s="4">
        <v>3</v>
      </c>
      <c r="AN2" s="4">
        <v>0</v>
      </c>
      <c r="AO2" s="4">
        <v>0</v>
      </c>
      <c r="AP2" s="3" t="s">
        <v>58</v>
      </c>
      <c r="AQ2" s="3" t="s">
        <v>58</v>
      </c>
      <c r="AS2" s="6" t="str">
        <f>HYPERLINK("https://creighton-primo.hosted.exlibrisgroup.com/primo-explore/search?tab=default_tab&amp;search_scope=EVERYTHING&amp;vid=01CRU&amp;lang=en_US&amp;offset=0&amp;query=any,contains,991004408949702656","Catalog Record")</f>
        <v>Catalog Record</v>
      </c>
      <c r="AT2" s="6" t="str">
        <f>HYPERLINK("http://www.worldcat.org/oclc/56096062","WorldCat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B2" s="3" t="s">
        <v>75</v>
      </c>
      <c r="BC2" s="3" t="s">
        <v>76</v>
      </c>
      <c r="BD2" s="3" t="s">
        <v>77</v>
      </c>
    </row>
    <row r="3" spans="1:56" ht="45.75" customHeight="1" x14ac:dyDescent="0.25">
      <c r="A3" s="7" t="s">
        <v>58</v>
      </c>
      <c r="B3" s="2" t="s">
        <v>78</v>
      </c>
      <c r="C3" s="2" t="s">
        <v>79</v>
      </c>
      <c r="D3" s="2" t="s">
        <v>80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81</v>
      </c>
      <c r="L3" s="2" t="s">
        <v>82</v>
      </c>
      <c r="M3" s="3" t="s">
        <v>83</v>
      </c>
      <c r="O3" s="3" t="s">
        <v>65</v>
      </c>
      <c r="P3" s="3" t="s">
        <v>84</v>
      </c>
      <c r="R3" s="3" t="s">
        <v>67</v>
      </c>
      <c r="S3" s="4">
        <v>4</v>
      </c>
      <c r="T3" s="4">
        <v>4</v>
      </c>
      <c r="U3" s="5" t="s">
        <v>85</v>
      </c>
      <c r="V3" s="5" t="s">
        <v>85</v>
      </c>
      <c r="W3" s="5" t="s">
        <v>86</v>
      </c>
      <c r="X3" s="5" t="s">
        <v>86</v>
      </c>
      <c r="Y3" s="4">
        <v>268</v>
      </c>
      <c r="Z3" s="4">
        <v>235</v>
      </c>
      <c r="AA3" s="4">
        <v>412</v>
      </c>
      <c r="AB3" s="4">
        <v>2</v>
      </c>
      <c r="AC3" s="4">
        <v>2</v>
      </c>
      <c r="AD3" s="4">
        <v>10</v>
      </c>
      <c r="AE3" s="4">
        <v>15</v>
      </c>
      <c r="AF3" s="4">
        <v>5</v>
      </c>
      <c r="AG3" s="4">
        <v>5</v>
      </c>
      <c r="AH3" s="4">
        <v>3</v>
      </c>
      <c r="AI3" s="4">
        <v>4</v>
      </c>
      <c r="AJ3" s="4">
        <v>4</v>
      </c>
      <c r="AK3" s="4">
        <v>9</v>
      </c>
      <c r="AL3" s="4">
        <v>1</v>
      </c>
      <c r="AM3" s="4">
        <v>1</v>
      </c>
      <c r="AN3" s="4">
        <v>0</v>
      </c>
      <c r="AO3" s="4">
        <v>0</v>
      </c>
      <c r="AP3" s="3" t="s">
        <v>58</v>
      </c>
      <c r="AQ3" s="3" t="s">
        <v>87</v>
      </c>
      <c r="AR3" s="6" t="str">
        <f>HYPERLINK("http://catalog.hathitrust.org/Record/000388608","HathiTrust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HYPERLINK("https://creighton-primo.hosted.exlibrisgroup.com/primo-explore/search?tab=default_tab&amp;search_scope=EVERYTHING&amp;vid=01CRU&amp;lang=en_US&amp;offset=0&amp;query=any,contains,991000647269702656","Catalog Record")</f>
        <v>Catalog Record</v>
      </c>
      <c r="AT3" s="6" t="str">
        <f>HYPERLINK("http://www.worldcat.org/oclc/12135241","WorldCat Record")</f>
        <v>WorldCat Record</v>
      </c>
      <c r="AU3" s="3" t="s">
        <v>88</v>
      </c>
      <c r="AV3" s="3" t="s">
        <v>89</v>
      </c>
      <c r="AW3" s="3" t="s">
        <v>90</v>
      </c>
      <c r="AX3" s="3" t="s">
        <v>90</v>
      </c>
      <c r="AY3" s="3" t="s">
        <v>91</v>
      </c>
      <c r="AZ3" s="3" t="s">
        <v>74</v>
      </c>
      <c r="BB3" s="3" t="s">
        <v>92</v>
      </c>
      <c r="BC3" s="3" t="s">
        <v>93</v>
      </c>
      <c r="BD3" s="3" t="s">
        <v>94</v>
      </c>
    </row>
    <row r="4" spans="1:56" ht="45.75" customHeight="1" x14ac:dyDescent="0.25">
      <c r="A4" s="7" t="s">
        <v>58</v>
      </c>
      <c r="B4" s="2" t="s">
        <v>95</v>
      </c>
      <c r="C4" s="2" t="s">
        <v>96</v>
      </c>
      <c r="D4" s="2" t="s">
        <v>97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98</v>
      </c>
      <c r="L4" s="2" t="s">
        <v>99</v>
      </c>
      <c r="M4" s="3" t="s">
        <v>100</v>
      </c>
      <c r="O4" s="3" t="s">
        <v>65</v>
      </c>
      <c r="P4" s="3" t="s">
        <v>101</v>
      </c>
      <c r="R4" s="3" t="s">
        <v>67</v>
      </c>
      <c r="S4" s="4">
        <v>2</v>
      </c>
      <c r="T4" s="4">
        <v>2</v>
      </c>
      <c r="U4" s="5" t="s">
        <v>102</v>
      </c>
      <c r="V4" s="5" t="s">
        <v>102</v>
      </c>
      <c r="W4" s="5" t="s">
        <v>103</v>
      </c>
      <c r="X4" s="5" t="s">
        <v>103</v>
      </c>
      <c r="Y4" s="4">
        <v>189</v>
      </c>
      <c r="Z4" s="4">
        <v>113</v>
      </c>
      <c r="AA4" s="4">
        <v>147</v>
      </c>
      <c r="AB4" s="4">
        <v>1</v>
      </c>
      <c r="AC4" s="4">
        <v>1</v>
      </c>
      <c r="AD4" s="4">
        <v>3</v>
      </c>
      <c r="AE4" s="4">
        <v>3</v>
      </c>
      <c r="AF4" s="4">
        <v>0</v>
      </c>
      <c r="AG4" s="4">
        <v>0</v>
      </c>
      <c r="AH4" s="4">
        <v>1</v>
      </c>
      <c r="AI4" s="4">
        <v>1</v>
      </c>
      <c r="AJ4" s="4">
        <v>3</v>
      </c>
      <c r="AK4" s="4">
        <v>3</v>
      </c>
      <c r="AL4" s="4">
        <v>0</v>
      </c>
      <c r="AM4" s="4">
        <v>0</v>
      </c>
      <c r="AN4" s="4">
        <v>0</v>
      </c>
      <c r="AO4" s="4">
        <v>0</v>
      </c>
      <c r="AP4" s="3" t="s">
        <v>58</v>
      </c>
      <c r="AQ4" s="3" t="s">
        <v>87</v>
      </c>
      <c r="AR4" s="6" t="str">
        <f>HYPERLINK("http://catalog.hathitrust.org/Record/000698847","HathiTrust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HYPERLINK("https://creighton-primo.hosted.exlibrisgroup.com/primo-explore/search?tab=default_tab&amp;search_scope=EVERYTHING&amp;vid=01CRU&amp;lang=en_US&amp;offset=0&amp;query=any,contains,991003892919702656","Catalog Record")</f>
        <v>Catalog Record</v>
      </c>
      <c r="AT4" s="6" t="str">
        <f>HYPERLINK("http://www.worldcat.org/oclc/1801037","WorldCat Record")</f>
        <v>WorldCat Record</v>
      </c>
      <c r="AU4" s="3" t="s">
        <v>104</v>
      </c>
      <c r="AV4" s="3" t="s">
        <v>105</v>
      </c>
      <c r="AW4" s="3" t="s">
        <v>106</v>
      </c>
      <c r="AX4" s="3" t="s">
        <v>106</v>
      </c>
      <c r="AY4" s="3" t="s">
        <v>107</v>
      </c>
      <c r="AZ4" s="3" t="s">
        <v>74</v>
      </c>
      <c r="BB4" s="3" t="s">
        <v>108</v>
      </c>
      <c r="BC4" s="3" t="s">
        <v>109</v>
      </c>
      <c r="BD4" s="3" t="s">
        <v>110</v>
      </c>
    </row>
    <row r="5" spans="1:56" ht="45.75" customHeight="1" x14ac:dyDescent="0.25">
      <c r="A5" s="7" t="s">
        <v>58</v>
      </c>
      <c r="B5" s="2" t="s">
        <v>111</v>
      </c>
      <c r="C5" s="2" t="s">
        <v>112</v>
      </c>
      <c r="D5" s="2" t="s">
        <v>113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114</v>
      </c>
      <c r="L5" s="2" t="s">
        <v>115</v>
      </c>
      <c r="M5" s="3" t="s">
        <v>116</v>
      </c>
      <c r="N5" s="2" t="s">
        <v>64</v>
      </c>
      <c r="O5" s="3" t="s">
        <v>65</v>
      </c>
      <c r="P5" s="3" t="s">
        <v>101</v>
      </c>
      <c r="R5" s="3" t="s">
        <v>67</v>
      </c>
      <c r="S5" s="4">
        <v>5</v>
      </c>
      <c r="T5" s="4">
        <v>5</v>
      </c>
      <c r="U5" s="5" t="s">
        <v>117</v>
      </c>
      <c r="V5" s="5" t="s">
        <v>117</v>
      </c>
      <c r="W5" s="5" t="s">
        <v>118</v>
      </c>
      <c r="X5" s="5" t="s">
        <v>118</v>
      </c>
      <c r="Y5" s="4">
        <v>147</v>
      </c>
      <c r="Z5" s="4">
        <v>78</v>
      </c>
      <c r="AA5" s="4">
        <v>111</v>
      </c>
      <c r="AB5" s="4">
        <v>1</v>
      </c>
      <c r="AC5" s="4">
        <v>1</v>
      </c>
      <c r="AD5" s="4">
        <v>2</v>
      </c>
      <c r="AE5" s="4">
        <v>3</v>
      </c>
      <c r="AF5" s="4">
        <v>2</v>
      </c>
      <c r="AG5" s="4">
        <v>2</v>
      </c>
      <c r="AH5" s="4">
        <v>0</v>
      </c>
      <c r="AI5" s="4">
        <v>0</v>
      </c>
      <c r="AJ5" s="4">
        <v>1</v>
      </c>
      <c r="AK5" s="4">
        <v>2</v>
      </c>
      <c r="AL5" s="4">
        <v>0</v>
      </c>
      <c r="AM5" s="4">
        <v>0</v>
      </c>
      <c r="AN5" s="4">
        <v>0</v>
      </c>
      <c r="AO5" s="4">
        <v>0</v>
      </c>
      <c r="AP5" s="3" t="s">
        <v>58</v>
      </c>
      <c r="AQ5" s="3" t="s">
        <v>58</v>
      </c>
      <c r="AS5" s="6" t="str">
        <f>HYPERLINK("https://creighton-primo.hosted.exlibrisgroup.com/primo-explore/search?tab=default_tab&amp;search_scope=EVERYTHING&amp;vid=01CRU&amp;lang=en_US&amp;offset=0&amp;query=any,contains,991003234109702656","Catalog Record")</f>
        <v>Catalog Record</v>
      </c>
      <c r="AT5" s="6" t="str">
        <f>HYPERLINK("http://www.worldcat.org/oclc/38106670","WorldCat Record")</f>
        <v>WorldCat Record</v>
      </c>
      <c r="AU5" s="3" t="s">
        <v>119</v>
      </c>
      <c r="AV5" s="3" t="s">
        <v>120</v>
      </c>
      <c r="AW5" s="3" t="s">
        <v>121</v>
      </c>
      <c r="AX5" s="3" t="s">
        <v>121</v>
      </c>
      <c r="AY5" s="3" t="s">
        <v>122</v>
      </c>
      <c r="AZ5" s="3" t="s">
        <v>74</v>
      </c>
      <c r="BB5" s="3" t="s">
        <v>123</v>
      </c>
      <c r="BC5" s="3" t="s">
        <v>124</v>
      </c>
      <c r="BD5" s="3" t="s">
        <v>125</v>
      </c>
    </row>
    <row r="6" spans="1:56" ht="45.75" customHeight="1" x14ac:dyDescent="0.25">
      <c r="A6" s="7" t="s">
        <v>58</v>
      </c>
      <c r="B6" s="2" t="s">
        <v>126</v>
      </c>
      <c r="C6" s="2" t="s">
        <v>127</v>
      </c>
      <c r="D6" s="2" t="s">
        <v>128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129</v>
      </c>
      <c r="L6" s="2" t="s">
        <v>130</v>
      </c>
      <c r="M6" s="3" t="s">
        <v>131</v>
      </c>
      <c r="O6" s="3" t="s">
        <v>65</v>
      </c>
      <c r="P6" s="3" t="s">
        <v>132</v>
      </c>
      <c r="R6" s="3" t="s">
        <v>67</v>
      </c>
      <c r="S6" s="4">
        <v>1</v>
      </c>
      <c r="T6" s="4">
        <v>1</v>
      </c>
      <c r="U6" s="5" t="s">
        <v>133</v>
      </c>
      <c r="V6" s="5" t="s">
        <v>133</v>
      </c>
      <c r="W6" s="5" t="s">
        <v>134</v>
      </c>
      <c r="X6" s="5" t="s">
        <v>134</v>
      </c>
      <c r="Y6" s="4">
        <v>74</v>
      </c>
      <c r="Z6" s="4">
        <v>39</v>
      </c>
      <c r="AA6" s="4">
        <v>39</v>
      </c>
      <c r="AB6" s="4">
        <v>1</v>
      </c>
      <c r="AC6" s="4">
        <v>1</v>
      </c>
      <c r="AD6" s="4">
        <v>1</v>
      </c>
      <c r="AE6" s="4">
        <v>1</v>
      </c>
      <c r="AF6" s="4">
        <v>0</v>
      </c>
      <c r="AG6" s="4">
        <v>0</v>
      </c>
      <c r="AH6" s="4">
        <v>0</v>
      </c>
      <c r="AI6" s="4">
        <v>0</v>
      </c>
      <c r="AJ6" s="4">
        <v>1</v>
      </c>
      <c r="AK6" s="4">
        <v>1</v>
      </c>
      <c r="AL6" s="4">
        <v>0</v>
      </c>
      <c r="AM6" s="4">
        <v>0</v>
      </c>
      <c r="AN6" s="4">
        <v>0</v>
      </c>
      <c r="AO6" s="4">
        <v>0</v>
      </c>
      <c r="AP6" s="3" t="s">
        <v>58</v>
      </c>
      <c r="AQ6" s="3" t="s">
        <v>58</v>
      </c>
      <c r="AS6" s="6" t="str">
        <f>HYPERLINK("https://creighton-primo.hosted.exlibrisgroup.com/primo-explore/search?tab=default_tab&amp;search_scope=EVERYTHING&amp;vid=01CRU&amp;lang=en_US&amp;offset=0&amp;query=any,contains,991004663919702656","Catalog Record")</f>
        <v>Catalog Record</v>
      </c>
      <c r="AT6" s="6" t="str">
        <f>HYPERLINK("http://www.worldcat.org/oclc/61772527","WorldCat Record")</f>
        <v>WorldCat Record</v>
      </c>
      <c r="AU6" s="3" t="s">
        <v>135</v>
      </c>
      <c r="AV6" s="3" t="s">
        <v>136</v>
      </c>
      <c r="AW6" s="3" t="s">
        <v>137</v>
      </c>
      <c r="AX6" s="3" t="s">
        <v>137</v>
      </c>
      <c r="AY6" s="3" t="s">
        <v>138</v>
      </c>
      <c r="AZ6" s="3" t="s">
        <v>74</v>
      </c>
      <c r="BB6" s="3" t="s">
        <v>139</v>
      </c>
      <c r="BC6" s="3" t="s">
        <v>140</v>
      </c>
      <c r="BD6" s="3" t="s">
        <v>141</v>
      </c>
    </row>
    <row r="7" spans="1:56" ht="45.75" customHeight="1" x14ac:dyDescent="0.25">
      <c r="A7" s="7" t="s">
        <v>58</v>
      </c>
      <c r="B7" s="2" t="s">
        <v>142</v>
      </c>
      <c r="C7" s="2" t="s">
        <v>143</v>
      </c>
      <c r="D7" s="2" t="s">
        <v>144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145</v>
      </c>
      <c r="L7" s="2" t="s">
        <v>146</v>
      </c>
      <c r="M7" s="3" t="s">
        <v>147</v>
      </c>
      <c r="O7" s="3" t="s">
        <v>65</v>
      </c>
      <c r="P7" s="3" t="s">
        <v>148</v>
      </c>
      <c r="R7" s="3" t="s">
        <v>67</v>
      </c>
      <c r="S7" s="4">
        <v>1</v>
      </c>
      <c r="T7" s="4">
        <v>1</v>
      </c>
      <c r="U7" s="5" t="s">
        <v>149</v>
      </c>
      <c r="V7" s="5" t="s">
        <v>149</v>
      </c>
      <c r="W7" s="5" t="s">
        <v>149</v>
      </c>
      <c r="X7" s="5" t="s">
        <v>149</v>
      </c>
      <c r="Y7" s="4">
        <v>174</v>
      </c>
      <c r="Z7" s="4">
        <v>120</v>
      </c>
      <c r="AA7" s="4">
        <v>122</v>
      </c>
      <c r="AB7" s="4">
        <v>1</v>
      </c>
      <c r="AC7" s="4">
        <v>1</v>
      </c>
      <c r="AD7" s="4">
        <v>5</v>
      </c>
      <c r="AE7" s="4">
        <v>5</v>
      </c>
      <c r="AF7" s="4">
        <v>1</v>
      </c>
      <c r="AG7" s="4">
        <v>1</v>
      </c>
      <c r="AH7" s="4">
        <v>1</v>
      </c>
      <c r="AI7" s="4">
        <v>1</v>
      </c>
      <c r="AJ7" s="4">
        <v>4</v>
      </c>
      <c r="AK7" s="4">
        <v>4</v>
      </c>
      <c r="AL7" s="4">
        <v>0</v>
      </c>
      <c r="AM7" s="4">
        <v>0</v>
      </c>
      <c r="AN7" s="4">
        <v>0</v>
      </c>
      <c r="AO7" s="4">
        <v>0</v>
      </c>
      <c r="AP7" s="3" t="s">
        <v>58</v>
      </c>
      <c r="AQ7" s="3" t="s">
        <v>87</v>
      </c>
      <c r="AR7" s="6" t="str">
        <f>HYPERLINK("http://catalog.hathitrust.org/Record/004347814","HathiTrust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HYPERLINK("https://creighton-primo.hosted.exlibrisgroup.com/primo-explore/search?tab=default_tab&amp;search_scope=EVERYTHING&amp;vid=01CRU&amp;lang=en_US&amp;offset=0&amp;query=any,contains,991005035779702656","Catalog Record")</f>
        <v>Catalog Record</v>
      </c>
      <c r="AT7" s="6" t="str">
        <f>HYPERLINK("http://www.worldcat.org/oclc/52727532","WorldCat Record")</f>
        <v>WorldCat Record</v>
      </c>
      <c r="AU7" s="3" t="s">
        <v>150</v>
      </c>
      <c r="AV7" s="3" t="s">
        <v>151</v>
      </c>
      <c r="AW7" s="3" t="s">
        <v>152</v>
      </c>
      <c r="AX7" s="3" t="s">
        <v>152</v>
      </c>
      <c r="AY7" s="3" t="s">
        <v>153</v>
      </c>
      <c r="AZ7" s="3" t="s">
        <v>74</v>
      </c>
      <c r="BB7" s="3" t="s">
        <v>154</v>
      </c>
      <c r="BC7" s="3" t="s">
        <v>155</v>
      </c>
      <c r="BD7" s="3" t="s">
        <v>156</v>
      </c>
    </row>
    <row r="8" spans="1:56" ht="45.75" customHeight="1" x14ac:dyDescent="0.25">
      <c r="A8" s="7" t="s">
        <v>58</v>
      </c>
      <c r="B8" s="2" t="s">
        <v>157</v>
      </c>
      <c r="C8" s="2" t="s">
        <v>158</v>
      </c>
      <c r="D8" s="2" t="s">
        <v>159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160</v>
      </c>
      <c r="L8" s="2" t="s">
        <v>161</v>
      </c>
      <c r="M8" s="3" t="s">
        <v>162</v>
      </c>
      <c r="O8" s="3" t="s">
        <v>65</v>
      </c>
      <c r="P8" s="3" t="s">
        <v>148</v>
      </c>
      <c r="R8" s="3" t="s">
        <v>67</v>
      </c>
      <c r="S8" s="4">
        <v>1</v>
      </c>
      <c r="T8" s="4">
        <v>1</v>
      </c>
      <c r="U8" s="5" t="s">
        <v>163</v>
      </c>
      <c r="V8" s="5" t="s">
        <v>163</v>
      </c>
      <c r="W8" s="5" t="s">
        <v>163</v>
      </c>
      <c r="X8" s="5" t="s">
        <v>163</v>
      </c>
      <c r="Y8" s="4">
        <v>136</v>
      </c>
      <c r="Z8" s="4">
        <v>87</v>
      </c>
      <c r="AA8" s="4">
        <v>92</v>
      </c>
      <c r="AB8" s="4">
        <v>1</v>
      </c>
      <c r="AC8" s="4">
        <v>1</v>
      </c>
      <c r="AD8" s="4">
        <v>3</v>
      </c>
      <c r="AE8" s="4">
        <v>3</v>
      </c>
      <c r="AF8" s="4">
        <v>0</v>
      </c>
      <c r="AG8" s="4">
        <v>0</v>
      </c>
      <c r="AH8" s="4">
        <v>1</v>
      </c>
      <c r="AI8" s="4">
        <v>1</v>
      </c>
      <c r="AJ8" s="4">
        <v>3</v>
      </c>
      <c r="AK8" s="4">
        <v>3</v>
      </c>
      <c r="AL8" s="4">
        <v>0</v>
      </c>
      <c r="AM8" s="4">
        <v>0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HYPERLINK("https://creighton-primo.hosted.exlibrisgroup.com/primo-explore/search?tab=default_tab&amp;search_scope=EVERYTHING&amp;vid=01CRU&amp;lang=en_US&amp;offset=0&amp;query=any,contains,991005150629702656","Catalog Record")</f>
        <v>Catalog Record</v>
      </c>
      <c r="AT8" s="6" t="str">
        <f>HYPERLINK("http://www.worldcat.org/oclc/154806658","WorldCat Record")</f>
        <v>WorldCat Record</v>
      </c>
      <c r="AU8" s="3" t="s">
        <v>164</v>
      </c>
      <c r="AV8" s="3" t="s">
        <v>165</v>
      </c>
      <c r="AW8" s="3" t="s">
        <v>166</v>
      </c>
      <c r="AX8" s="3" t="s">
        <v>166</v>
      </c>
      <c r="AY8" s="3" t="s">
        <v>167</v>
      </c>
      <c r="AZ8" s="3" t="s">
        <v>74</v>
      </c>
      <c r="BB8" s="3" t="s">
        <v>168</v>
      </c>
      <c r="BC8" s="3" t="s">
        <v>169</v>
      </c>
      <c r="BD8" s="3" t="s">
        <v>170</v>
      </c>
    </row>
    <row r="9" spans="1:56" ht="45.75" customHeight="1" x14ac:dyDescent="0.25">
      <c r="A9" s="7" t="s">
        <v>58</v>
      </c>
      <c r="B9" s="2" t="s">
        <v>171</v>
      </c>
      <c r="C9" s="2" t="s">
        <v>172</v>
      </c>
      <c r="D9" s="2" t="s">
        <v>173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L9" s="2" t="s">
        <v>174</v>
      </c>
      <c r="M9" s="3" t="s">
        <v>162</v>
      </c>
      <c r="O9" s="3" t="s">
        <v>65</v>
      </c>
      <c r="P9" s="3" t="s">
        <v>175</v>
      </c>
      <c r="R9" s="3" t="s">
        <v>67</v>
      </c>
      <c r="S9" s="4">
        <v>1</v>
      </c>
      <c r="T9" s="4">
        <v>1</v>
      </c>
      <c r="U9" s="5" t="s">
        <v>176</v>
      </c>
      <c r="V9" s="5" t="s">
        <v>176</v>
      </c>
      <c r="W9" s="5" t="s">
        <v>176</v>
      </c>
      <c r="X9" s="5" t="s">
        <v>176</v>
      </c>
      <c r="Y9" s="4">
        <v>187</v>
      </c>
      <c r="Z9" s="4">
        <v>150</v>
      </c>
      <c r="AA9" s="4">
        <v>168</v>
      </c>
      <c r="AB9" s="4">
        <v>4</v>
      </c>
      <c r="AC9" s="4">
        <v>5</v>
      </c>
      <c r="AD9" s="4">
        <v>9</v>
      </c>
      <c r="AE9" s="4">
        <v>10</v>
      </c>
      <c r="AF9" s="4">
        <v>3</v>
      </c>
      <c r="AG9" s="4">
        <v>3</v>
      </c>
      <c r="AH9" s="4">
        <v>0</v>
      </c>
      <c r="AI9" s="4">
        <v>0</v>
      </c>
      <c r="AJ9" s="4">
        <v>4</v>
      </c>
      <c r="AK9" s="4">
        <v>4</v>
      </c>
      <c r="AL9" s="4">
        <v>3</v>
      </c>
      <c r="AM9" s="4">
        <v>4</v>
      </c>
      <c r="AN9" s="4">
        <v>0</v>
      </c>
      <c r="AO9" s="4">
        <v>0</v>
      </c>
      <c r="AP9" s="3" t="s">
        <v>58</v>
      </c>
      <c r="AQ9" s="3" t="s">
        <v>58</v>
      </c>
      <c r="AS9" s="6" t="str">
        <f>HYPERLINK("https://creighton-primo.hosted.exlibrisgroup.com/primo-explore/search?tab=default_tab&amp;search_scope=EVERYTHING&amp;vid=01CRU&amp;lang=en_US&amp;offset=0&amp;query=any,contains,991005162019702656","Catalog Record")</f>
        <v>Catalog Record</v>
      </c>
      <c r="AT9" s="6" t="str">
        <f>HYPERLINK("http://www.worldcat.org/oclc/71243918","WorldCat Record")</f>
        <v>WorldCat Record</v>
      </c>
      <c r="AU9" s="3" t="s">
        <v>177</v>
      </c>
      <c r="AV9" s="3" t="s">
        <v>178</v>
      </c>
      <c r="AW9" s="3" t="s">
        <v>179</v>
      </c>
      <c r="AX9" s="3" t="s">
        <v>179</v>
      </c>
      <c r="AY9" s="3" t="s">
        <v>180</v>
      </c>
      <c r="AZ9" s="3" t="s">
        <v>74</v>
      </c>
      <c r="BB9" s="3" t="s">
        <v>181</v>
      </c>
      <c r="BC9" s="3" t="s">
        <v>182</v>
      </c>
      <c r="BD9" s="3" t="s">
        <v>183</v>
      </c>
    </row>
    <row r="10" spans="1:56" ht="45.75" customHeight="1" x14ac:dyDescent="0.25">
      <c r="A10" s="7" t="s">
        <v>58</v>
      </c>
      <c r="B10" s="2" t="s">
        <v>184</v>
      </c>
      <c r="C10" s="2" t="s">
        <v>185</v>
      </c>
      <c r="D10" s="2" t="s">
        <v>186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187</v>
      </c>
      <c r="L10" s="2" t="s">
        <v>188</v>
      </c>
      <c r="M10" s="3" t="s">
        <v>189</v>
      </c>
      <c r="O10" s="3" t="s">
        <v>65</v>
      </c>
      <c r="P10" s="3" t="s">
        <v>190</v>
      </c>
      <c r="R10" s="3" t="s">
        <v>67</v>
      </c>
      <c r="S10" s="4">
        <v>1</v>
      </c>
      <c r="T10" s="4">
        <v>1</v>
      </c>
      <c r="U10" s="5" t="s">
        <v>191</v>
      </c>
      <c r="V10" s="5" t="s">
        <v>191</v>
      </c>
      <c r="W10" s="5" t="s">
        <v>191</v>
      </c>
      <c r="X10" s="5" t="s">
        <v>191</v>
      </c>
      <c r="Y10" s="4">
        <v>76</v>
      </c>
      <c r="Z10" s="4">
        <v>53</v>
      </c>
      <c r="AA10" s="4">
        <v>164</v>
      </c>
      <c r="AB10" s="4">
        <v>1</v>
      </c>
      <c r="AC10" s="4">
        <v>1</v>
      </c>
      <c r="AD10" s="4">
        <v>2</v>
      </c>
      <c r="AE10" s="4">
        <v>6</v>
      </c>
      <c r="AF10" s="4">
        <v>0</v>
      </c>
      <c r="AG10" s="4">
        <v>0</v>
      </c>
      <c r="AH10" s="4">
        <v>1</v>
      </c>
      <c r="AI10" s="4">
        <v>2</v>
      </c>
      <c r="AJ10" s="4">
        <v>1</v>
      </c>
      <c r="AK10" s="4">
        <v>5</v>
      </c>
      <c r="AL10" s="4">
        <v>0</v>
      </c>
      <c r="AM10" s="4">
        <v>0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HYPERLINK("https://creighton-primo.hosted.exlibrisgroup.com/primo-explore/search?tab=default_tab&amp;search_scope=EVERYTHING&amp;vid=01CRU&amp;lang=en_US&amp;offset=0&amp;query=any,contains,991005341479702656","Catalog Record")</f>
        <v>Catalog Record</v>
      </c>
      <c r="AT10" s="6" t="str">
        <f>HYPERLINK("http://www.worldcat.org/oclc/228300799","WorldCat Record")</f>
        <v>WorldCat Record</v>
      </c>
      <c r="AU10" s="3" t="s">
        <v>192</v>
      </c>
      <c r="AV10" s="3" t="s">
        <v>193</v>
      </c>
      <c r="AW10" s="3" t="s">
        <v>194</v>
      </c>
      <c r="AX10" s="3" t="s">
        <v>194</v>
      </c>
      <c r="AY10" s="3" t="s">
        <v>195</v>
      </c>
      <c r="AZ10" s="3" t="s">
        <v>74</v>
      </c>
      <c r="BB10" s="3" t="s">
        <v>196</v>
      </c>
      <c r="BC10" s="3" t="s">
        <v>197</v>
      </c>
      <c r="BD10" s="3" t="s">
        <v>198</v>
      </c>
    </row>
    <row r="11" spans="1:56" ht="45.75" customHeight="1" x14ac:dyDescent="0.25">
      <c r="A11" s="7" t="s">
        <v>58</v>
      </c>
      <c r="B11" s="2" t="s">
        <v>199</v>
      </c>
      <c r="C11" s="2" t="s">
        <v>200</v>
      </c>
      <c r="D11" s="2" t="s">
        <v>201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L11" s="2" t="s">
        <v>202</v>
      </c>
      <c r="M11" s="3" t="s">
        <v>203</v>
      </c>
      <c r="O11" s="3" t="s">
        <v>65</v>
      </c>
      <c r="P11" s="3" t="s">
        <v>204</v>
      </c>
      <c r="Q11" s="2" t="s">
        <v>205</v>
      </c>
      <c r="R11" s="3" t="s">
        <v>67</v>
      </c>
      <c r="S11" s="4">
        <v>2</v>
      </c>
      <c r="T11" s="4">
        <v>2</v>
      </c>
      <c r="U11" s="5" t="s">
        <v>206</v>
      </c>
      <c r="V11" s="5" t="s">
        <v>206</v>
      </c>
      <c r="W11" s="5" t="s">
        <v>207</v>
      </c>
      <c r="X11" s="5" t="s">
        <v>207</v>
      </c>
      <c r="Y11" s="4">
        <v>86</v>
      </c>
      <c r="Z11" s="4">
        <v>69</v>
      </c>
      <c r="AA11" s="4">
        <v>95</v>
      </c>
      <c r="AB11" s="4">
        <v>1</v>
      </c>
      <c r="AC11" s="4">
        <v>1</v>
      </c>
      <c r="AD11" s="4">
        <v>4</v>
      </c>
      <c r="AE11" s="4">
        <v>4</v>
      </c>
      <c r="AF11" s="4">
        <v>2</v>
      </c>
      <c r="AG11" s="4">
        <v>2</v>
      </c>
      <c r="AH11" s="4">
        <v>0</v>
      </c>
      <c r="AI11" s="4">
        <v>0</v>
      </c>
      <c r="AJ11" s="4">
        <v>2</v>
      </c>
      <c r="AK11" s="4">
        <v>2</v>
      </c>
      <c r="AL11" s="4">
        <v>0</v>
      </c>
      <c r="AM11" s="4">
        <v>0</v>
      </c>
      <c r="AN11" s="4">
        <v>0</v>
      </c>
      <c r="AO11" s="4">
        <v>0</v>
      </c>
      <c r="AP11" s="3" t="s">
        <v>58</v>
      </c>
      <c r="AQ11" s="3" t="s">
        <v>58</v>
      </c>
      <c r="AS11" s="6" t="str">
        <f>HYPERLINK("https://creighton-primo.hosted.exlibrisgroup.com/primo-explore/search?tab=default_tab&amp;search_scope=EVERYTHING&amp;vid=01CRU&amp;lang=en_US&amp;offset=0&amp;query=any,contains,991004007389702656","Catalog Record")</f>
        <v>Catalog Record</v>
      </c>
      <c r="AT11" s="6" t="str">
        <f>HYPERLINK("http://www.worldcat.org/oclc/48177120","WorldCat Record")</f>
        <v>WorldCat Record</v>
      </c>
      <c r="AU11" s="3" t="s">
        <v>208</v>
      </c>
      <c r="AV11" s="3" t="s">
        <v>209</v>
      </c>
      <c r="AW11" s="3" t="s">
        <v>210</v>
      </c>
      <c r="AX11" s="3" t="s">
        <v>210</v>
      </c>
      <c r="AY11" s="3" t="s">
        <v>211</v>
      </c>
      <c r="AZ11" s="3" t="s">
        <v>74</v>
      </c>
      <c r="BB11" s="3" t="s">
        <v>212</v>
      </c>
      <c r="BC11" s="3" t="s">
        <v>213</v>
      </c>
      <c r="BD11" s="3" t="s">
        <v>214</v>
      </c>
    </row>
    <row r="12" spans="1:56" ht="45.75" customHeight="1" x14ac:dyDescent="0.25">
      <c r="A12" s="7" t="s">
        <v>58</v>
      </c>
      <c r="B12" s="2" t="s">
        <v>215</v>
      </c>
      <c r="C12" s="2" t="s">
        <v>216</v>
      </c>
      <c r="D12" s="2" t="s">
        <v>217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218</v>
      </c>
      <c r="L12" s="2" t="s">
        <v>219</v>
      </c>
      <c r="M12" s="3" t="s">
        <v>220</v>
      </c>
      <c r="O12" s="3" t="s">
        <v>65</v>
      </c>
      <c r="P12" s="3" t="s">
        <v>132</v>
      </c>
      <c r="R12" s="3" t="s">
        <v>67</v>
      </c>
      <c r="S12" s="4">
        <v>3</v>
      </c>
      <c r="T12" s="4">
        <v>3</v>
      </c>
      <c r="U12" s="5" t="s">
        <v>221</v>
      </c>
      <c r="V12" s="5" t="s">
        <v>221</v>
      </c>
      <c r="W12" s="5" t="s">
        <v>222</v>
      </c>
      <c r="X12" s="5" t="s">
        <v>222</v>
      </c>
      <c r="Y12" s="4">
        <v>143</v>
      </c>
      <c r="Z12" s="4">
        <v>106</v>
      </c>
      <c r="AA12" s="4">
        <v>112</v>
      </c>
      <c r="AB12" s="4">
        <v>3</v>
      </c>
      <c r="AC12" s="4">
        <v>3</v>
      </c>
      <c r="AD12" s="4">
        <v>6</v>
      </c>
      <c r="AE12" s="4">
        <v>6</v>
      </c>
      <c r="AF12" s="4">
        <v>1</v>
      </c>
      <c r="AG12" s="4">
        <v>1</v>
      </c>
      <c r="AH12" s="4">
        <v>0</v>
      </c>
      <c r="AI12" s="4">
        <v>0</v>
      </c>
      <c r="AJ12" s="4">
        <v>3</v>
      </c>
      <c r="AK12" s="4">
        <v>3</v>
      </c>
      <c r="AL12" s="4">
        <v>2</v>
      </c>
      <c r="AM12" s="4">
        <v>2</v>
      </c>
      <c r="AN12" s="4">
        <v>0</v>
      </c>
      <c r="AO12" s="4">
        <v>0</v>
      </c>
      <c r="AP12" s="3" t="s">
        <v>58</v>
      </c>
      <c r="AQ12" s="3" t="s">
        <v>58</v>
      </c>
      <c r="AS12" s="6" t="str">
        <f>HYPERLINK("https://creighton-primo.hosted.exlibrisgroup.com/primo-explore/search?tab=default_tab&amp;search_scope=EVERYTHING&amp;vid=01CRU&amp;lang=en_US&amp;offset=0&amp;query=any,contains,991003335449702656","Catalog Record")</f>
        <v>Catalog Record</v>
      </c>
      <c r="AT12" s="6" t="str">
        <f>HYPERLINK("http://www.worldcat.org/oclc/40263420","WorldCat Record")</f>
        <v>WorldCat Record</v>
      </c>
      <c r="AU12" s="3" t="s">
        <v>223</v>
      </c>
      <c r="AV12" s="3" t="s">
        <v>224</v>
      </c>
      <c r="AW12" s="3" t="s">
        <v>225</v>
      </c>
      <c r="AX12" s="3" t="s">
        <v>225</v>
      </c>
      <c r="AY12" s="3" t="s">
        <v>226</v>
      </c>
      <c r="AZ12" s="3" t="s">
        <v>74</v>
      </c>
      <c r="BB12" s="3" t="s">
        <v>227</v>
      </c>
      <c r="BC12" s="3" t="s">
        <v>228</v>
      </c>
      <c r="BD12" s="3" t="s">
        <v>229</v>
      </c>
    </row>
    <row r="13" spans="1:56" ht="45.75" customHeight="1" x14ac:dyDescent="0.25">
      <c r="A13" s="7" t="s">
        <v>58</v>
      </c>
      <c r="B13" s="2" t="s">
        <v>230</v>
      </c>
      <c r="C13" s="2" t="s">
        <v>231</v>
      </c>
      <c r="D13" s="2" t="s">
        <v>232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233</v>
      </c>
      <c r="L13" s="2" t="s">
        <v>234</v>
      </c>
      <c r="M13" s="3" t="s">
        <v>162</v>
      </c>
      <c r="O13" s="3" t="s">
        <v>65</v>
      </c>
      <c r="P13" s="3" t="s">
        <v>175</v>
      </c>
      <c r="Q13" s="2" t="s">
        <v>235</v>
      </c>
      <c r="R13" s="3" t="s">
        <v>67</v>
      </c>
      <c r="S13" s="4">
        <v>1</v>
      </c>
      <c r="T13" s="4">
        <v>1</v>
      </c>
      <c r="U13" s="5" t="s">
        <v>236</v>
      </c>
      <c r="V13" s="5" t="s">
        <v>236</v>
      </c>
      <c r="W13" s="5" t="s">
        <v>236</v>
      </c>
      <c r="X13" s="5" t="s">
        <v>236</v>
      </c>
      <c r="Y13" s="4">
        <v>176</v>
      </c>
      <c r="Z13" s="4">
        <v>80</v>
      </c>
      <c r="AA13" s="4">
        <v>90</v>
      </c>
      <c r="AB13" s="4">
        <v>1</v>
      </c>
      <c r="AC13" s="4">
        <v>1</v>
      </c>
      <c r="AD13" s="4">
        <v>2</v>
      </c>
      <c r="AE13" s="4">
        <v>2</v>
      </c>
      <c r="AF13" s="4">
        <v>0</v>
      </c>
      <c r="AG13" s="4">
        <v>0</v>
      </c>
      <c r="AH13" s="4">
        <v>1</v>
      </c>
      <c r="AI13" s="4">
        <v>1</v>
      </c>
      <c r="AJ13" s="4">
        <v>2</v>
      </c>
      <c r="AK13" s="4">
        <v>2</v>
      </c>
      <c r="AL13" s="4">
        <v>0</v>
      </c>
      <c r="AM13" s="4">
        <v>0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HYPERLINK("https://creighton-primo.hosted.exlibrisgroup.com/primo-explore/search?tab=default_tab&amp;search_scope=EVERYTHING&amp;vid=01CRU&amp;lang=en_US&amp;offset=0&amp;query=any,contains,991005335179702656","Catalog Record")</f>
        <v>Catalog Record</v>
      </c>
      <c r="AT13" s="6" t="str">
        <f>HYPERLINK("http://www.worldcat.org/oclc/223370074","WorldCat Record")</f>
        <v>WorldCat Record</v>
      </c>
      <c r="AU13" s="3" t="s">
        <v>237</v>
      </c>
      <c r="AV13" s="3" t="s">
        <v>238</v>
      </c>
      <c r="AW13" s="3" t="s">
        <v>239</v>
      </c>
      <c r="AX13" s="3" t="s">
        <v>239</v>
      </c>
      <c r="AY13" s="3" t="s">
        <v>240</v>
      </c>
      <c r="AZ13" s="3" t="s">
        <v>74</v>
      </c>
      <c r="BB13" s="3" t="s">
        <v>241</v>
      </c>
      <c r="BC13" s="3" t="s">
        <v>242</v>
      </c>
      <c r="BD13" s="3" t="s">
        <v>243</v>
      </c>
    </row>
    <row r="14" spans="1:56" ht="45.75" customHeight="1" x14ac:dyDescent="0.25">
      <c r="A14" s="7" t="s">
        <v>58</v>
      </c>
      <c r="B14" s="2" t="s">
        <v>244</v>
      </c>
      <c r="C14" s="2" t="s">
        <v>245</v>
      </c>
      <c r="D14" s="2" t="s">
        <v>246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L14" s="2" t="s">
        <v>247</v>
      </c>
      <c r="M14" s="3" t="s">
        <v>248</v>
      </c>
      <c r="O14" s="3" t="s">
        <v>65</v>
      </c>
      <c r="P14" s="3" t="s">
        <v>249</v>
      </c>
      <c r="R14" s="3" t="s">
        <v>67</v>
      </c>
      <c r="S14" s="4">
        <v>1</v>
      </c>
      <c r="T14" s="4">
        <v>1</v>
      </c>
      <c r="U14" s="5" t="s">
        <v>250</v>
      </c>
      <c r="V14" s="5" t="s">
        <v>250</v>
      </c>
      <c r="W14" s="5" t="s">
        <v>250</v>
      </c>
      <c r="X14" s="5" t="s">
        <v>250</v>
      </c>
      <c r="Y14" s="4">
        <v>123</v>
      </c>
      <c r="Z14" s="4">
        <v>81</v>
      </c>
      <c r="AA14" s="4">
        <v>129</v>
      </c>
      <c r="AB14" s="4">
        <v>1</v>
      </c>
      <c r="AC14" s="4">
        <v>1</v>
      </c>
      <c r="AD14" s="4">
        <v>5</v>
      </c>
      <c r="AE14" s="4">
        <v>10</v>
      </c>
      <c r="AF14" s="4">
        <v>1</v>
      </c>
      <c r="AG14" s="4">
        <v>5</v>
      </c>
      <c r="AH14" s="4">
        <v>2</v>
      </c>
      <c r="AI14" s="4">
        <v>3</v>
      </c>
      <c r="AJ14" s="4">
        <v>4</v>
      </c>
      <c r="AK14" s="4">
        <v>5</v>
      </c>
      <c r="AL14" s="4">
        <v>0</v>
      </c>
      <c r="AM14" s="4">
        <v>0</v>
      </c>
      <c r="AN14" s="4">
        <v>0</v>
      </c>
      <c r="AO14" s="4">
        <v>0</v>
      </c>
      <c r="AP14" s="3" t="s">
        <v>58</v>
      </c>
      <c r="AQ14" s="3" t="s">
        <v>87</v>
      </c>
      <c r="AR14" s="6" t="str">
        <f>HYPERLINK("http://catalog.hathitrust.org/Record/005574007","HathiTrust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HYPERLINK("https://creighton-primo.hosted.exlibrisgroup.com/primo-explore/search?tab=default_tab&amp;search_scope=EVERYTHING&amp;vid=01CRU&amp;lang=en_US&amp;offset=0&amp;query=any,contains,991005293459702656","Catalog Record")</f>
        <v>Catalog Record</v>
      </c>
      <c r="AT14" s="6" t="str">
        <f>HYPERLINK("http://www.worldcat.org/oclc/123893487","WorldCat Record")</f>
        <v>WorldCat Record</v>
      </c>
      <c r="AU14" s="3" t="s">
        <v>251</v>
      </c>
      <c r="AV14" s="3" t="s">
        <v>252</v>
      </c>
      <c r="AW14" s="3" t="s">
        <v>253</v>
      </c>
      <c r="AX14" s="3" t="s">
        <v>253</v>
      </c>
      <c r="AY14" s="3" t="s">
        <v>254</v>
      </c>
      <c r="AZ14" s="3" t="s">
        <v>74</v>
      </c>
      <c r="BB14" s="3" t="s">
        <v>255</v>
      </c>
      <c r="BC14" s="3" t="s">
        <v>256</v>
      </c>
      <c r="BD14" s="3" t="s">
        <v>257</v>
      </c>
    </row>
    <row r="15" spans="1:56" ht="45.75" customHeight="1" x14ac:dyDescent="0.25">
      <c r="A15" s="7" t="s">
        <v>58</v>
      </c>
      <c r="B15" s="2" t="s">
        <v>258</v>
      </c>
      <c r="C15" s="2" t="s">
        <v>259</v>
      </c>
      <c r="D15" s="2" t="s">
        <v>260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261</v>
      </c>
      <c r="L15" s="2" t="s">
        <v>262</v>
      </c>
      <c r="M15" s="3" t="s">
        <v>263</v>
      </c>
      <c r="O15" s="3" t="s">
        <v>65</v>
      </c>
      <c r="P15" s="3" t="s">
        <v>132</v>
      </c>
      <c r="Q15" s="2" t="s">
        <v>264</v>
      </c>
      <c r="R15" s="3" t="s">
        <v>67</v>
      </c>
      <c r="S15" s="4">
        <v>12</v>
      </c>
      <c r="T15" s="4">
        <v>12</v>
      </c>
      <c r="U15" s="5" t="s">
        <v>265</v>
      </c>
      <c r="V15" s="5" t="s">
        <v>265</v>
      </c>
      <c r="W15" s="5" t="s">
        <v>266</v>
      </c>
      <c r="X15" s="5" t="s">
        <v>266</v>
      </c>
      <c r="Y15" s="4">
        <v>350</v>
      </c>
      <c r="Z15" s="4">
        <v>250</v>
      </c>
      <c r="AA15" s="4">
        <v>328</v>
      </c>
      <c r="AB15" s="4">
        <v>3</v>
      </c>
      <c r="AC15" s="4">
        <v>3</v>
      </c>
      <c r="AD15" s="4">
        <v>9</v>
      </c>
      <c r="AE15" s="4">
        <v>11</v>
      </c>
      <c r="AF15" s="4">
        <v>1</v>
      </c>
      <c r="AG15" s="4">
        <v>1</v>
      </c>
      <c r="AH15" s="4">
        <v>1</v>
      </c>
      <c r="AI15" s="4">
        <v>2</v>
      </c>
      <c r="AJ15" s="4">
        <v>7</v>
      </c>
      <c r="AK15" s="4">
        <v>9</v>
      </c>
      <c r="AL15" s="4">
        <v>2</v>
      </c>
      <c r="AM15" s="4">
        <v>2</v>
      </c>
      <c r="AN15" s="4">
        <v>0</v>
      </c>
      <c r="AO15" s="4">
        <v>0</v>
      </c>
      <c r="AP15" s="3" t="s">
        <v>58</v>
      </c>
      <c r="AQ15" s="3" t="s">
        <v>87</v>
      </c>
      <c r="AR15" s="6" t="str">
        <f>HYPERLINK("http://catalog.hathitrust.org/Record/003073339","HathiTrust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HYPERLINK("https://creighton-primo.hosted.exlibrisgroup.com/primo-explore/search?tab=default_tab&amp;search_scope=EVERYTHING&amp;vid=01CRU&amp;lang=en_US&amp;offset=0&amp;query=any,contains,991002571269702656","Catalog Record")</f>
        <v>Catalog Record</v>
      </c>
      <c r="AT15" s="6" t="str">
        <f>HYPERLINK("http://www.worldcat.org/oclc/33408066","WorldCat Record")</f>
        <v>WorldCat Record</v>
      </c>
      <c r="AU15" s="3" t="s">
        <v>267</v>
      </c>
      <c r="AV15" s="3" t="s">
        <v>268</v>
      </c>
      <c r="AW15" s="3" t="s">
        <v>269</v>
      </c>
      <c r="AX15" s="3" t="s">
        <v>269</v>
      </c>
      <c r="AY15" s="3" t="s">
        <v>270</v>
      </c>
      <c r="AZ15" s="3" t="s">
        <v>74</v>
      </c>
      <c r="BB15" s="3" t="s">
        <v>271</v>
      </c>
      <c r="BC15" s="3" t="s">
        <v>272</v>
      </c>
      <c r="BD15" s="3" t="s">
        <v>273</v>
      </c>
    </row>
    <row r="16" spans="1:56" ht="45.75" customHeight="1" x14ac:dyDescent="0.25">
      <c r="A16" s="7" t="s">
        <v>58</v>
      </c>
      <c r="B16" s="2" t="s">
        <v>274</v>
      </c>
      <c r="C16" s="2" t="s">
        <v>275</v>
      </c>
      <c r="D16" s="2" t="s">
        <v>276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L16" s="2" t="s">
        <v>130</v>
      </c>
      <c r="M16" s="3" t="s">
        <v>131</v>
      </c>
      <c r="O16" s="3" t="s">
        <v>65</v>
      </c>
      <c r="P16" s="3" t="s">
        <v>132</v>
      </c>
      <c r="R16" s="3" t="s">
        <v>67</v>
      </c>
      <c r="S16" s="4">
        <v>1</v>
      </c>
      <c r="T16" s="4">
        <v>1</v>
      </c>
      <c r="U16" s="5" t="s">
        <v>277</v>
      </c>
      <c r="V16" s="5" t="s">
        <v>277</v>
      </c>
      <c r="W16" s="5" t="s">
        <v>277</v>
      </c>
      <c r="X16" s="5" t="s">
        <v>277</v>
      </c>
      <c r="Y16" s="4">
        <v>111</v>
      </c>
      <c r="Z16" s="4">
        <v>81</v>
      </c>
      <c r="AA16" s="4">
        <v>83</v>
      </c>
      <c r="AB16" s="4">
        <v>2</v>
      </c>
      <c r="AC16" s="4">
        <v>2</v>
      </c>
      <c r="AD16" s="4">
        <v>3</v>
      </c>
      <c r="AE16" s="4">
        <v>3</v>
      </c>
      <c r="AF16" s="4">
        <v>0</v>
      </c>
      <c r="AG16" s="4">
        <v>0</v>
      </c>
      <c r="AH16" s="4">
        <v>0</v>
      </c>
      <c r="AI16" s="4">
        <v>0</v>
      </c>
      <c r="AJ16" s="4">
        <v>2</v>
      </c>
      <c r="AK16" s="4">
        <v>2</v>
      </c>
      <c r="AL16" s="4">
        <v>1</v>
      </c>
      <c r="AM16" s="4">
        <v>1</v>
      </c>
      <c r="AN16" s="4">
        <v>0</v>
      </c>
      <c r="AO16" s="4">
        <v>0</v>
      </c>
      <c r="AP16" s="3" t="s">
        <v>58</v>
      </c>
      <c r="AQ16" s="3" t="s">
        <v>87</v>
      </c>
      <c r="AR16" s="6" t="str">
        <f>HYPERLINK("http://catalog.hathitrust.org/Record/005122668","HathiTrust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HYPERLINK("https://creighton-primo.hosted.exlibrisgroup.com/primo-explore/search?tab=default_tab&amp;search_scope=EVERYTHING&amp;vid=01CRU&amp;lang=en_US&amp;offset=0&amp;query=any,contains,991004671579702656","Catalog Record")</f>
        <v>Catalog Record</v>
      </c>
      <c r="AT16" s="6" t="str">
        <f>HYPERLINK("http://www.worldcat.org/oclc/60931793","WorldCat Record")</f>
        <v>WorldCat Record</v>
      </c>
      <c r="AU16" s="3" t="s">
        <v>278</v>
      </c>
      <c r="AV16" s="3" t="s">
        <v>279</v>
      </c>
      <c r="AW16" s="3" t="s">
        <v>280</v>
      </c>
      <c r="AX16" s="3" t="s">
        <v>280</v>
      </c>
      <c r="AY16" s="3" t="s">
        <v>281</v>
      </c>
      <c r="AZ16" s="3" t="s">
        <v>74</v>
      </c>
      <c r="BB16" s="3" t="s">
        <v>282</v>
      </c>
      <c r="BC16" s="3" t="s">
        <v>283</v>
      </c>
      <c r="BD16" s="3" t="s">
        <v>284</v>
      </c>
    </row>
    <row r="17" spans="1:56" ht="45.75" customHeight="1" x14ac:dyDescent="0.25">
      <c r="A17" s="7" t="s">
        <v>58</v>
      </c>
      <c r="B17" s="2" t="s">
        <v>285</v>
      </c>
      <c r="C17" s="2" t="s">
        <v>286</v>
      </c>
      <c r="D17" s="2" t="s">
        <v>287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288</v>
      </c>
      <c r="L17" s="2" t="s">
        <v>289</v>
      </c>
      <c r="M17" s="3" t="s">
        <v>290</v>
      </c>
      <c r="N17" s="2" t="s">
        <v>291</v>
      </c>
      <c r="O17" s="3" t="s">
        <v>65</v>
      </c>
      <c r="P17" s="3" t="s">
        <v>292</v>
      </c>
      <c r="R17" s="3" t="s">
        <v>67</v>
      </c>
      <c r="S17" s="4">
        <v>5</v>
      </c>
      <c r="T17" s="4">
        <v>5</v>
      </c>
      <c r="U17" s="5" t="s">
        <v>293</v>
      </c>
      <c r="V17" s="5" t="s">
        <v>293</v>
      </c>
      <c r="W17" s="5" t="s">
        <v>294</v>
      </c>
      <c r="X17" s="5" t="s">
        <v>294</v>
      </c>
      <c r="Y17" s="4">
        <v>170</v>
      </c>
      <c r="Z17" s="4">
        <v>109</v>
      </c>
      <c r="AA17" s="4">
        <v>467</v>
      </c>
      <c r="AB17" s="4">
        <v>1</v>
      </c>
      <c r="AC17" s="4">
        <v>5</v>
      </c>
      <c r="AD17" s="4">
        <v>6</v>
      </c>
      <c r="AE17" s="4">
        <v>25</v>
      </c>
      <c r="AF17" s="4">
        <v>4</v>
      </c>
      <c r="AG17" s="4">
        <v>9</v>
      </c>
      <c r="AH17" s="4">
        <v>0</v>
      </c>
      <c r="AI17" s="4">
        <v>6</v>
      </c>
      <c r="AJ17" s="4">
        <v>3</v>
      </c>
      <c r="AK17" s="4">
        <v>11</v>
      </c>
      <c r="AL17" s="4">
        <v>0</v>
      </c>
      <c r="AM17" s="4">
        <v>4</v>
      </c>
      <c r="AN17" s="4">
        <v>0</v>
      </c>
      <c r="AO17" s="4">
        <v>0</v>
      </c>
      <c r="AP17" s="3" t="s">
        <v>58</v>
      </c>
      <c r="AQ17" s="3" t="s">
        <v>87</v>
      </c>
      <c r="AR17" s="6" t="str">
        <f>HYPERLINK("http://catalog.hathitrust.org/Record/003517910","HathiTrust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HYPERLINK("https://creighton-primo.hosted.exlibrisgroup.com/primo-explore/search?tab=default_tab&amp;search_scope=EVERYTHING&amp;vid=01CRU&amp;lang=en_US&amp;offset=0&amp;query=any,contains,991003494639702656","Catalog Record")</f>
        <v>Catalog Record</v>
      </c>
      <c r="AT17" s="6" t="str">
        <f>HYPERLINK("http://www.worldcat.org/oclc/43953996","WorldCat Record")</f>
        <v>WorldCat Record</v>
      </c>
      <c r="AU17" s="3" t="s">
        <v>295</v>
      </c>
      <c r="AV17" s="3" t="s">
        <v>296</v>
      </c>
      <c r="AW17" s="3" t="s">
        <v>297</v>
      </c>
      <c r="AX17" s="3" t="s">
        <v>297</v>
      </c>
      <c r="AY17" s="3" t="s">
        <v>298</v>
      </c>
      <c r="AZ17" s="3" t="s">
        <v>74</v>
      </c>
      <c r="BB17" s="3" t="s">
        <v>299</v>
      </c>
      <c r="BC17" s="3" t="s">
        <v>300</v>
      </c>
      <c r="BD17" s="3" t="s">
        <v>301</v>
      </c>
    </row>
    <row r="18" spans="1:56" ht="45.75" customHeight="1" x14ac:dyDescent="0.25">
      <c r="A18" s="7" t="s">
        <v>58</v>
      </c>
      <c r="B18" s="2" t="s">
        <v>302</v>
      </c>
      <c r="C18" s="2" t="s">
        <v>303</v>
      </c>
      <c r="D18" s="2" t="s">
        <v>304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305</v>
      </c>
      <c r="L18" s="2" t="s">
        <v>306</v>
      </c>
      <c r="M18" s="3" t="s">
        <v>307</v>
      </c>
      <c r="O18" s="3" t="s">
        <v>65</v>
      </c>
      <c r="P18" s="3" t="s">
        <v>84</v>
      </c>
      <c r="R18" s="3" t="s">
        <v>67</v>
      </c>
      <c r="S18" s="4">
        <v>3</v>
      </c>
      <c r="T18" s="4">
        <v>3</v>
      </c>
      <c r="U18" s="5" t="s">
        <v>308</v>
      </c>
      <c r="V18" s="5" t="s">
        <v>308</v>
      </c>
      <c r="W18" s="5" t="s">
        <v>309</v>
      </c>
      <c r="X18" s="5" t="s">
        <v>309</v>
      </c>
      <c r="Y18" s="4">
        <v>374</v>
      </c>
      <c r="Z18" s="4">
        <v>281</v>
      </c>
      <c r="AA18" s="4">
        <v>895</v>
      </c>
      <c r="AB18" s="4">
        <v>3</v>
      </c>
      <c r="AC18" s="4">
        <v>29</v>
      </c>
      <c r="AD18" s="4">
        <v>13</v>
      </c>
      <c r="AE18" s="4">
        <v>38</v>
      </c>
      <c r="AF18" s="4">
        <v>5</v>
      </c>
      <c r="AG18" s="4">
        <v>11</v>
      </c>
      <c r="AH18" s="4">
        <v>3</v>
      </c>
      <c r="AI18" s="4">
        <v>5</v>
      </c>
      <c r="AJ18" s="4">
        <v>6</v>
      </c>
      <c r="AK18" s="4">
        <v>12</v>
      </c>
      <c r="AL18" s="4">
        <v>2</v>
      </c>
      <c r="AM18" s="4">
        <v>14</v>
      </c>
      <c r="AN18" s="4">
        <v>0</v>
      </c>
      <c r="AO18" s="4">
        <v>0</v>
      </c>
      <c r="AP18" s="3" t="s">
        <v>58</v>
      </c>
      <c r="AQ18" s="3" t="s">
        <v>87</v>
      </c>
      <c r="AR18" s="6" t="str">
        <f>HYPERLINK("http://catalog.hathitrust.org/Record/003024652","HathiTrust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HYPERLINK("https://creighton-primo.hosted.exlibrisgroup.com/primo-explore/search?tab=default_tab&amp;search_scope=EVERYTHING&amp;vid=01CRU&amp;lang=en_US&amp;offset=0&amp;query=any,contains,991002537219702656","Catalog Record")</f>
        <v>Catalog Record</v>
      </c>
      <c r="AT18" s="6" t="str">
        <f>HYPERLINK("http://www.worldcat.org/oclc/32969826","WorldCat Record")</f>
        <v>WorldCat Record</v>
      </c>
      <c r="AU18" s="3" t="s">
        <v>310</v>
      </c>
      <c r="AV18" s="3" t="s">
        <v>311</v>
      </c>
      <c r="AW18" s="3" t="s">
        <v>312</v>
      </c>
      <c r="AX18" s="3" t="s">
        <v>312</v>
      </c>
      <c r="AY18" s="3" t="s">
        <v>313</v>
      </c>
      <c r="AZ18" s="3" t="s">
        <v>74</v>
      </c>
      <c r="BB18" s="3" t="s">
        <v>314</v>
      </c>
      <c r="BC18" s="3" t="s">
        <v>315</v>
      </c>
      <c r="BD18" s="3" t="s">
        <v>316</v>
      </c>
    </row>
    <row r="19" spans="1:56" ht="45.75" customHeight="1" x14ac:dyDescent="0.25">
      <c r="A19" s="7" t="s">
        <v>58</v>
      </c>
      <c r="B19" s="2" t="s">
        <v>317</v>
      </c>
      <c r="C19" s="2" t="s">
        <v>318</v>
      </c>
      <c r="D19" s="2" t="s">
        <v>319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L19" s="2" t="s">
        <v>320</v>
      </c>
      <c r="M19" s="3" t="s">
        <v>220</v>
      </c>
      <c r="O19" s="3" t="s">
        <v>65</v>
      </c>
      <c r="P19" s="3" t="s">
        <v>66</v>
      </c>
      <c r="R19" s="3" t="s">
        <v>67</v>
      </c>
      <c r="S19" s="4">
        <v>5</v>
      </c>
      <c r="T19" s="4">
        <v>5</v>
      </c>
      <c r="U19" s="5" t="s">
        <v>321</v>
      </c>
      <c r="V19" s="5" t="s">
        <v>321</v>
      </c>
      <c r="W19" s="5" t="s">
        <v>322</v>
      </c>
      <c r="X19" s="5" t="s">
        <v>322</v>
      </c>
      <c r="Y19" s="4">
        <v>334</v>
      </c>
      <c r="Z19" s="4">
        <v>279</v>
      </c>
      <c r="AA19" s="4">
        <v>288</v>
      </c>
      <c r="AB19" s="4">
        <v>2</v>
      </c>
      <c r="AC19" s="4">
        <v>2</v>
      </c>
      <c r="AD19" s="4">
        <v>13</v>
      </c>
      <c r="AE19" s="4">
        <v>13</v>
      </c>
      <c r="AF19" s="4">
        <v>3</v>
      </c>
      <c r="AG19" s="4">
        <v>3</v>
      </c>
      <c r="AH19" s="4">
        <v>5</v>
      </c>
      <c r="AI19" s="4">
        <v>5</v>
      </c>
      <c r="AJ19" s="4">
        <v>7</v>
      </c>
      <c r="AK19" s="4">
        <v>7</v>
      </c>
      <c r="AL19" s="4">
        <v>1</v>
      </c>
      <c r="AM19" s="4">
        <v>1</v>
      </c>
      <c r="AN19" s="4">
        <v>0</v>
      </c>
      <c r="AO19" s="4">
        <v>0</v>
      </c>
      <c r="AP19" s="3" t="s">
        <v>58</v>
      </c>
      <c r="AQ19" s="3" t="s">
        <v>87</v>
      </c>
      <c r="AR19" s="6" t="str">
        <f>HYPERLINK("http://catalog.hathitrust.org/Record/003321827","HathiTrust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HYPERLINK("https://creighton-primo.hosted.exlibrisgroup.com/primo-explore/search?tab=default_tab&amp;search_scope=EVERYTHING&amp;vid=01CRU&amp;lang=en_US&amp;offset=0&amp;query=any,contains,991002978659702656","Catalog Record")</f>
        <v>Catalog Record</v>
      </c>
      <c r="AT19" s="6" t="str">
        <f>HYPERLINK("http://www.worldcat.org/oclc/39982198","WorldCat Record")</f>
        <v>WorldCat Record</v>
      </c>
      <c r="AU19" s="3" t="s">
        <v>323</v>
      </c>
      <c r="AV19" s="3" t="s">
        <v>324</v>
      </c>
      <c r="AW19" s="3" t="s">
        <v>325</v>
      </c>
      <c r="AX19" s="3" t="s">
        <v>325</v>
      </c>
      <c r="AY19" s="3" t="s">
        <v>326</v>
      </c>
      <c r="AZ19" s="3" t="s">
        <v>74</v>
      </c>
      <c r="BB19" s="3" t="s">
        <v>327</v>
      </c>
      <c r="BC19" s="3" t="s">
        <v>328</v>
      </c>
      <c r="BD19" s="3" t="s">
        <v>329</v>
      </c>
    </row>
    <row r="20" spans="1:56" ht="45.75" customHeight="1" x14ac:dyDescent="0.25">
      <c r="A20" s="7" t="s">
        <v>58</v>
      </c>
      <c r="B20" s="2" t="s">
        <v>330</v>
      </c>
      <c r="C20" s="2" t="s">
        <v>331</v>
      </c>
      <c r="D20" s="2" t="s">
        <v>332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333</v>
      </c>
      <c r="L20" s="2" t="s">
        <v>334</v>
      </c>
      <c r="M20" s="3" t="s">
        <v>335</v>
      </c>
      <c r="O20" s="3" t="s">
        <v>65</v>
      </c>
      <c r="P20" s="3" t="s">
        <v>336</v>
      </c>
      <c r="R20" s="3" t="s">
        <v>67</v>
      </c>
      <c r="S20" s="4">
        <v>1</v>
      </c>
      <c r="T20" s="4">
        <v>1</v>
      </c>
      <c r="U20" s="5" t="s">
        <v>337</v>
      </c>
      <c r="V20" s="5" t="s">
        <v>337</v>
      </c>
      <c r="W20" s="5" t="s">
        <v>337</v>
      </c>
      <c r="X20" s="5" t="s">
        <v>337</v>
      </c>
      <c r="Y20" s="4">
        <v>238</v>
      </c>
      <c r="Z20" s="4">
        <v>204</v>
      </c>
      <c r="AA20" s="4">
        <v>229</v>
      </c>
      <c r="AB20" s="4">
        <v>2</v>
      </c>
      <c r="AC20" s="4">
        <v>2</v>
      </c>
      <c r="AD20" s="4">
        <v>8</v>
      </c>
      <c r="AE20" s="4">
        <v>8</v>
      </c>
      <c r="AF20" s="4">
        <v>3</v>
      </c>
      <c r="AG20" s="4">
        <v>3</v>
      </c>
      <c r="AH20" s="4">
        <v>2</v>
      </c>
      <c r="AI20" s="4">
        <v>2</v>
      </c>
      <c r="AJ20" s="4">
        <v>3</v>
      </c>
      <c r="AK20" s="4">
        <v>3</v>
      </c>
      <c r="AL20" s="4">
        <v>1</v>
      </c>
      <c r="AM20" s="4">
        <v>1</v>
      </c>
      <c r="AN20" s="4">
        <v>0</v>
      </c>
      <c r="AO20" s="4">
        <v>0</v>
      </c>
      <c r="AP20" s="3" t="s">
        <v>58</v>
      </c>
      <c r="AQ20" s="3" t="s">
        <v>58</v>
      </c>
      <c r="AS20" s="6" t="str">
        <f>HYPERLINK("https://creighton-primo.hosted.exlibrisgroup.com/primo-explore/search?tab=default_tab&amp;search_scope=EVERYTHING&amp;vid=01CRU&amp;lang=en_US&amp;offset=0&amp;query=any,contains,991000153289702656","Catalog Record")</f>
        <v>Catalog Record</v>
      </c>
      <c r="AT20" s="6" t="str">
        <f>HYPERLINK("http://www.worldcat.org/oclc/489256975","WorldCat Record")</f>
        <v>WorldCat Record</v>
      </c>
      <c r="AU20" s="3" t="s">
        <v>338</v>
      </c>
      <c r="AV20" s="3" t="s">
        <v>339</v>
      </c>
      <c r="AW20" s="3" t="s">
        <v>340</v>
      </c>
      <c r="AX20" s="3" t="s">
        <v>340</v>
      </c>
      <c r="AY20" s="3" t="s">
        <v>341</v>
      </c>
      <c r="AZ20" s="3" t="s">
        <v>74</v>
      </c>
      <c r="BB20" s="3" t="s">
        <v>342</v>
      </c>
      <c r="BC20" s="3" t="s">
        <v>343</v>
      </c>
      <c r="BD20" s="3" t="s">
        <v>344</v>
      </c>
    </row>
    <row r="21" spans="1:56" ht="45.75" customHeight="1" x14ac:dyDescent="0.25">
      <c r="A21" s="7" t="s">
        <v>58</v>
      </c>
      <c r="B21" s="2" t="s">
        <v>345</v>
      </c>
      <c r="C21" s="2" t="s">
        <v>346</v>
      </c>
      <c r="D21" s="2" t="s">
        <v>347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348</v>
      </c>
      <c r="L21" s="2" t="s">
        <v>349</v>
      </c>
      <c r="M21" s="3" t="s">
        <v>263</v>
      </c>
      <c r="O21" s="3" t="s">
        <v>65</v>
      </c>
      <c r="P21" s="3" t="s">
        <v>132</v>
      </c>
      <c r="R21" s="3" t="s">
        <v>67</v>
      </c>
      <c r="S21" s="4">
        <v>15</v>
      </c>
      <c r="T21" s="4">
        <v>15</v>
      </c>
      <c r="U21" s="5" t="s">
        <v>350</v>
      </c>
      <c r="V21" s="5" t="s">
        <v>350</v>
      </c>
      <c r="W21" s="5" t="s">
        <v>351</v>
      </c>
      <c r="X21" s="5" t="s">
        <v>351</v>
      </c>
      <c r="Y21" s="4">
        <v>486</v>
      </c>
      <c r="Z21" s="4">
        <v>308</v>
      </c>
      <c r="AA21" s="4">
        <v>313</v>
      </c>
      <c r="AB21" s="4">
        <v>4</v>
      </c>
      <c r="AC21" s="4">
        <v>4</v>
      </c>
      <c r="AD21" s="4">
        <v>14</v>
      </c>
      <c r="AE21" s="4">
        <v>14</v>
      </c>
      <c r="AF21" s="4">
        <v>3</v>
      </c>
      <c r="AG21" s="4">
        <v>3</v>
      </c>
      <c r="AH21" s="4">
        <v>3</v>
      </c>
      <c r="AI21" s="4">
        <v>3</v>
      </c>
      <c r="AJ21" s="4">
        <v>8</v>
      </c>
      <c r="AK21" s="4">
        <v>8</v>
      </c>
      <c r="AL21" s="4">
        <v>3</v>
      </c>
      <c r="AM21" s="4">
        <v>3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HYPERLINK("https://creighton-primo.hosted.exlibrisgroup.com/primo-explore/search?tab=default_tab&amp;search_scope=EVERYTHING&amp;vid=01CRU&amp;lang=en_US&amp;offset=0&amp;query=any,contains,991005422609702656","Catalog Record")</f>
        <v>Catalog Record</v>
      </c>
      <c r="AT21" s="6" t="str">
        <f>HYPERLINK("http://www.worldcat.org/oclc/33408082","WorldCat Record")</f>
        <v>WorldCat Record</v>
      </c>
      <c r="AU21" s="3" t="s">
        <v>352</v>
      </c>
      <c r="AV21" s="3" t="s">
        <v>353</v>
      </c>
      <c r="AW21" s="3" t="s">
        <v>354</v>
      </c>
      <c r="AX21" s="3" t="s">
        <v>354</v>
      </c>
      <c r="AY21" s="3" t="s">
        <v>355</v>
      </c>
      <c r="AZ21" s="3" t="s">
        <v>74</v>
      </c>
      <c r="BB21" s="3" t="s">
        <v>356</v>
      </c>
      <c r="BC21" s="3" t="s">
        <v>357</v>
      </c>
      <c r="BD21" s="3" t="s">
        <v>358</v>
      </c>
    </row>
    <row r="22" spans="1:56" ht="45.75" customHeight="1" x14ac:dyDescent="0.25">
      <c r="A22" s="7" t="s">
        <v>58</v>
      </c>
      <c r="B22" s="2" t="s">
        <v>359</v>
      </c>
      <c r="C22" s="2" t="s">
        <v>360</v>
      </c>
      <c r="D22" s="2" t="s">
        <v>361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L22" s="2" t="s">
        <v>362</v>
      </c>
      <c r="M22" s="3" t="s">
        <v>63</v>
      </c>
      <c r="O22" s="3" t="s">
        <v>65</v>
      </c>
      <c r="P22" s="3" t="s">
        <v>363</v>
      </c>
      <c r="R22" s="3" t="s">
        <v>67</v>
      </c>
      <c r="S22" s="4">
        <v>1</v>
      </c>
      <c r="T22" s="4">
        <v>1</v>
      </c>
      <c r="U22" s="5" t="s">
        <v>364</v>
      </c>
      <c r="V22" s="5" t="s">
        <v>364</v>
      </c>
      <c r="W22" s="5" t="s">
        <v>364</v>
      </c>
      <c r="X22" s="5" t="s">
        <v>364</v>
      </c>
      <c r="Y22" s="4">
        <v>162</v>
      </c>
      <c r="Z22" s="4">
        <v>137</v>
      </c>
      <c r="AA22" s="4">
        <v>144</v>
      </c>
      <c r="AB22" s="4">
        <v>1</v>
      </c>
      <c r="AC22" s="4">
        <v>1</v>
      </c>
      <c r="AD22" s="4">
        <v>5</v>
      </c>
      <c r="AE22" s="4">
        <v>5</v>
      </c>
      <c r="AF22" s="4">
        <v>1</v>
      </c>
      <c r="AG22" s="4">
        <v>1</v>
      </c>
      <c r="AH22" s="4">
        <v>1</v>
      </c>
      <c r="AI22" s="4">
        <v>1</v>
      </c>
      <c r="AJ22" s="4">
        <v>5</v>
      </c>
      <c r="AK22" s="4">
        <v>5</v>
      </c>
      <c r="AL22" s="4">
        <v>0</v>
      </c>
      <c r="AM22" s="4">
        <v>0</v>
      </c>
      <c r="AN22" s="4">
        <v>0</v>
      </c>
      <c r="AO22" s="4">
        <v>0</v>
      </c>
      <c r="AP22" s="3" t="s">
        <v>58</v>
      </c>
      <c r="AQ22" s="3" t="s">
        <v>87</v>
      </c>
      <c r="AR22" s="6" t="str">
        <f>HYPERLINK("http://catalog.hathitrust.org/Record/004981375","HathiTrust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HYPERLINK("https://creighton-primo.hosted.exlibrisgroup.com/primo-explore/search?tab=default_tab&amp;search_scope=EVERYTHING&amp;vid=01CRU&amp;lang=en_US&amp;offset=0&amp;query=any,contains,991005335469702656","Catalog Record")</f>
        <v>Catalog Record</v>
      </c>
      <c r="AT22" s="6" t="str">
        <f>HYPERLINK("http://www.worldcat.org/oclc/58448574","WorldCat Record")</f>
        <v>WorldCat Record</v>
      </c>
      <c r="AU22" s="3" t="s">
        <v>365</v>
      </c>
      <c r="AV22" s="3" t="s">
        <v>366</v>
      </c>
      <c r="AW22" s="3" t="s">
        <v>367</v>
      </c>
      <c r="AX22" s="3" t="s">
        <v>367</v>
      </c>
      <c r="AY22" s="3" t="s">
        <v>368</v>
      </c>
      <c r="AZ22" s="3" t="s">
        <v>74</v>
      </c>
      <c r="BB22" s="3" t="s">
        <v>369</v>
      </c>
      <c r="BC22" s="3" t="s">
        <v>370</v>
      </c>
      <c r="BD22" s="3" t="s">
        <v>371</v>
      </c>
    </row>
    <row r="23" spans="1:56" ht="45.75" customHeight="1" x14ac:dyDescent="0.25">
      <c r="A23" s="7" t="s">
        <v>58</v>
      </c>
      <c r="B23" s="2" t="s">
        <v>372</v>
      </c>
      <c r="C23" s="2" t="s">
        <v>373</v>
      </c>
      <c r="D23" s="2" t="s">
        <v>374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375</v>
      </c>
      <c r="L23" s="2" t="s">
        <v>376</v>
      </c>
      <c r="M23" s="3" t="s">
        <v>248</v>
      </c>
      <c r="O23" s="3" t="s">
        <v>65</v>
      </c>
      <c r="P23" s="3" t="s">
        <v>175</v>
      </c>
      <c r="R23" s="3" t="s">
        <v>67</v>
      </c>
      <c r="S23" s="4">
        <v>1</v>
      </c>
      <c r="T23" s="4">
        <v>1</v>
      </c>
      <c r="U23" s="5" t="s">
        <v>377</v>
      </c>
      <c r="V23" s="5" t="s">
        <v>377</v>
      </c>
      <c r="W23" s="5" t="s">
        <v>377</v>
      </c>
      <c r="X23" s="5" t="s">
        <v>377</v>
      </c>
      <c r="Y23" s="4">
        <v>241</v>
      </c>
      <c r="Z23" s="4">
        <v>188</v>
      </c>
      <c r="AA23" s="4">
        <v>620</v>
      </c>
      <c r="AB23" s="4">
        <v>2</v>
      </c>
      <c r="AC23" s="4">
        <v>13</v>
      </c>
      <c r="AD23" s="4">
        <v>11</v>
      </c>
      <c r="AE23" s="4">
        <v>25</v>
      </c>
      <c r="AF23" s="4">
        <v>4</v>
      </c>
      <c r="AG23" s="4">
        <v>6</v>
      </c>
      <c r="AH23" s="4">
        <v>2</v>
      </c>
      <c r="AI23" s="4">
        <v>6</v>
      </c>
      <c r="AJ23" s="4">
        <v>5</v>
      </c>
      <c r="AK23" s="4">
        <v>6</v>
      </c>
      <c r="AL23" s="4">
        <v>1</v>
      </c>
      <c r="AM23" s="4">
        <v>10</v>
      </c>
      <c r="AN23" s="4">
        <v>0</v>
      </c>
      <c r="AO23" s="4">
        <v>0</v>
      </c>
      <c r="AP23" s="3" t="s">
        <v>58</v>
      </c>
      <c r="AQ23" s="3" t="s">
        <v>87</v>
      </c>
      <c r="AR23" s="6" t="str">
        <f>HYPERLINK("http://catalog.hathitrust.org/Record/005251549","HathiTrust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HYPERLINK("https://creighton-primo.hosted.exlibrisgroup.com/primo-explore/search?tab=default_tab&amp;search_scope=EVERYTHING&amp;vid=01CRU&amp;lang=en_US&amp;offset=0&amp;query=any,contains,991005061389702656","Catalog Record")</f>
        <v>Catalog Record</v>
      </c>
      <c r="AT23" s="6" t="str">
        <f>HYPERLINK("http://www.worldcat.org/oclc/62697140","WorldCat Record")</f>
        <v>WorldCat Record</v>
      </c>
      <c r="AU23" s="3" t="s">
        <v>378</v>
      </c>
      <c r="AV23" s="3" t="s">
        <v>379</v>
      </c>
      <c r="AW23" s="3" t="s">
        <v>380</v>
      </c>
      <c r="AX23" s="3" t="s">
        <v>380</v>
      </c>
      <c r="AY23" s="3" t="s">
        <v>381</v>
      </c>
      <c r="AZ23" s="3" t="s">
        <v>74</v>
      </c>
      <c r="BB23" s="3" t="s">
        <v>382</v>
      </c>
      <c r="BC23" s="3" t="s">
        <v>383</v>
      </c>
      <c r="BD23" s="3" t="s">
        <v>384</v>
      </c>
    </row>
    <row r="24" spans="1:56" ht="45.75" customHeight="1" x14ac:dyDescent="0.25">
      <c r="A24" s="7" t="s">
        <v>58</v>
      </c>
      <c r="B24" s="2" t="s">
        <v>385</v>
      </c>
      <c r="C24" s="2" t="s">
        <v>386</v>
      </c>
      <c r="D24" s="2" t="s">
        <v>387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388</v>
      </c>
      <c r="L24" s="2" t="s">
        <v>389</v>
      </c>
      <c r="M24" s="3" t="s">
        <v>63</v>
      </c>
      <c r="N24" s="2" t="s">
        <v>390</v>
      </c>
      <c r="O24" s="3" t="s">
        <v>65</v>
      </c>
      <c r="P24" s="3" t="s">
        <v>148</v>
      </c>
      <c r="R24" s="3" t="s">
        <v>67</v>
      </c>
      <c r="S24" s="4">
        <v>1</v>
      </c>
      <c r="T24" s="4">
        <v>1</v>
      </c>
      <c r="U24" s="5" t="s">
        <v>391</v>
      </c>
      <c r="V24" s="5" t="s">
        <v>391</v>
      </c>
      <c r="W24" s="5" t="s">
        <v>392</v>
      </c>
      <c r="X24" s="5" t="s">
        <v>392</v>
      </c>
      <c r="Y24" s="4">
        <v>61</v>
      </c>
      <c r="Z24" s="4">
        <v>49</v>
      </c>
      <c r="AA24" s="4">
        <v>178</v>
      </c>
      <c r="AB24" s="4">
        <v>2</v>
      </c>
      <c r="AC24" s="4">
        <v>2</v>
      </c>
      <c r="AD24" s="4">
        <v>5</v>
      </c>
      <c r="AE24" s="4">
        <v>8</v>
      </c>
      <c r="AF24" s="4">
        <v>1</v>
      </c>
      <c r="AG24" s="4">
        <v>1</v>
      </c>
      <c r="AH24" s="4">
        <v>0</v>
      </c>
      <c r="AI24" s="4">
        <v>1</v>
      </c>
      <c r="AJ24" s="4">
        <v>3</v>
      </c>
      <c r="AK24" s="4">
        <v>6</v>
      </c>
      <c r="AL24" s="4">
        <v>1</v>
      </c>
      <c r="AM24" s="4">
        <v>1</v>
      </c>
      <c r="AN24" s="4">
        <v>0</v>
      </c>
      <c r="AO24" s="4">
        <v>0</v>
      </c>
      <c r="AP24" s="3" t="s">
        <v>58</v>
      </c>
      <c r="AQ24" s="3" t="s">
        <v>58</v>
      </c>
      <c r="AS24" s="6" t="str">
        <f>HYPERLINK("https://creighton-primo.hosted.exlibrisgroup.com/primo-explore/search?tab=default_tab&amp;search_scope=EVERYTHING&amp;vid=01CRU&amp;lang=en_US&amp;offset=0&amp;query=any,contains,991005147109702656","Catalog Record")</f>
        <v>Catalog Record</v>
      </c>
      <c r="AT24" s="6" t="str">
        <f>HYPERLINK("http://www.worldcat.org/oclc/56982737","WorldCat Record")</f>
        <v>WorldCat Record</v>
      </c>
      <c r="AU24" s="3" t="s">
        <v>393</v>
      </c>
      <c r="AV24" s="3" t="s">
        <v>394</v>
      </c>
      <c r="AW24" s="3" t="s">
        <v>395</v>
      </c>
      <c r="AX24" s="3" t="s">
        <v>395</v>
      </c>
      <c r="AY24" s="3" t="s">
        <v>396</v>
      </c>
      <c r="AZ24" s="3" t="s">
        <v>74</v>
      </c>
      <c r="BB24" s="3" t="s">
        <v>397</v>
      </c>
      <c r="BC24" s="3" t="s">
        <v>398</v>
      </c>
      <c r="BD24" s="3" t="s">
        <v>399</v>
      </c>
    </row>
    <row r="25" spans="1:56" ht="45.75" customHeight="1" x14ac:dyDescent="0.25">
      <c r="A25" s="7" t="s">
        <v>58</v>
      </c>
      <c r="B25" s="2" t="s">
        <v>400</v>
      </c>
      <c r="C25" s="2" t="s">
        <v>401</v>
      </c>
      <c r="D25" s="2" t="s">
        <v>402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403</v>
      </c>
      <c r="L25" s="2" t="s">
        <v>404</v>
      </c>
      <c r="M25" s="3" t="s">
        <v>131</v>
      </c>
      <c r="N25" s="2" t="s">
        <v>405</v>
      </c>
      <c r="O25" s="3" t="s">
        <v>65</v>
      </c>
      <c r="P25" s="3" t="s">
        <v>148</v>
      </c>
      <c r="R25" s="3" t="s">
        <v>67</v>
      </c>
      <c r="S25" s="4">
        <v>2</v>
      </c>
      <c r="T25" s="4">
        <v>2</v>
      </c>
      <c r="U25" s="5" t="s">
        <v>406</v>
      </c>
      <c r="V25" s="5" t="s">
        <v>406</v>
      </c>
      <c r="W25" s="5" t="s">
        <v>163</v>
      </c>
      <c r="X25" s="5" t="s">
        <v>163</v>
      </c>
      <c r="Y25" s="4">
        <v>99</v>
      </c>
      <c r="Z25" s="4">
        <v>67</v>
      </c>
      <c r="AA25" s="4">
        <v>349</v>
      </c>
      <c r="AB25" s="4">
        <v>1</v>
      </c>
      <c r="AC25" s="4">
        <v>2</v>
      </c>
      <c r="AD25" s="4">
        <v>1</v>
      </c>
      <c r="AE25" s="4">
        <v>14</v>
      </c>
      <c r="AF25" s="4">
        <v>0</v>
      </c>
      <c r="AG25" s="4">
        <v>3</v>
      </c>
      <c r="AH25" s="4">
        <v>0</v>
      </c>
      <c r="AI25" s="4">
        <v>4</v>
      </c>
      <c r="AJ25" s="4">
        <v>1</v>
      </c>
      <c r="AK25" s="4">
        <v>8</v>
      </c>
      <c r="AL25" s="4">
        <v>0</v>
      </c>
      <c r="AM25" s="4">
        <v>1</v>
      </c>
      <c r="AN25" s="4">
        <v>0</v>
      </c>
      <c r="AO25" s="4">
        <v>0</v>
      </c>
      <c r="AP25" s="3" t="s">
        <v>58</v>
      </c>
      <c r="AQ25" s="3" t="s">
        <v>87</v>
      </c>
      <c r="AR25" s="6" t="str">
        <f>HYPERLINK("http://catalog.hathitrust.org/Record/005061312","HathiTrust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HYPERLINK("https://creighton-primo.hosted.exlibrisgroup.com/primo-explore/search?tab=default_tab&amp;search_scope=EVERYTHING&amp;vid=01CRU&amp;lang=en_US&amp;offset=0&amp;query=any,contains,991005150649702656","Catalog Record")</f>
        <v>Catalog Record</v>
      </c>
      <c r="AT25" s="6" t="str">
        <f>HYPERLINK("http://www.worldcat.org/oclc/58451847","WorldCat Record")</f>
        <v>WorldCat Record</v>
      </c>
      <c r="AU25" s="3" t="s">
        <v>407</v>
      </c>
      <c r="AV25" s="3" t="s">
        <v>408</v>
      </c>
      <c r="AW25" s="3" t="s">
        <v>409</v>
      </c>
      <c r="AX25" s="3" t="s">
        <v>409</v>
      </c>
      <c r="AY25" s="3" t="s">
        <v>410</v>
      </c>
      <c r="AZ25" s="3" t="s">
        <v>74</v>
      </c>
      <c r="BB25" s="3" t="s">
        <v>411</v>
      </c>
      <c r="BC25" s="3" t="s">
        <v>412</v>
      </c>
      <c r="BD25" s="3" t="s">
        <v>413</v>
      </c>
    </row>
    <row r="26" spans="1:56" ht="45.75" customHeight="1" x14ac:dyDescent="0.25">
      <c r="A26" s="7" t="s">
        <v>58</v>
      </c>
      <c r="B26" s="2" t="s">
        <v>414</v>
      </c>
      <c r="C26" s="2" t="s">
        <v>415</v>
      </c>
      <c r="D26" s="2" t="s">
        <v>416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417</v>
      </c>
      <c r="L26" s="2" t="s">
        <v>418</v>
      </c>
      <c r="M26" s="3" t="s">
        <v>419</v>
      </c>
      <c r="O26" s="3" t="s">
        <v>65</v>
      </c>
      <c r="P26" s="3" t="s">
        <v>148</v>
      </c>
      <c r="R26" s="3" t="s">
        <v>67</v>
      </c>
      <c r="S26" s="4">
        <v>3</v>
      </c>
      <c r="T26" s="4">
        <v>3</v>
      </c>
      <c r="U26" s="5" t="s">
        <v>420</v>
      </c>
      <c r="V26" s="5" t="s">
        <v>420</v>
      </c>
      <c r="W26" s="5" t="s">
        <v>421</v>
      </c>
      <c r="X26" s="5" t="s">
        <v>421</v>
      </c>
      <c r="Y26" s="4">
        <v>119</v>
      </c>
      <c r="Z26" s="4">
        <v>86</v>
      </c>
      <c r="AA26" s="4">
        <v>87</v>
      </c>
      <c r="AB26" s="4">
        <v>1</v>
      </c>
      <c r="AC26" s="4">
        <v>1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HYPERLINK("https://creighton-primo.hosted.exlibrisgroup.com/primo-explore/search?tab=default_tab&amp;search_scope=EVERYTHING&amp;vid=01CRU&amp;lang=en_US&amp;offset=0&amp;query=any,contains,991003046639702656","Catalog Record")</f>
        <v>Catalog Record</v>
      </c>
      <c r="AT26" s="6" t="str">
        <f>HYPERLINK("http://www.worldcat.org/oclc/42648108","WorldCat Record")</f>
        <v>WorldCat Record</v>
      </c>
      <c r="AU26" s="3" t="s">
        <v>422</v>
      </c>
      <c r="AV26" s="3" t="s">
        <v>423</v>
      </c>
      <c r="AW26" s="3" t="s">
        <v>424</v>
      </c>
      <c r="AX26" s="3" t="s">
        <v>424</v>
      </c>
      <c r="AY26" s="3" t="s">
        <v>425</v>
      </c>
      <c r="AZ26" s="3" t="s">
        <v>74</v>
      </c>
      <c r="BB26" s="3" t="s">
        <v>426</v>
      </c>
      <c r="BC26" s="3" t="s">
        <v>427</v>
      </c>
      <c r="BD26" s="3" t="s">
        <v>428</v>
      </c>
    </row>
    <row r="27" spans="1:56" ht="45.75" customHeight="1" x14ac:dyDescent="0.25">
      <c r="A27" s="7" t="s">
        <v>58</v>
      </c>
      <c r="B27" s="2" t="s">
        <v>429</v>
      </c>
      <c r="C27" s="2" t="s">
        <v>430</v>
      </c>
      <c r="D27" s="2" t="s">
        <v>431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432</v>
      </c>
      <c r="L27" s="2" t="s">
        <v>433</v>
      </c>
      <c r="M27" s="3" t="s">
        <v>162</v>
      </c>
      <c r="N27" s="2" t="s">
        <v>390</v>
      </c>
      <c r="O27" s="3" t="s">
        <v>65</v>
      </c>
      <c r="P27" s="3" t="s">
        <v>132</v>
      </c>
      <c r="R27" s="3" t="s">
        <v>67</v>
      </c>
      <c r="S27" s="4">
        <v>1</v>
      </c>
      <c r="T27" s="4">
        <v>1</v>
      </c>
      <c r="U27" s="5" t="s">
        <v>434</v>
      </c>
      <c r="V27" s="5" t="s">
        <v>434</v>
      </c>
      <c r="W27" s="5" t="s">
        <v>435</v>
      </c>
      <c r="X27" s="5" t="s">
        <v>435</v>
      </c>
      <c r="Y27" s="4">
        <v>64</v>
      </c>
      <c r="Z27" s="4">
        <v>30</v>
      </c>
      <c r="AA27" s="4">
        <v>233</v>
      </c>
      <c r="AB27" s="4">
        <v>1</v>
      </c>
      <c r="AC27" s="4">
        <v>3</v>
      </c>
      <c r="AD27" s="4">
        <v>0</v>
      </c>
      <c r="AE27" s="4">
        <v>6</v>
      </c>
      <c r="AF27" s="4">
        <v>0</v>
      </c>
      <c r="AG27" s="4">
        <v>3</v>
      </c>
      <c r="AH27" s="4">
        <v>0</v>
      </c>
      <c r="AI27" s="4">
        <v>0</v>
      </c>
      <c r="AJ27" s="4">
        <v>0</v>
      </c>
      <c r="AK27" s="4">
        <v>2</v>
      </c>
      <c r="AL27" s="4">
        <v>0</v>
      </c>
      <c r="AM27" s="4">
        <v>2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HYPERLINK("https://creighton-primo.hosted.exlibrisgroup.com/primo-explore/search?tab=default_tab&amp;search_scope=EVERYTHING&amp;vid=01CRU&amp;lang=en_US&amp;offset=0&amp;query=any,contains,991005255659702656","Catalog Record")</f>
        <v>Catalog Record</v>
      </c>
      <c r="AT27" s="6" t="str">
        <f>HYPERLINK("http://www.worldcat.org/oclc/226389208","WorldCat Record")</f>
        <v>WorldCat Record</v>
      </c>
      <c r="AU27" s="3" t="s">
        <v>436</v>
      </c>
      <c r="AV27" s="3" t="s">
        <v>437</v>
      </c>
      <c r="AW27" s="3" t="s">
        <v>438</v>
      </c>
      <c r="AX27" s="3" t="s">
        <v>438</v>
      </c>
      <c r="AY27" s="3" t="s">
        <v>439</v>
      </c>
      <c r="AZ27" s="3" t="s">
        <v>74</v>
      </c>
      <c r="BB27" s="3" t="s">
        <v>440</v>
      </c>
      <c r="BC27" s="3" t="s">
        <v>441</v>
      </c>
      <c r="BD27" s="3" t="s">
        <v>442</v>
      </c>
    </row>
    <row r="28" spans="1:56" ht="45.75" customHeight="1" x14ac:dyDescent="0.25">
      <c r="A28" s="7" t="s">
        <v>58</v>
      </c>
      <c r="B28" s="2" t="s">
        <v>443</v>
      </c>
      <c r="C28" s="2" t="s">
        <v>444</v>
      </c>
      <c r="D28" s="2" t="s">
        <v>445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446</v>
      </c>
      <c r="L28" s="2" t="s">
        <v>447</v>
      </c>
      <c r="M28" s="3" t="s">
        <v>248</v>
      </c>
      <c r="O28" s="3" t="s">
        <v>65</v>
      </c>
      <c r="P28" s="3" t="s">
        <v>363</v>
      </c>
      <c r="R28" s="3" t="s">
        <v>67</v>
      </c>
      <c r="S28" s="4">
        <v>2</v>
      </c>
      <c r="T28" s="4">
        <v>2</v>
      </c>
      <c r="U28" s="5" t="s">
        <v>448</v>
      </c>
      <c r="V28" s="5" t="s">
        <v>448</v>
      </c>
      <c r="W28" s="5" t="s">
        <v>448</v>
      </c>
      <c r="X28" s="5" t="s">
        <v>448</v>
      </c>
      <c r="Y28" s="4">
        <v>129</v>
      </c>
      <c r="Z28" s="4">
        <v>110</v>
      </c>
      <c r="AA28" s="4">
        <v>111</v>
      </c>
      <c r="AB28" s="4">
        <v>4</v>
      </c>
      <c r="AC28" s="4">
        <v>4</v>
      </c>
      <c r="AD28" s="4">
        <v>4</v>
      </c>
      <c r="AE28" s="4">
        <v>4</v>
      </c>
      <c r="AF28" s="4">
        <v>0</v>
      </c>
      <c r="AG28" s="4">
        <v>0</v>
      </c>
      <c r="AH28" s="4">
        <v>1</v>
      </c>
      <c r="AI28" s="4">
        <v>1</v>
      </c>
      <c r="AJ28" s="4">
        <v>0</v>
      </c>
      <c r="AK28" s="4">
        <v>0</v>
      </c>
      <c r="AL28" s="4">
        <v>3</v>
      </c>
      <c r="AM28" s="4">
        <v>3</v>
      </c>
      <c r="AN28" s="4">
        <v>0</v>
      </c>
      <c r="AO28" s="4">
        <v>0</v>
      </c>
      <c r="AP28" s="3" t="s">
        <v>58</v>
      </c>
      <c r="AQ28" s="3" t="s">
        <v>58</v>
      </c>
      <c r="AS28" s="6" t="str">
        <f>HYPERLINK("https://creighton-primo.hosted.exlibrisgroup.com/primo-explore/search?tab=default_tab&amp;search_scope=EVERYTHING&amp;vid=01CRU&amp;lang=en_US&amp;offset=0&amp;query=any,contains,991005335499702656","Catalog Record")</f>
        <v>Catalog Record</v>
      </c>
      <c r="AT28" s="6" t="str">
        <f>HYPERLINK("http://www.worldcat.org/oclc/85766086","WorldCat Record")</f>
        <v>WorldCat Record</v>
      </c>
      <c r="AU28" s="3" t="s">
        <v>449</v>
      </c>
      <c r="AV28" s="3" t="s">
        <v>450</v>
      </c>
      <c r="AW28" s="3" t="s">
        <v>451</v>
      </c>
      <c r="AX28" s="3" t="s">
        <v>451</v>
      </c>
      <c r="AY28" s="3" t="s">
        <v>452</v>
      </c>
      <c r="AZ28" s="3" t="s">
        <v>74</v>
      </c>
      <c r="BB28" s="3" t="s">
        <v>453</v>
      </c>
      <c r="BC28" s="3" t="s">
        <v>454</v>
      </c>
      <c r="BD28" s="3" t="s">
        <v>455</v>
      </c>
    </row>
    <row r="29" spans="1:56" ht="45.75" customHeight="1" x14ac:dyDescent="0.25">
      <c r="A29" s="7" t="s">
        <v>58</v>
      </c>
      <c r="B29" s="2" t="s">
        <v>456</v>
      </c>
      <c r="C29" s="2" t="s">
        <v>457</v>
      </c>
      <c r="D29" s="2" t="s">
        <v>458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459</v>
      </c>
      <c r="L29" s="2" t="s">
        <v>460</v>
      </c>
      <c r="M29" s="3" t="s">
        <v>131</v>
      </c>
      <c r="O29" s="3" t="s">
        <v>65</v>
      </c>
      <c r="P29" s="3" t="s">
        <v>190</v>
      </c>
      <c r="R29" s="3" t="s">
        <v>67</v>
      </c>
      <c r="S29" s="4">
        <v>1</v>
      </c>
      <c r="T29" s="4">
        <v>1</v>
      </c>
      <c r="U29" s="5" t="s">
        <v>461</v>
      </c>
      <c r="V29" s="5" t="s">
        <v>461</v>
      </c>
      <c r="W29" s="5" t="s">
        <v>461</v>
      </c>
      <c r="X29" s="5" t="s">
        <v>461</v>
      </c>
      <c r="Y29" s="4">
        <v>139</v>
      </c>
      <c r="Z29" s="4">
        <v>127</v>
      </c>
      <c r="AA29" s="4">
        <v>179</v>
      </c>
      <c r="AB29" s="4">
        <v>2</v>
      </c>
      <c r="AC29" s="4">
        <v>2</v>
      </c>
      <c r="AD29" s="4">
        <v>7</v>
      </c>
      <c r="AE29" s="4">
        <v>7</v>
      </c>
      <c r="AF29" s="4">
        <v>1</v>
      </c>
      <c r="AG29" s="4">
        <v>1</v>
      </c>
      <c r="AH29" s="4">
        <v>2</v>
      </c>
      <c r="AI29" s="4">
        <v>2</v>
      </c>
      <c r="AJ29" s="4">
        <v>4</v>
      </c>
      <c r="AK29" s="4">
        <v>4</v>
      </c>
      <c r="AL29" s="4">
        <v>1</v>
      </c>
      <c r="AM29" s="4">
        <v>1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HYPERLINK("https://creighton-primo.hosted.exlibrisgroup.com/primo-explore/search?tab=default_tab&amp;search_scope=EVERYTHING&amp;vid=01CRU&amp;lang=en_US&amp;offset=0&amp;query=any,contains,991004704929702656","Catalog Record")</f>
        <v>Catalog Record</v>
      </c>
      <c r="AT29" s="6" t="str">
        <f>HYPERLINK("http://www.worldcat.org/oclc/59011500","WorldCat Record")</f>
        <v>WorldCat Record</v>
      </c>
      <c r="AU29" s="3" t="s">
        <v>462</v>
      </c>
      <c r="AV29" s="3" t="s">
        <v>463</v>
      </c>
      <c r="AW29" s="3" t="s">
        <v>464</v>
      </c>
      <c r="AX29" s="3" t="s">
        <v>464</v>
      </c>
      <c r="AY29" s="3" t="s">
        <v>465</v>
      </c>
      <c r="AZ29" s="3" t="s">
        <v>74</v>
      </c>
      <c r="BB29" s="3" t="s">
        <v>466</v>
      </c>
      <c r="BC29" s="3" t="s">
        <v>467</v>
      </c>
      <c r="BD29" s="3" t="s">
        <v>468</v>
      </c>
    </row>
    <row r="30" spans="1:56" ht="45.75" customHeight="1" x14ac:dyDescent="0.25">
      <c r="A30" s="7" t="s">
        <v>58</v>
      </c>
      <c r="B30" s="2" t="s">
        <v>469</v>
      </c>
      <c r="C30" s="2" t="s">
        <v>470</v>
      </c>
      <c r="D30" s="2" t="s">
        <v>471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L30" s="2" t="s">
        <v>472</v>
      </c>
      <c r="M30" s="3" t="s">
        <v>335</v>
      </c>
      <c r="O30" s="3" t="s">
        <v>65</v>
      </c>
      <c r="P30" s="3" t="s">
        <v>84</v>
      </c>
      <c r="R30" s="3" t="s">
        <v>67</v>
      </c>
      <c r="S30" s="4">
        <v>1</v>
      </c>
      <c r="T30" s="4">
        <v>1</v>
      </c>
      <c r="U30" s="5" t="s">
        <v>473</v>
      </c>
      <c r="V30" s="5" t="s">
        <v>473</v>
      </c>
      <c r="W30" s="5" t="s">
        <v>473</v>
      </c>
      <c r="X30" s="5" t="s">
        <v>473</v>
      </c>
      <c r="Y30" s="4">
        <v>251</v>
      </c>
      <c r="Z30" s="4">
        <v>213</v>
      </c>
      <c r="AA30" s="4">
        <v>213</v>
      </c>
      <c r="AB30" s="4">
        <v>2</v>
      </c>
      <c r="AC30" s="4">
        <v>2</v>
      </c>
      <c r="AD30" s="4">
        <v>13</v>
      </c>
      <c r="AE30" s="4">
        <v>13</v>
      </c>
      <c r="AF30" s="4">
        <v>5</v>
      </c>
      <c r="AG30" s="4">
        <v>5</v>
      </c>
      <c r="AH30" s="4">
        <v>4</v>
      </c>
      <c r="AI30" s="4">
        <v>4</v>
      </c>
      <c r="AJ30" s="4">
        <v>6</v>
      </c>
      <c r="AK30" s="4">
        <v>6</v>
      </c>
      <c r="AL30" s="4">
        <v>1</v>
      </c>
      <c r="AM30" s="4">
        <v>1</v>
      </c>
      <c r="AN30" s="4">
        <v>0</v>
      </c>
      <c r="AO30" s="4">
        <v>0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HYPERLINK("https://creighton-primo.hosted.exlibrisgroup.com/primo-explore/search?tab=default_tab&amp;search_scope=EVERYTHING&amp;vid=01CRU&amp;lang=en_US&amp;offset=0&amp;query=any,contains,991005381819702656","Catalog Record")</f>
        <v>Catalog Record</v>
      </c>
      <c r="AT30" s="6" t="str">
        <f>HYPERLINK("http://www.worldcat.org/oclc/320798877","WorldCat Record")</f>
        <v>WorldCat Record</v>
      </c>
      <c r="AU30" s="3" t="s">
        <v>474</v>
      </c>
      <c r="AV30" s="3" t="s">
        <v>475</v>
      </c>
      <c r="AW30" s="3" t="s">
        <v>476</v>
      </c>
      <c r="AX30" s="3" t="s">
        <v>476</v>
      </c>
      <c r="AY30" s="3" t="s">
        <v>477</v>
      </c>
      <c r="AZ30" s="3" t="s">
        <v>74</v>
      </c>
      <c r="BB30" s="3" t="s">
        <v>478</v>
      </c>
      <c r="BC30" s="3" t="s">
        <v>479</v>
      </c>
      <c r="BD30" s="3" t="s">
        <v>480</v>
      </c>
    </row>
    <row r="31" spans="1:56" ht="45.75" customHeight="1" x14ac:dyDescent="0.25">
      <c r="A31" s="7" t="s">
        <v>58</v>
      </c>
      <c r="B31" s="2" t="s">
        <v>481</v>
      </c>
      <c r="C31" s="2" t="s">
        <v>482</v>
      </c>
      <c r="D31" s="2" t="s">
        <v>483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484</v>
      </c>
      <c r="L31" s="2" t="s">
        <v>485</v>
      </c>
      <c r="M31" s="3" t="s">
        <v>131</v>
      </c>
      <c r="N31" s="2" t="s">
        <v>486</v>
      </c>
      <c r="O31" s="3" t="s">
        <v>65</v>
      </c>
      <c r="P31" s="3" t="s">
        <v>84</v>
      </c>
      <c r="R31" s="3" t="s">
        <v>67</v>
      </c>
      <c r="S31" s="4">
        <v>5</v>
      </c>
      <c r="T31" s="4">
        <v>5</v>
      </c>
      <c r="U31" s="5" t="s">
        <v>487</v>
      </c>
      <c r="V31" s="5" t="s">
        <v>487</v>
      </c>
      <c r="W31" s="5" t="s">
        <v>488</v>
      </c>
      <c r="X31" s="5" t="s">
        <v>488</v>
      </c>
      <c r="Y31" s="4">
        <v>1018</v>
      </c>
      <c r="Z31" s="4">
        <v>932</v>
      </c>
      <c r="AA31" s="4">
        <v>969</v>
      </c>
      <c r="AB31" s="4">
        <v>7</v>
      </c>
      <c r="AC31" s="4">
        <v>8</v>
      </c>
      <c r="AD31" s="4">
        <v>16</v>
      </c>
      <c r="AE31" s="4">
        <v>19</v>
      </c>
      <c r="AF31" s="4">
        <v>5</v>
      </c>
      <c r="AG31" s="4">
        <v>6</v>
      </c>
      <c r="AH31" s="4">
        <v>4</v>
      </c>
      <c r="AI31" s="4">
        <v>5</v>
      </c>
      <c r="AJ31" s="4">
        <v>8</v>
      </c>
      <c r="AK31" s="4">
        <v>8</v>
      </c>
      <c r="AL31" s="4">
        <v>2</v>
      </c>
      <c r="AM31" s="4">
        <v>3</v>
      </c>
      <c r="AN31" s="4">
        <v>0</v>
      </c>
      <c r="AO31" s="4">
        <v>0</v>
      </c>
      <c r="AP31" s="3" t="s">
        <v>58</v>
      </c>
      <c r="AQ31" s="3" t="s">
        <v>87</v>
      </c>
      <c r="AR31" s="6" t="str">
        <f>HYPERLINK("http://catalog.hathitrust.org/Record/005283941","HathiTrust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HYPERLINK("https://creighton-primo.hosted.exlibrisgroup.com/primo-explore/search?tab=default_tab&amp;search_scope=EVERYTHING&amp;vid=01CRU&amp;lang=en_US&amp;offset=0&amp;query=any,contains,991004905939702656","Catalog Record")</f>
        <v>Catalog Record</v>
      </c>
      <c r="AT31" s="6" t="str">
        <f>HYPERLINK("http://www.worldcat.org/oclc/67945340","WorldCat Record")</f>
        <v>WorldCat Record</v>
      </c>
      <c r="AU31" s="3" t="s">
        <v>489</v>
      </c>
      <c r="AV31" s="3" t="s">
        <v>490</v>
      </c>
      <c r="AW31" s="3" t="s">
        <v>491</v>
      </c>
      <c r="AX31" s="3" t="s">
        <v>491</v>
      </c>
      <c r="AY31" s="3" t="s">
        <v>492</v>
      </c>
      <c r="AZ31" s="3" t="s">
        <v>74</v>
      </c>
      <c r="BB31" s="3" t="s">
        <v>493</v>
      </c>
      <c r="BC31" s="3" t="s">
        <v>494</v>
      </c>
      <c r="BD31" s="3" t="s">
        <v>495</v>
      </c>
    </row>
    <row r="32" spans="1:56" ht="45.75" customHeight="1" x14ac:dyDescent="0.25">
      <c r="A32" s="7" t="s">
        <v>58</v>
      </c>
      <c r="B32" s="2" t="s">
        <v>496</v>
      </c>
      <c r="C32" s="2" t="s">
        <v>497</v>
      </c>
      <c r="D32" s="2" t="s">
        <v>498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499</v>
      </c>
      <c r="L32" s="2" t="s">
        <v>500</v>
      </c>
      <c r="M32" s="3" t="s">
        <v>147</v>
      </c>
      <c r="N32" s="2" t="s">
        <v>64</v>
      </c>
      <c r="O32" s="3" t="s">
        <v>65</v>
      </c>
      <c r="P32" s="3" t="s">
        <v>84</v>
      </c>
      <c r="Q32" s="2" t="s">
        <v>501</v>
      </c>
      <c r="R32" s="3" t="s">
        <v>67</v>
      </c>
      <c r="S32" s="4">
        <v>1</v>
      </c>
      <c r="T32" s="4">
        <v>1</v>
      </c>
      <c r="U32" s="5" t="s">
        <v>502</v>
      </c>
      <c r="V32" s="5" t="s">
        <v>502</v>
      </c>
      <c r="W32" s="5" t="s">
        <v>502</v>
      </c>
      <c r="X32" s="5" t="s">
        <v>502</v>
      </c>
      <c r="Y32" s="4">
        <v>387</v>
      </c>
      <c r="Z32" s="4">
        <v>290</v>
      </c>
      <c r="AA32" s="4">
        <v>663</v>
      </c>
      <c r="AB32" s="4">
        <v>2</v>
      </c>
      <c r="AC32" s="4">
        <v>5</v>
      </c>
      <c r="AD32" s="4">
        <v>12</v>
      </c>
      <c r="AE32" s="4">
        <v>25</v>
      </c>
      <c r="AF32" s="4">
        <v>2</v>
      </c>
      <c r="AG32" s="4">
        <v>7</v>
      </c>
      <c r="AH32" s="4">
        <v>2</v>
      </c>
      <c r="AI32" s="4">
        <v>4</v>
      </c>
      <c r="AJ32" s="4">
        <v>9</v>
      </c>
      <c r="AK32" s="4">
        <v>13</v>
      </c>
      <c r="AL32" s="4">
        <v>1</v>
      </c>
      <c r="AM32" s="4">
        <v>4</v>
      </c>
      <c r="AN32" s="4">
        <v>0</v>
      </c>
      <c r="AO32" s="4">
        <v>1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HYPERLINK("https://creighton-primo.hosted.exlibrisgroup.com/primo-explore/search?tab=default_tab&amp;search_scope=EVERYTHING&amp;vid=01CRU&amp;lang=en_US&amp;offset=0&amp;query=any,contains,991004391539702656","Catalog Record")</f>
        <v>Catalog Record</v>
      </c>
      <c r="AT32" s="6" t="str">
        <f>HYPERLINK("http://www.worldcat.org/oclc/54966274","WorldCat Record")</f>
        <v>WorldCat Record</v>
      </c>
      <c r="AU32" s="3" t="s">
        <v>503</v>
      </c>
      <c r="AV32" s="3" t="s">
        <v>504</v>
      </c>
      <c r="AW32" s="3" t="s">
        <v>505</v>
      </c>
      <c r="AX32" s="3" t="s">
        <v>505</v>
      </c>
      <c r="AY32" s="3" t="s">
        <v>506</v>
      </c>
      <c r="AZ32" s="3" t="s">
        <v>74</v>
      </c>
      <c r="BB32" s="3" t="s">
        <v>507</v>
      </c>
      <c r="BC32" s="3" t="s">
        <v>508</v>
      </c>
      <c r="BD32" s="3" t="s">
        <v>509</v>
      </c>
    </row>
    <row r="33" spans="1:56" ht="45.75" customHeight="1" x14ac:dyDescent="0.25">
      <c r="A33" s="7" t="s">
        <v>58</v>
      </c>
      <c r="B33" s="2" t="s">
        <v>510</v>
      </c>
      <c r="C33" s="2" t="s">
        <v>511</v>
      </c>
      <c r="D33" s="2" t="s">
        <v>512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L33" s="2" t="s">
        <v>513</v>
      </c>
      <c r="M33" s="3" t="s">
        <v>220</v>
      </c>
      <c r="O33" s="3" t="s">
        <v>65</v>
      </c>
      <c r="P33" s="3" t="s">
        <v>66</v>
      </c>
      <c r="R33" s="3" t="s">
        <v>67</v>
      </c>
      <c r="S33" s="4">
        <v>7</v>
      </c>
      <c r="T33" s="4">
        <v>7</v>
      </c>
      <c r="U33" s="5" t="s">
        <v>514</v>
      </c>
      <c r="V33" s="5" t="s">
        <v>514</v>
      </c>
      <c r="W33" s="5" t="s">
        <v>515</v>
      </c>
      <c r="X33" s="5" t="s">
        <v>515</v>
      </c>
      <c r="Y33" s="4">
        <v>207</v>
      </c>
      <c r="Z33" s="4">
        <v>189</v>
      </c>
      <c r="AA33" s="4">
        <v>197</v>
      </c>
      <c r="AB33" s="4">
        <v>3</v>
      </c>
      <c r="AC33" s="4">
        <v>3</v>
      </c>
      <c r="AD33" s="4">
        <v>4</v>
      </c>
      <c r="AE33" s="4">
        <v>4</v>
      </c>
      <c r="AF33" s="4">
        <v>2</v>
      </c>
      <c r="AG33" s="4">
        <v>2</v>
      </c>
      <c r="AH33" s="4">
        <v>0</v>
      </c>
      <c r="AI33" s="4">
        <v>0</v>
      </c>
      <c r="AJ33" s="4">
        <v>2</v>
      </c>
      <c r="AK33" s="4">
        <v>2</v>
      </c>
      <c r="AL33" s="4">
        <v>2</v>
      </c>
      <c r="AM33" s="4">
        <v>2</v>
      </c>
      <c r="AN33" s="4">
        <v>0</v>
      </c>
      <c r="AO33" s="4">
        <v>0</v>
      </c>
      <c r="AP33" s="3" t="s">
        <v>58</v>
      </c>
      <c r="AQ33" s="3" t="s">
        <v>87</v>
      </c>
      <c r="AR33" s="6" t="str">
        <f>HYPERLINK("http://catalog.hathitrust.org/Record/004075189","HathiTrust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HYPERLINK("https://creighton-primo.hosted.exlibrisgroup.com/primo-explore/search?tab=default_tab&amp;search_scope=EVERYTHING&amp;vid=01CRU&amp;lang=en_US&amp;offset=0&amp;query=any,contains,991003014919702656","Catalog Record")</f>
        <v>Catalog Record</v>
      </c>
      <c r="AT33" s="6" t="str">
        <f>HYPERLINK("http://www.worldcat.org/oclc/40990127","WorldCat Record")</f>
        <v>WorldCat Record</v>
      </c>
      <c r="AU33" s="3" t="s">
        <v>516</v>
      </c>
      <c r="AV33" s="3" t="s">
        <v>517</v>
      </c>
      <c r="AW33" s="3" t="s">
        <v>518</v>
      </c>
      <c r="AX33" s="3" t="s">
        <v>518</v>
      </c>
      <c r="AY33" s="3" t="s">
        <v>519</v>
      </c>
      <c r="AZ33" s="3" t="s">
        <v>74</v>
      </c>
      <c r="BB33" s="3" t="s">
        <v>520</v>
      </c>
      <c r="BC33" s="3" t="s">
        <v>521</v>
      </c>
      <c r="BD33" s="3" t="s">
        <v>522</v>
      </c>
    </row>
    <row r="34" spans="1:56" ht="45.75" customHeight="1" x14ac:dyDescent="0.25">
      <c r="A34" s="7" t="s">
        <v>58</v>
      </c>
      <c r="B34" s="2" t="s">
        <v>523</v>
      </c>
      <c r="C34" s="2" t="s">
        <v>524</v>
      </c>
      <c r="D34" s="2" t="s">
        <v>525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526</v>
      </c>
      <c r="L34" s="2" t="s">
        <v>527</v>
      </c>
      <c r="M34" s="3" t="s">
        <v>528</v>
      </c>
      <c r="O34" s="3" t="s">
        <v>65</v>
      </c>
      <c r="P34" s="3" t="s">
        <v>529</v>
      </c>
      <c r="R34" s="3" t="s">
        <v>67</v>
      </c>
      <c r="S34" s="4">
        <v>10</v>
      </c>
      <c r="T34" s="4">
        <v>10</v>
      </c>
      <c r="U34" s="5" t="s">
        <v>530</v>
      </c>
      <c r="V34" s="5" t="s">
        <v>530</v>
      </c>
      <c r="W34" s="5" t="s">
        <v>531</v>
      </c>
      <c r="X34" s="5" t="s">
        <v>531</v>
      </c>
      <c r="Y34" s="4">
        <v>501</v>
      </c>
      <c r="Z34" s="4">
        <v>445</v>
      </c>
      <c r="AA34" s="4">
        <v>597</v>
      </c>
      <c r="AB34" s="4">
        <v>5</v>
      </c>
      <c r="AC34" s="4">
        <v>9</v>
      </c>
      <c r="AD34" s="4">
        <v>22</v>
      </c>
      <c r="AE34" s="4">
        <v>27</v>
      </c>
      <c r="AF34" s="4">
        <v>13</v>
      </c>
      <c r="AG34" s="4">
        <v>13</v>
      </c>
      <c r="AH34" s="4">
        <v>3</v>
      </c>
      <c r="AI34" s="4">
        <v>3</v>
      </c>
      <c r="AJ34" s="4">
        <v>11</v>
      </c>
      <c r="AK34" s="4">
        <v>12</v>
      </c>
      <c r="AL34" s="4">
        <v>2</v>
      </c>
      <c r="AM34" s="4">
        <v>6</v>
      </c>
      <c r="AN34" s="4">
        <v>0</v>
      </c>
      <c r="AO34" s="4">
        <v>0</v>
      </c>
      <c r="AP34" s="3" t="s">
        <v>58</v>
      </c>
      <c r="AQ34" s="3" t="s">
        <v>87</v>
      </c>
      <c r="AR34" s="6" t="str">
        <f>HYPERLINK("http://catalog.hathitrust.org/Record/002450110","HathiTrust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HYPERLINK("https://creighton-primo.hosted.exlibrisgroup.com/primo-explore/search?tab=default_tab&amp;search_scope=EVERYTHING&amp;vid=01CRU&amp;lang=en_US&amp;offset=0&amp;query=any,contains,991001739619702656","Catalog Record")</f>
        <v>Catalog Record</v>
      </c>
      <c r="AT34" s="6" t="str">
        <f>HYPERLINK("http://www.worldcat.org/oclc/21981645","WorldCat Record")</f>
        <v>WorldCat Record</v>
      </c>
      <c r="AU34" s="3" t="s">
        <v>532</v>
      </c>
      <c r="AV34" s="3" t="s">
        <v>533</v>
      </c>
      <c r="AW34" s="3" t="s">
        <v>534</v>
      </c>
      <c r="AX34" s="3" t="s">
        <v>534</v>
      </c>
      <c r="AY34" s="3" t="s">
        <v>535</v>
      </c>
      <c r="AZ34" s="3" t="s">
        <v>74</v>
      </c>
      <c r="BC34" s="3" t="s">
        <v>536</v>
      </c>
      <c r="BD34" s="3" t="s">
        <v>537</v>
      </c>
    </row>
    <row r="35" spans="1:56" ht="45.75" customHeight="1" x14ac:dyDescent="0.25">
      <c r="A35" s="7" t="s">
        <v>58</v>
      </c>
      <c r="B35" s="2" t="s">
        <v>538</v>
      </c>
      <c r="C35" s="2" t="s">
        <v>539</v>
      </c>
      <c r="D35" s="2" t="s">
        <v>540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541</v>
      </c>
      <c r="L35" s="2" t="s">
        <v>542</v>
      </c>
      <c r="M35" s="3" t="s">
        <v>116</v>
      </c>
      <c r="N35" s="2" t="s">
        <v>543</v>
      </c>
      <c r="O35" s="3" t="s">
        <v>65</v>
      </c>
      <c r="P35" s="3" t="s">
        <v>66</v>
      </c>
      <c r="R35" s="3" t="s">
        <v>67</v>
      </c>
      <c r="S35" s="4">
        <v>3</v>
      </c>
      <c r="T35" s="4">
        <v>3</v>
      </c>
      <c r="U35" s="5" t="s">
        <v>544</v>
      </c>
      <c r="V35" s="5" t="s">
        <v>544</v>
      </c>
      <c r="W35" s="5" t="s">
        <v>545</v>
      </c>
      <c r="X35" s="5" t="s">
        <v>545</v>
      </c>
      <c r="Y35" s="4">
        <v>462</v>
      </c>
      <c r="Z35" s="4">
        <v>377</v>
      </c>
      <c r="AA35" s="4">
        <v>452</v>
      </c>
      <c r="AB35" s="4">
        <v>3</v>
      </c>
      <c r="AC35" s="4">
        <v>4</v>
      </c>
      <c r="AD35" s="4">
        <v>14</v>
      </c>
      <c r="AE35" s="4">
        <v>20</v>
      </c>
      <c r="AF35" s="4">
        <v>4</v>
      </c>
      <c r="AG35" s="4">
        <v>6</v>
      </c>
      <c r="AH35" s="4">
        <v>4</v>
      </c>
      <c r="AI35" s="4">
        <v>4</v>
      </c>
      <c r="AJ35" s="4">
        <v>8</v>
      </c>
      <c r="AK35" s="4">
        <v>11</v>
      </c>
      <c r="AL35" s="4">
        <v>2</v>
      </c>
      <c r="AM35" s="4">
        <v>3</v>
      </c>
      <c r="AN35" s="4">
        <v>0</v>
      </c>
      <c r="AO35" s="4">
        <v>0</v>
      </c>
      <c r="AP35" s="3" t="s">
        <v>58</v>
      </c>
      <c r="AQ35" s="3" t="s">
        <v>58</v>
      </c>
      <c r="AS35" s="6" t="str">
        <f>HYPERLINK("https://creighton-primo.hosted.exlibrisgroup.com/primo-explore/search?tab=default_tab&amp;search_scope=EVERYTHING&amp;vid=01CRU&amp;lang=en_US&amp;offset=0&amp;query=any,contains,991002867559702656","Catalog Record")</f>
        <v>Catalog Record</v>
      </c>
      <c r="AT35" s="6" t="str">
        <f>HYPERLINK("http://www.worldcat.org/oclc/37806044","WorldCat Record")</f>
        <v>WorldCat Record</v>
      </c>
      <c r="AU35" s="3" t="s">
        <v>546</v>
      </c>
      <c r="AV35" s="3" t="s">
        <v>547</v>
      </c>
      <c r="AW35" s="3" t="s">
        <v>548</v>
      </c>
      <c r="AX35" s="3" t="s">
        <v>548</v>
      </c>
      <c r="AY35" s="3" t="s">
        <v>549</v>
      </c>
      <c r="AZ35" s="3" t="s">
        <v>74</v>
      </c>
      <c r="BB35" s="3" t="s">
        <v>550</v>
      </c>
      <c r="BC35" s="3" t="s">
        <v>551</v>
      </c>
      <c r="BD35" s="3" t="s">
        <v>552</v>
      </c>
    </row>
    <row r="36" spans="1:56" ht="45.75" customHeight="1" x14ac:dyDescent="0.25">
      <c r="A36" s="7" t="s">
        <v>58</v>
      </c>
      <c r="B36" s="2" t="s">
        <v>553</v>
      </c>
      <c r="C36" s="2" t="s">
        <v>554</v>
      </c>
      <c r="D36" s="2" t="s">
        <v>555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L36" s="2" t="s">
        <v>556</v>
      </c>
      <c r="M36" s="3" t="s">
        <v>557</v>
      </c>
      <c r="O36" s="3" t="s">
        <v>65</v>
      </c>
      <c r="P36" s="3" t="s">
        <v>336</v>
      </c>
      <c r="Q36" s="2" t="s">
        <v>558</v>
      </c>
      <c r="R36" s="3" t="s">
        <v>67</v>
      </c>
      <c r="S36" s="4">
        <v>13</v>
      </c>
      <c r="T36" s="4">
        <v>13</v>
      </c>
      <c r="U36" s="5" t="s">
        <v>559</v>
      </c>
      <c r="V36" s="5" t="s">
        <v>559</v>
      </c>
      <c r="W36" s="5" t="s">
        <v>560</v>
      </c>
      <c r="X36" s="5" t="s">
        <v>560</v>
      </c>
      <c r="Y36" s="4">
        <v>282</v>
      </c>
      <c r="Z36" s="4">
        <v>230</v>
      </c>
      <c r="AA36" s="4">
        <v>246</v>
      </c>
      <c r="AB36" s="4">
        <v>3</v>
      </c>
      <c r="AC36" s="4">
        <v>3</v>
      </c>
      <c r="AD36" s="4">
        <v>15</v>
      </c>
      <c r="AE36" s="4">
        <v>15</v>
      </c>
      <c r="AF36" s="4">
        <v>4</v>
      </c>
      <c r="AG36" s="4">
        <v>4</v>
      </c>
      <c r="AH36" s="4">
        <v>4</v>
      </c>
      <c r="AI36" s="4">
        <v>4</v>
      </c>
      <c r="AJ36" s="4">
        <v>8</v>
      </c>
      <c r="AK36" s="4">
        <v>8</v>
      </c>
      <c r="AL36" s="4">
        <v>2</v>
      </c>
      <c r="AM36" s="4">
        <v>2</v>
      </c>
      <c r="AN36" s="4">
        <v>0</v>
      </c>
      <c r="AO36" s="4">
        <v>0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HYPERLINK("https://creighton-primo.hosted.exlibrisgroup.com/primo-explore/search?tab=default_tab&amp;search_scope=EVERYTHING&amp;vid=01CRU&amp;lang=en_US&amp;offset=0&amp;query=any,contains,991002118729702656","Catalog Record")</f>
        <v>Catalog Record</v>
      </c>
      <c r="AT36" s="6" t="str">
        <f>HYPERLINK("http://www.worldcat.org/oclc/27149832","WorldCat Record")</f>
        <v>WorldCat Record</v>
      </c>
      <c r="AU36" s="3" t="s">
        <v>561</v>
      </c>
      <c r="AV36" s="3" t="s">
        <v>562</v>
      </c>
      <c r="AW36" s="3" t="s">
        <v>563</v>
      </c>
      <c r="AX36" s="3" t="s">
        <v>563</v>
      </c>
      <c r="AY36" s="3" t="s">
        <v>564</v>
      </c>
      <c r="AZ36" s="3" t="s">
        <v>74</v>
      </c>
      <c r="BB36" s="3" t="s">
        <v>565</v>
      </c>
      <c r="BC36" s="3" t="s">
        <v>566</v>
      </c>
      <c r="BD36" s="3" t="s">
        <v>567</v>
      </c>
    </row>
    <row r="37" spans="1:56" ht="45.75" customHeight="1" x14ac:dyDescent="0.25">
      <c r="A37" s="7" t="s">
        <v>58</v>
      </c>
      <c r="B37" s="2" t="s">
        <v>568</v>
      </c>
      <c r="C37" s="2" t="s">
        <v>569</v>
      </c>
      <c r="D37" s="2" t="s">
        <v>570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571</v>
      </c>
      <c r="L37" s="2" t="s">
        <v>572</v>
      </c>
      <c r="M37" s="3" t="s">
        <v>573</v>
      </c>
      <c r="O37" s="3" t="s">
        <v>65</v>
      </c>
      <c r="P37" s="3" t="s">
        <v>66</v>
      </c>
      <c r="R37" s="3" t="s">
        <v>67</v>
      </c>
      <c r="S37" s="4">
        <v>1</v>
      </c>
      <c r="T37" s="4">
        <v>1</v>
      </c>
      <c r="U37" s="5" t="s">
        <v>574</v>
      </c>
      <c r="V37" s="5" t="s">
        <v>574</v>
      </c>
      <c r="W37" s="5" t="s">
        <v>574</v>
      </c>
      <c r="X37" s="5" t="s">
        <v>574</v>
      </c>
      <c r="Y37" s="4">
        <v>165</v>
      </c>
      <c r="Z37" s="4">
        <v>150</v>
      </c>
      <c r="AA37" s="4">
        <v>152</v>
      </c>
      <c r="AB37" s="4">
        <v>3</v>
      </c>
      <c r="AC37" s="4">
        <v>3</v>
      </c>
      <c r="AD37" s="4">
        <v>9</v>
      </c>
      <c r="AE37" s="4">
        <v>9</v>
      </c>
      <c r="AF37" s="4">
        <v>3</v>
      </c>
      <c r="AG37" s="4">
        <v>3</v>
      </c>
      <c r="AH37" s="4">
        <v>2</v>
      </c>
      <c r="AI37" s="4">
        <v>2</v>
      </c>
      <c r="AJ37" s="4">
        <v>3</v>
      </c>
      <c r="AK37" s="4">
        <v>3</v>
      </c>
      <c r="AL37" s="4">
        <v>2</v>
      </c>
      <c r="AM37" s="4">
        <v>2</v>
      </c>
      <c r="AN37" s="4">
        <v>0</v>
      </c>
      <c r="AO37" s="4">
        <v>0</v>
      </c>
      <c r="AP37" s="3" t="s">
        <v>58</v>
      </c>
      <c r="AQ37" s="3" t="s">
        <v>87</v>
      </c>
      <c r="AR37" s="6" t="str">
        <f>HYPERLINK("http://catalog.hathitrust.org/Record/004348870","HathiTrust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HYPERLINK("https://creighton-primo.hosted.exlibrisgroup.com/primo-explore/search?tab=default_tab&amp;search_scope=EVERYTHING&amp;vid=01CRU&amp;lang=en_US&amp;offset=0&amp;query=any,contains,991004263239702656","Catalog Record")</f>
        <v>Catalog Record</v>
      </c>
      <c r="AT37" s="6" t="str">
        <f>HYPERLINK("http://www.worldcat.org/oclc/50898407","WorldCat Record")</f>
        <v>WorldCat Record</v>
      </c>
      <c r="AU37" s="3" t="s">
        <v>575</v>
      </c>
      <c r="AV37" s="3" t="s">
        <v>576</v>
      </c>
      <c r="AW37" s="3" t="s">
        <v>577</v>
      </c>
      <c r="AX37" s="3" t="s">
        <v>577</v>
      </c>
      <c r="AY37" s="3" t="s">
        <v>578</v>
      </c>
      <c r="AZ37" s="3" t="s">
        <v>74</v>
      </c>
      <c r="BB37" s="3" t="s">
        <v>579</v>
      </c>
      <c r="BC37" s="3" t="s">
        <v>580</v>
      </c>
      <c r="BD37" s="3" t="s">
        <v>581</v>
      </c>
    </row>
    <row r="38" spans="1:56" ht="45.75" customHeight="1" x14ac:dyDescent="0.25">
      <c r="A38" s="7" t="s">
        <v>58</v>
      </c>
      <c r="B38" s="2" t="s">
        <v>582</v>
      </c>
      <c r="C38" s="2" t="s">
        <v>583</v>
      </c>
      <c r="D38" s="2" t="s">
        <v>584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585</v>
      </c>
      <c r="L38" s="2" t="s">
        <v>586</v>
      </c>
      <c r="M38" s="3" t="s">
        <v>147</v>
      </c>
      <c r="O38" s="3" t="s">
        <v>65</v>
      </c>
      <c r="P38" s="3" t="s">
        <v>587</v>
      </c>
      <c r="R38" s="3" t="s">
        <v>67</v>
      </c>
      <c r="S38" s="4">
        <v>3</v>
      </c>
      <c r="T38" s="4">
        <v>3</v>
      </c>
      <c r="U38" s="5" t="s">
        <v>588</v>
      </c>
      <c r="V38" s="5" t="s">
        <v>588</v>
      </c>
      <c r="W38" s="5" t="s">
        <v>589</v>
      </c>
      <c r="X38" s="5" t="s">
        <v>589</v>
      </c>
      <c r="Y38" s="4">
        <v>453</v>
      </c>
      <c r="Z38" s="4">
        <v>403</v>
      </c>
      <c r="AA38" s="4">
        <v>1047</v>
      </c>
      <c r="AB38" s="4">
        <v>4</v>
      </c>
      <c r="AC38" s="4">
        <v>9</v>
      </c>
      <c r="AD38" s="4">
        <v>12</v>
      </c>
      <c r="AE38" s="4">
        <v>35</v>
      </c>
      <c r="AF38" s="4">
        <v>3</v>
      </c>
      <c r="AG38" s="4">
        <v>12</v>
      </c>
      <c r="AH38" s="4">
        <v>3</v>
      </c>
      <c r="AI38" s="4">
        <v>8</v>
      </c>
      <c r="AJ38" s="4">
        <v>5</v>
      </c>
      <c r="AK38" s="4">
        <v>11</v>
      </c>
      <c r="AL38" s="4">
        <v>3</v>
      </c>
      <c r="AM38" s="4">
        <v>8</v>
      </c>
      <c r="AN38" s="4">
        <v>0</v>
      </c>
      <c r="AO38" s="4">
        <v>1</v>
      </c>
      <c r="AP38" s="3" t="s">
        <v>58</v>
      </c>
      <c r="AQ38" s="3" t="s">
        <v>87</v>
      </c>
      <c r="AR38" s="6" t="str">
        <f>HYPERLINK("http://catalog.hathitrust.org/Record/004729817","HathiTrust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HYPERLINK("https://creighton-primo.hosted.exlibrisgroup.com/primo-explore/search?tab=default_tab&amp;search_scope=EVERYTHING&amp;vid=01CRU&amp;lang=en_US&amp;offset=0&amp;query=any,contains,991004330369702656","Catalog Record")</f>
        <v>Catalog Record</v>
      </c>
      <c r="AT38" s="6" t="str">
        <f>HYPERLINK("http://www.worldcat.org/oclc/54365208","WorldCat Record")</f>
        <v>WorldCat Record</v>
      </c>
      <c r="AU38" s="3" t="s">
        <v>590</v>
      </c>
      <c r="AV38" s="3" t="s">
        <v>591</v>
      </c>
      <c r="AW38" s="3" t="s">
        <v>592</v>
      </c>
      <c r="AX38" s="3" t="s">
        <v>592</v>
      </c>
      <c r="AY38" s="3" t="s">
        <v>593</v>
      </c>
      <c r="AZ38" s="3" t="s">
        <v>74</v>
      </c>
      <c r="BB38" s="3" t="s">
        <v>594</v>
      </c>
      <c r="BC38" s="3" t="s">
        <v>595</v>
      </c>
      <c r="BD38" s="3" t="s">
        <v>596</v>
      </c>
    </row>
    <row r="39" spans="1:56" ht="45.75" customHeight="1" x14ac:dyDescent="0.25">
      <c r="A39" s="7" t="s">
        <v>58</v>
      </c>
      <c r="B39" s="2" t="s">
        <v>597</v>
      </c>
      <c r="C39" s="2" t="s">
        <v>598</v>
      </c>
      <c r="D39" s="2" t="s">
        <v>599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600</v>
      </c>
      <c r="L39" s="2" t="s">
        <v>601</v>
      </c>
      <c r="M39" s="3" t="s">
        <v>131</v>
      </c>
      <c r="O39" s="3" t="s">
        <v>65</v>
      </c>
      <c r="P39" s="3" t="s">
        <v>84</v>
      </c>
      <c r="R39" s="3" t="s">
        <v>67</v>
      </c>
      <c r="S39" s="4">
        <v>1</v>
      </c>
      <c r="T39" s="4">
        <v>1</v>
      </c>
      <c r="U39" s="5" t="s">
        <v>602</v>
      </c>
      <c r="V39" s="5" t="s">
        <v>602</v>
      </c>
      <c r="W39" s="5" t="s">
        <v>602</v>
      </c>
      <c r="X39" s="5" t="s">
        <v>602</v>
      </c>
      <c r="Y39" s="4">
        <v>687</v>
      </c>
      <c r="Z39" s="4">
        <v>650</v>
      </c>
      <c r="AA39" s="4">
        <v>661</v>
      </c>
      <c r="AB39" s="4">
        <v>5</v>
      </c>
      <c r="AC39" s="4">
        <v>5</v>
      </c>
      <c r="AD39" s="4">
        <v>12</v>
      </c>
      <c r="AE39" s="4">
        <v>12</v>
      </c>
      <c r="AF39" s="4">
        <v>2</v>
      </c>
      <c r="AG39" s="4">
        <v>2</v>
      </c>
      <c r="AH39" s="4">
        <v>4</v>
      </c>
      <c r="AI39" s="4">
        <v>4</v>
      </c>
      <c r="AJ39" s="4">
        <v>5</v>
      </c>
      <c r="AK39" s="4">
        <v>5</v>
      </c>
      <c r="AL39" s="4">
        <v>3</v>
      </c>
      <c r="AM39" s="4">
        <v>3</v>
      </c>
      <c r="AN39" s="4">
        <v>0</v>
      </c>
      <c r="AO39" s="4">
        <v>0</v>
      </c>
      <c r="AP39" s="3" t="s">
        <v>58</v>
      </c>
      <c r="AQ39" s="3" t="s">
        <v>87</v>
      </c>
      <c r="AR39" s="6" t="str">
        <f>HYPERLINK("http://catalog.hathitrust.org/Record/005136000","HathiTrust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HYPERLINK("https://creighton-primo.hosted.exlibrisgroup.com/primo-explore/search?tab=default_tab&amp;search_scope=EVERYTHING&amp;vid=01CRU&amp;lang=en_US&amp;offset=0&amp;query=any,contains,991004800049702656","Catalog Record")</f>
        <v>Catalog Record</v>
      </c>
      <c r="AT39" s="6" t="str">
        <f>HYPERLINK("http://www.worldcat.org/oclc/61169844","WorldCat Record")</f>
        <v>WorldCat Record</v>
      </c>
      <c r="AU39" s="3" t="s">
        <v>603</v>
      </c>
      <c r="AV39" s="3" t="s">
        <v>604</v>
      </c>
      <c r="AW39" s="3" t="s">
        <v>605</v>
      </c>
      <c r="AX39" s="3" t="s">
        <v>605</v>
      </c>
      <c r="AY39" s="3" t="s">
        <v>606</v>
      </c>
      <c r="AZ39" s="3" t="s">
        <v>74</v>
      </c>
      <c r="BB39" s="3" t="s">
        <v>607</v>
      </c>
      <c r="BC39" s="3" t="s">
        <v>608</v>
      </c>
      <c r="BD39" s="3" t="s">
        <v>609</v>
      </c>
    </row>
    <row r="40" spans="1:56" ht="45.75" customHeight="1" x14ac:dyDescent="0.25">
      <c r="A40" s="7" t="s">
        <v>58</v>
      </c>
      <c r="B40" s="2" t="s">
        <v>610</v>
      </c>
      <c r="C40" s="2" t="s">
        <v>611</v>
      </c>
      <c r="D40" s="2" t="s">
        <v>612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613</v>
      </c>
      <c r="L40" s="2" t="s">
        <v>614</v>
      </c>
      <c r="M40" s="3" t="s">
        <v>63</v>
      </c>
      <c r="O40" s="3" t="s">
        <v>65</v>
      </c>
      <c r="P40" s="3" t="s">
        <v>132</v>
      </c>
      <c r="Q40" s="2" t="s">
        <v>615</v>
      </c>
      <c r="R40" s="3" t="s">
        <v>67</v>
      </c>
      <c r="S40" s="4">
        <v>1</v>
      </c>
      <c r="T40" s="4">
        <v>1</v>
      </c>
      <c r="U40" s="5" t="s">
        <v>616</v>
      </c>
      <c r="V40" s="5" t="s">
        <v>616</v>
      </c>
      <c r="W40" s="5" t="s">
        <v>616</v>
      </c>
      <c r="X40" s="5" t="s">
        <v>616</v>
      </c>
      <c r="Y40" s="4">
        <v>253</v>
      </c>
      <c r="Z40" s="4">
        <v>203</v>
      </c>
      <c r="AA40" s="4">
        <v>203</v>
      </c>
      <c r="AB40" s="4">
        <v>2</v>
      </c>
      <c r="AC40" s="4">
        <v>2</v>
      </c>
      <c r="AD40" s="4">
        <v>9</v>
      </c>
      <c r="AE40" s="4">
        <v>9</v>
      </c>
      <c r="AF40" s="4">
        <v>6</v>
      </c>
      <c r="AG40" s="4">
        <v>6</v>
      </c>
      <c r="AH40" s="4">
        <v>0</v>
      </c>
      <c r="AI40" s="4">
        <v>0</v>
      </c>
      <c r="AJ40" s="4">
        <v>3</v>
      </c>
      <c r="AK40" s="4">
        <v>3</v>
      </c>
      <c r="AL40" s="4">
        <v>1</v>
      </c>
      <c r="AM40" s="4">
        <v>1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HYPERLINK("https://creighton-primo.hosted.exlibrisgroup.com/primo-explore/search?tab=default_tab&amp;search_scope=EVERYTHING&amp;vid=01CRU&amp;lang=en_US&amp;offset=0&amp;query=any,contains,991004376859702656","Catalog Record")</f>
        <v>Catalog Record</v>
      </c>
      <c r="AT40" s="6" t="str">
        <f>HYPERLINK("http://www.worldcat.org/oclc/56356098","WorldCat Record")</f>
        <v>WorldCat Record</v>
      </c>
      <c r="AU40" s="3" t="s">
        <v>617</v>
      </c>
      <c r="AV40" s="3" t="s">
        <v>618</v>
      </c>
      <c r="AW40" s="3" t="s">
        <v>619</v>
      </c>
      <c r="AX40" s="3" t="s">
        <v>619</v>
      </c>
      <c r="AY40" s="3" t="s">
        <v>620</v>
      </c>
      <c r="AZ40" s="3" t="s">
        <v>74</v>
      </c>
      <c r="BB40" s="3" t="s">
        <v>621</v>
      </c>
      <c r="BC40" s="3" t="s">
        <v>622</v>
      </c>
      <c r="BD40" s="3" t="s">
        <v>623</v>
      </c>
    </row>
    <row r="41" spans="1:56" ht="45.75" customHeight="1" x14ac:dyDescent="0.25">
      <c r="A41" s="7" t="s">
        <v>58</v>
      </c>
      <c r="B41" s="2" t="s">
        <v>624</v>
      </c>
      <c r="C41" s="2" t="s">
        <v>625</v>
      </c>
      <c r="D41" s="2" t="s">
        <v>626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627</v>
      </c>
      <c r="L41" s="2" t="s">
        <v>628</v>
      </c>
      <c r="M41" s="3" t="s">
        <v>629</v>
      </c>
      <c r="O41" s="3" t="s">
        <v>65</v>
      </c>
      <c r="P41" s="3" t="s">
        <v>84</v>
      </c>
      <c r="R41" s="3" t="s">
        <v>67</v>
      </c>
      <c r="S41" s="4">
        <v>2</v>
      </c>
      <c r="T41" s="4">
        <v>2</v>
      </c>
      <c r="U41" s="5" t="s">
        <v>630</v>
      </c>
      <c r="V41" s="5" t="s">
        <v>630</v>
      </c>
      <c r="W41" s="5" t="s">
        <v>631</v>
      </c>
      <c r="X41" s="5" t="s">
        <v>631</v>
      </c>
      <c r="Y41" s="4">
        <v>336</v>
      </c>
      <c r="Z41" s="4">
        <v>316</v>
      </c>
      <c r="AA41" s="4">
        <v>323</v>
      </c>
      <c r="AB41" s="4">
        <v>3</v>
      </c>
      <c r="AC41" s="4">
        <v>3</v>
      </c>
      <c r="AD41" s="4">
        <v>17</v>
      </c>
      <c r="AE41" s="4">
        <v>17</v>
      </c>
      <c r="AF41" s="4">
        <v>5</v>
      </c>
      <c r="AG41" s="4">
        <v>5</v>
      </c>
      <c r="AH41" s="4">
        <v>7</v>
      </c>
      <c r="AI41" s="4">
        <v>7</v>
      </c>
      <c r="AJ41" s="4">
        <v>8</v>
      </c>
      <c r="AK41" s="4">
        <v>8</v>
      </c>
      <c r="AL41" s="4">
        <v>2</v>
      </c>
      <c r="AM41" s="4">
        <v>2</v>
      </c>
      <c r="AN41" s="4">
        <v>0</v>
      </c>
      <c r="AO41" s="4">
        <v>0</v>
      </c>
      <c r="AP41" s="3" t="s">
        <v>58</v>
      </c>
      <c r="AQ41" s="3" t="s">
        <v>87</v>
      </c>
      <c r="AR41" s="6" t="str">
        <f>HYPERLINK("http://catalog.hathitrust.org/Record/002862076","HathiTrust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HYPERLINK("https://creighton-primo.hosted.exlibrisgroup.com/primo-explore/search?tab=default_tab&amp;search_scope=EVERYTHING&amp;vid=01CRU&amp;lang=en_US&amp;offset=0&amp;query=any,contains,991002274359702656","Catalog Record")</f>
        <v>Catalog Record</v>
      </c>
      <c r="AT41" s="6" t="str">
        <f>HYPERLINK("http://www.worldcat.org/oclc/29518865","WorldCat Record")</f>
        <v>WorldCat Record</v>
      </c>
      <c r="AU41" s="3" t="s">
        <v>632</v>
      </c>
      <c r="AV41" s="3" t="s">
        <v>633</v>
      </c>
      <c r="AW41" s="3" t="s">
        <v>634</v>
      </c>
      <c r="AX41" s="3" t="s">
        <v>634</v>
      </c>
      <c r="AY41" s="3" t="s">
        <v>635</v>
      </c>
      <c r="AZ41" s="3" t="s">
        <v>74</v>
      </c>
      <c r="BB41" s="3" t="s">
        <v>636</v>
      </c>
      <c r="BC41" s="3" t="s">
        <v>637</v>
      </c>
      <c r="BD41" s="3" t="s">
        <v>638</v>
      </c>
    </row>
    <row r="42" spans="1:56" ht="45.75" customHeight="1" x14ac:dyDescent="0.25">
      <c r="A42" s="7" t="s">
        <v>58</v>
      </c>
      <c r="B42" s="2" t="s">
        <v>639</v>
      </c>
      <c r="C42" s="2" t="s">
        <v>640</v>
      </c>
      <c r="D42" s="2" t="s">
        <v>641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L42" s="2" t="s">
        <v>642</v>
      </c>
      <c r="M42" s="3" t="s">
        <v>629</v>
      </c>
      <c r="O42" s="3" t="s">
        <v>65</v>
      </c>
      <c r="P42" s="3" t="s">
        <v>84</v>
      </c>
      <c r="Q42" s="2" t="s">
        <v>643</v>
      </c>
      <c r="R42" s="3" t="s">
        <v>67</v>
      </c>
      <c r="S42" s="4">
        <v>2</v>
      </c>
      <c r="T42" s="4">
        <v>2</v>
      </c>
      <c r="U42" s="5" t="s">
        <v>644</v>
      </c>
      <c r="V42" s="5" t="s">
        <v>644</v>
      </c>
      <c r="W42" s="5" t="s">
        <v>645</v>
      </c>
      <c r="X42" s="5" t="s">
        <v>645</v>
      </c>
      <c r="Y42" s="4">
        <v>368</v>
      </c>
      <c r="Z42" s="4">
        <v>292</v>
      </c>
      <c r="AA42" s="4">
        <v>705</v>
      </c>
      <c r="AB42" s="4">
        <v>4</v>
      </c>
      <c r="AC42" s="4">
        <v>30</v>
      </c>
      <c r="AD42" s="4">
        <v>20</v>
      </c>
      <c r="AE42" s="4">
        <v>39</v>
      </c>
      <c r="AF42" s="4">
        <v>6</v>
      </c>
      <c r="AG42" s="4">
        <v>10</v>
      </c>
      <c r="AH42" s="4">
        <v>5</v>
      </c>
      <c r="AI42" s="4">
        <v>7</v>
      </c>
      <c r="AJ42" s="4">
        <v>11</v>
      </c>
      <c r="AK42" s="4">
        <v>14</v>
      </c>
      <c r="AL42" s="4">
        <v>3</v>
      </c>
      <c r="AM42" s="4">
        <v>15</v>
      </c>
      <c r="AN42" s="4">
        <v>0</v>
      </c>
      <c r="AO42" s="4">
        <v>0</v>
      </c>
      <c r="AP42" s="3" t="s">
        <v>58</v>
      </c>
      <c r="AQ42" s="3" t="s">
        <v>87</v>
      </c>
      <c r="AR42" s="6" t="str">
        <f>HYPERLINK("http://catalog.hathitrust.org/Record/002905367","HathiTrust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HYPERLINK("https://creighton-primo.hosted.exlibrisgroup.com/primo-explore/search?tab=default_tab&amp;search_scope=EVERYTHING&amp;vid=01CRU&amp;lang=en_US&amp;offset=0&amp;query=any,contains,991002264529702656","Catalog Record")</f>
        <v>Catalog Record</v>
      </c>
      <c r="AT42" s="6" t="str">
        <f>HYPERLINK("http://www.worldcat.org/oclc/29361270","WorldCat Record")</f>
        <v>WorldCat Record</v>
      </c>
      <c r="AU42" s="3" t="s">
        <v>646</v>
      </c>
      <c r="AV42" s="3" t="s">
        <v>647</v>
      </c>
      <c r="AW42" s="3" t="s">
        <v>648</v>
      </c>
      <c r="AX42" s="3" t="s">
        <v>648</v>
      </c>
      <c r="AY42" s="3" t="s">
        <v>649</v>
      </c>
      <c r="AZ42" s="3" t="s">
        <v>74</v>
      </c>
      <c r="BB42" s="3" t="s">
        <v>650</v>
      </c>
      <c r="BC42" s="3" t="s">
        <v>651</v>
      </c>
      <c r="BD42" s="3" t="s">
        <v>652</v>
      </c>
    </row>
    <row r="43" spans="1:56" ht="45.75" customHeight="1" x14ac:dyDescent="0.25">
      <c r="A43" s="7" t="s">
        <v>58</v>
      </c>
      <c r="B43" s="2" t="s">
        <v>653</v>
      </c>
      <c r="C43" s="2" t="s">
        <v>654</v>
      </c>
      <c r="D43" s="2" t="s">
        <v>655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L43" s="2" t="s">
        <v>656</v>
      </c>
      <c r="M43" s="3" t="s">
        <v>220</v>
      </c>
      <c r="O43" s="3" t="s">
        <v>65</v>
      </c>
      <c r="P43" s="3" t="s">
        <v>84</v>
      </c>
      <c r="Q43" s="2" t="s">
        <v>657</v>
      </c>
      <c r="R43" s="3" t="s">
        <v>67</v>
      </c>
      <c r="S43" s="4">
        <v>2</v>
      </c>
      <c r="T43" s="4">
        <v>2</v>
      </c>
      <c r="U43" s="5" t="s">
        <v>658</v>
      </c>
      <c r="V43" s="5" t="s">
        <v>658</v>
      </c>
      <c r="W43" s="5" t="s">
        <v>659</v>
      </c>
      <c r="X43" s="5" t="s">
        <v>659</v>
      </c>
      <c r="Y43" s="4">
        <v>420</v>
      </c>
      <c r="Z43" s="4">
        <v>375</v>
      </c>
      <c r="AA43" s="4">
        <v>380</v>
      </c>
      <c r="AB43" s="4">
        <v>2</v>
      </c>
      <c r="AC43" s="4">
        <v>2</v>
      </c>
      <c r="AD43" s="4">
        <v>22</v>
      </c>
      <c r="AE43" s="4">
        <v>22</v>
      </c>
      <c r="AF43" s="4">
        <v>9</v>
      </c>
      <c r="AG43" s="4">
        <v>9</v>
      </c>
      <c r="AH43" s="4">
        <v>5</v>
      </c>
      <c r="AI43" s="4">
        <v>5</v>
      </c>
      <c r="AJ43" s="4">
        <v>9</v>
      </c>
      <c r="AK43" s="4">
        <v>9</v>
      </c>
      <c r="AL43" s="4">
        <v>1</v>
      </c>
      <c r="AM43" s="4">
        <v>1</v>
      </c>
      <c r="AN43" s="4">
        <v>2</v>
      </c>
      <c r="AO43" s="4">
        <v>2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HYPERLINK("https://creighton-primo.hosted.exlibrisgroup.com/primo-explore/search?tab=default_tab&amp;search_scope=EVERYTHING&amp;vid=01CRU&amp;lang=en_US&amp;offset=0&amp;query=any,contains,991003313769702656","Catalog Record")</f>
        <v>Catalog Record</v>
      </c>
      <c r="AT43" s="6" t="str">
        <f>HYPERLINK("http://www.worldcat.org/oclc/40354840","WorldCat Record")</f>
        <v>WorldCat Record</v>
      </c>
      <c r="AU43" s="3" t="s">
        <v>660</v>
      </c>
      <c r="AV43" s="3" t="s">
        <v>661</v>
      </c>
      <c r="AW43" s="3" t="s">
        <v>662</v>
      </c>
      <c r="AX43" s="3" t="s">
        <v>662</v>
      </c>
      <c r="AY43" s="3" t="s">
        <v>663</v>
      </c>
      <c r="AZ43" s="3" t="s">
        <v>74</v>
      </c>
      <c r="BB43" s="3" t="s">
        <v>664</v>
      </c>
      <c r="BC43" s="3" t="s">
        <v>665</v>
      </c>
      <c r="BD43" s="3" t="s">
        <v>666</v>
      </c>
    </row>
    <row r="44" spans="1:56" ht="45.75" customHeight="1" x14ac:dyDescent="0.25">
      <c r="A44" s="7" t="s">
        <v>58</v>
      </c>
      <c r="B44" s="2" t="s">
        <v>667</v>
      </c>
      <c r="C44" s="2" t="s">
        <v>668</v>
      </c>
      <c r="D44" s="2" t="s">
        <v>669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L44" s="2" t="s">
        <v>670</v>
      </c>
      <c r="M44" s="3" t="s">
        <v>220</v>
      </c>
      <c r="O44" s="3" t="s">
        <v>65</v>
      </c>
      <c r="P44" s="3" t="s">
        <v>84</v>
      </c>
      <c r="R44" s="3" t="s">
        <v>67</v>
      </c>
      <c r="S44" s="4">
        <v>9</v>
      </c>
      <c r="T44" s="4">
        <v>9</v>
      </c>
      <c r="U44" s="5" t="s">
        <v>671</v>
      </c>
      <c r="V44" s="5" t="s">
        <v>671</v>
      </c>
      <c r="W44" s="5" t="s">
        <v>672</v>
      </c>
      <c r="X44" s="5" t="s">
        <v>672</v>
      </c>
      <c r="Y44" s="4">
        <v>578</v>
      </c>
      <c r="Z44" s="4">
        <v>517</v>
      </c>
      <c r="AA44" s="4">
        <v>708</v>
      </c>
      <c r="AB44" s="4">
        <v>2</v>
      </c>
      <c r="AC44" s="4">
        <v>2</v>
      </c>
      <c r="AD44" s="4">
        <v>27</v>
      </c>
      <c r="AE44" s="4">
        <v>36</v>
      </c>
      <c r="AF44" s="4">
        <v>10</v>
      </c>
      <c r="AG44" s="4">
        <v>16</v>
      </c>
      <c r="AH44" s="4">
        <v>5</v>
      </c>
      <c r="AI44" s="4">
        <v>9</v>
      </c>
      <c r="AJ44" s="4">
        <v>15</v>
      </c>
      <c r="AK44" s="4">
        <v>18</v>
      </c>
      <c r="AL44" s="4">
        <v>1</v>
      </c>
      <c r="AM44" s="4">
        <v>1</v>
      </c>
      <c r="AN44" s="4">
        <v>2</v>
      </c>
      <c r="AO44" s="4">
        <v>2</v>
      </c>
      <c r="AP44" s="3" t="s">
        <v>58</v>
      </c>
      <c r="AQ44" s="3" t="s">
        <v>58</v>
      </c>
      <c r="AS44" s="6" t="str">
        <f>HYPERLINK("https://creighton-primo.hosted.exlibrisgroup.com/primo-explore/search?tab=default_tab&amp;search_scope=EVERYTHING&amp;vid=01CRU&amp;lang=en_US&amp;offset=0&amp;query=any,contains,991003307159702656","Catalog Record")</f>
        <v>Catalog Record</v>
      </c>
      <c r="AT44" s="6" t="str">
        <f>HYPERLINK("http://www.worldcat.org/oclc/41612512","WorldCat Record")</f>
        <v>WorldCat Record</v>
      </c>
      <c r="AU44" s="3" t="s">
        <v>673</v>
      </c>
      <c r="AV44" s="3" t="s">
        <v>674</v>
      </c>
      <c r="AW44" s="3" t="s">
        <v>675</v>
      </c>
      <c r="AX44" s="3" t="s">
        <v>675</v>
      </c>
      <c r="AY44" s="3" t="s">
        <v>676</v>
      </c>
      <c r="AZ44" s="3" t="s">
        <v>74</v>
      </c>
      <c r="BB44" s="3" t="s">
        <v>677</v>
      </c>
      <c r="BC44" s="3" t="s">
        <v>678</v>
      </c>
      <c r="BD44" s="3" t="s">
        <v>679</v>
      </c>
    </row>
    <row r="45" spans="1:56" ht="45.75" customHeight="1" x14ac:dyDescent="0.25">
      <c r="A45" s="7" t="s">
        <v>58</v>
      </c>
      <c r="B45" s="2" t="s">
        <v>680</v>
      </c>
      <c r="C45" s="2" t="s">
        <v>681</v>
      </c>
      <c r="D45" s="2" t="s">
        <v>682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683</v>
      </c>
      <c r="L45" s="2" t="s">
        <v>684</v>
      </c>
      <c r="M45" s="3" t="s">
        <v>528</v>
      </c>
      <c r="N45" s="2" t="s">
        <v>685</v>
      </c>
      <c r="O45" s="3" t="s">
        <v>65</v>
      </c>
      <c r="P45" s="3" t="s">
        <v>84</v>
      </c>
      <c r="R45" s="3" t="s">
        <v>67</v>
      </c>
      <c r="S45" s="4">
        <v>14</v>
      </c>
      <c r="T45" s="4">
        <v>14</v>
      </c>
      <c r="U45" s="5" t="s">
        <v>686</v>
      </c>
      <c r="V45" s="5" t="s">
        <v>686</v>
      </c>
      <c r="W45" s="5" t="s">
        <v>687</v>
      </c>
      <c r="X45" s="5" t="s">
        <v>687</v>
      </c>
      <c r="Y45" s="4">
        <v>580</v>
      </c>
      <c r="Z45" s="4">
        <v>519</v>
      </c>
      <c r="AA45" s="4">
        <v>967</v>
      </c>
      <c r="AB45" s="4">
        <v>4</v>
      </c>
      <c r="AC45" s="4">
        <v>9</v>
      </c>
      <c r="AD45" s="4">
        <v>24</v>
      </c>
      <c r="AE45" s="4">
        <v>47</v>
      </c>
      <c r="AF45" s="4">
        <v>9</v>
      </c>
      <c r="AG45" s="4">
        <v>18</v>
      </c>
      <c r="AH45" s="4">
        <v>5</v>
      </c>
      <c r="AI45" s="4">
        <v>8</v>
      </c>
      <c r="AJ45" s="4">
        <v>8</v>
      </c>
      <c r="AK45" s="4">
        <v>18</v>
      </c>
      <c r="AL45" s="4">
        <v>3</v>
      </c>
      <c r="AM45" s="4">
        <v>7</v>
      </c>
      <c r="AN45" s="4">
        <v>3</v>
      </c>
      <c r="AO45" s="4">
        <v>5</v>
      </c>
      <c r="AP45" s="3" t="s">
        <v>58</v>
      </c>
      <c r="AQ45" s="3" t="s">
        <v>87</v>
      </c>
      <c r="AR45" s="6" t="str">
        <f>HYPERLINK("http://catalog.hathitrust.org/Record/002164509","HathiTrust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HYPERLINK("https://creighton-primo.hosted.exlibrisgroup.com/primo-explore/search?tab=default_tab&amp;search_scope=EVERYTHING&amp;vid=01CRU&amp;lang=en_US&amp;offset=0&amp;query=any,contains,991001596769702656","Catalog Record")</f>
        <v>Catalog Record</v>
      </c>
      <c r="AT45" s="6" t="str">
        <f>HYPERLINK("http://www.worldcat.org/oclc/20629283","WorldCat Record")</f>
        <v>WorldCat Record</v>
      </c>
      <c r="AU45" s="3" t="s">
        <v>688</v>
      </c>
      <c r="AV45" s="3" t="s">
        <v>689</v>
      </c>
      <c r="AW45" s="3" t="s">
        <v>690</v>
      </c>
      <c r="AX45" s="3" t="s">
        <v>690</v>
      </c>
      <c r="AY45" s="3" t="s">
        <v>691</v>
      </c>
      <c r="AZ45" s="3" t="s">
        <v>74</v>
      </c>
      <c r="BB45" s="3" t="s">
        <v>692</v>
      </c>
      <c r="BC45" s="3" t="s">
        <v>693</v>
      </c>
      <c r="BD45" s="3" t="s">
        <v>694</v>
      </c>
    </row>
    <row r="46" spans="1:56" ht="45.75" customHeight="1" x14ac:dyDescent="0.25">
      <c r="A46" s="7" t="s">
        <v>58</v>
      </c>
      <c r="B46" s="2" t="s">
        <v>695</v>
      </c>
      <c r="C46" s="2" t="s">
        <v>696</v>
      </c>
      <c r="D46" s="2" t="s">
        <v>697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683</v>
      </c>
      <c r="L46" s="2" t="s">
        <v>698</v>
      </c>
      <c r="M46" s="3" t="s">
        <v>263</v>
      </c>
      <c r="N46" s="2" t="s">
        <v>390</v>
      </c>
      <c r="O46" s="3" t="s">
        <v>65</v>
      </c>
      <c r="P46" s="3" t="s">
        <v>84</v>
      </c>
      <c r="R46" s="3" t="s">
        <v>67</v>
      </c>
      <c r="S46" s="4">
        <v>4</v>
      </c>
      <c r="T46" s="4">
        <v>4</v>
      </c>
      <c r="U46" s="5" t="s">
        <v>699</v>
      </c>
      <c r="V46" s="5" t="s">
        <v>699</v>
      </c>
      <c r="W46" s="5" t="s">
        <v>700</v>
      </c>
      <c r="X46" s="5" t="s">
        <v>700</v>
      </c>
      <c r="Y46" s="4">
        <v>463</v>
      </c>
      <c r="Z46" s="4">
        <v>414</v>
      </c>
      <c r="AA46" s="4">
        <v>436</v>
      </c>
      <c r="AB46" s="4">
        <v>5</v>
      </c>
      <c r="AC46" s="4">
        <v>5</v>
      </c>
      <c r="AD46" s="4">
        <v>23</v>
      </c>
      <c r="AE46" s="4">
        <v>23</v>
      </c>
      <c r="AF46" s="4">
        <v>10</v>
      </c>
      <c r="AG46" s="4">
        <v>10</v>
      </c>
      <c r="AH46" s="4">
        <v>4</v>
      </c>
      <c r="AI46" s="4">
        <v>4</v>
      </c>
      <c r="AJ46" s="4">
        <v>12</v>
      </c>
      <c r="AK46" s="4">
        <v>12</v>
      </c>
      <c r="AL46" s="4">
        <v>4</v>
      </c>
      <c r="AM46" s="4">
        <v>4</v>
      </c>
      <c r="AN46" s="4">
        <v>0</v>
      </c>
      <c r="AO46" s="4">
        <v>0</v>
      </c>
      <c r="AP46" s="3" t="s">
        <v>58</v>
      </c>
      <c r="AQ46" s="3" t="s">
        <v>58</v>
      </c>
      <c r="AS46" s="6" t="str">
        <f>HYPERLINK("https://creighton-primo.hosted.exlibrisgroup.com/primo-explore/search?tab=default_tab&amp;search_scope=EVERYTHING&amp;vid=01CRU&amp;lang=en_US&amp;offset=0&amp;query=any,contains,991003474079702656","Catalog Record")</f>
        <v>Catalog Record</v>
      </c>
      <c r="AT46" s="6" t="str">
        <f>HYPERLINK("http://www.worldcat.org/oclc/33162270","WorldCat Record")</f>
        <v>WorldCat Record</v>
      </c>
      <c r="AU46" s="3" t="s">
        <v>701</v>
      </c>
      <c r="AV46" s="3" t="s">
        <v>702</v>
      </c>
      <c r="AW46" s="3" t="s">
        <v>703</v>
      </c>
      <c r="AX46" s="3" t="s">
        <v>703</v>
      </c>
      <c r="AY46" s="3" t="s">
        <v>704</v>
      </c>
      <c r="AZ46" s="3" t="s">
        <v>74</v>
      </c>
      <c r="BB46" s="3" t="s">
        <v>705</v>
      </c>
      <c r="BC46" s="3" t="s">
        <v>706</v>
      </c>
      <c r="BD46" s="3" t="s">
        <v>707</v>
      </c>
    </row>
    <row r="47" spans="1:56" ht="45.75" customHeight="1" x14ac:dyDescent="0.25">
      <c r="A47" s="7" t="s">
        <v>58</v>
      </c>
      <c r="B47" s="2" t="s">
        <v>708</v>
      </c>
      <c r="C47" s="2" t="s">
        <v>709</v>
      </c>
      <c r="D47" s="2" t="s">
        <v>710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711</v>
      </c>
      <c r="L47" s="2" t="s">
        <v>712</v>
      </c>
      <c r="M47" s="3" t="s">
        <v>713</v>
      </c>
      <c r="O47" s="3" t="s">
        <v>65</v>
      </c>
      <c r="P47" s="3" t="s">
        <v>84</v>
      </c>
      <c r="R47" s="3" t="s">
        <v>67</v>
      </c>
      <c r="S47" s="4">
        <v>3</v>
      </c>
      <c r="T47" s="4">
        <v>3</v>
      </c>
      <c r="U47" s="5" t="s">
        <v>714</v>
      </c>
      <c r="V47" s="5" t="s">
        <v>714</v>
      </c>
      <c r="W47" s="5" t="s">
        <v>715</v>
      </c>
      <c r="X47" s="5" t="s">
        <v>715</v>
      </c>
      <c r="Y47" s="4">
        <v>898</v>
      </c>
      <c r="Z47" s="4">
        <v>844</v>
      </c>
      <c r="AA47" s="4">
        <v>860</v>
      </c>
      <c r="AB47" s="4">
        <v>5</v>
      </c>
      <c r="AC47" s="4">
        <v>5</v>
      </c>
      <c r="AD47" s="4">
        <v>33</v>
      </c>
      <c r="AE47" s="4">
        <v>34</v>
      </c>
      <c r="AF47" s="4">
        <v>14</v>
      </c>
      <c r="AG47" s="4">
        <v>14</v>
      </c>
      <c r="AH47" s="4">
        <v>8</v>
      </c>
      <c r="AI47" s="4">
        <v>9</v>
      </c>
      <c r="AJ47" s="4">
        <v>14</v>
      </c>
      <c r="AK47" s="4">
        <v>15</v>
      </c>
      <c r="AL47" s="4">
        <v>4</v>
      </c>
      <c r="AM47" s="4">
        <v>4</v>
      </c>
      <c r="AN47" s="4">
        <v>1</v>
      </c>
      <c r="AO47" s="4">
        <v>1</v>
      </c>
      <c r="AP47" s="3" t="s">
        <v>58</v>
      </c>
      <c r="AQ47" s="3" t="s">
        <v>87</v>
      </c>
      <c r="AR47" s="6" t="str">
        <f>HYPERLINK("http://catalog.hathitrust.org/Record/000305478","HathiTrust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HYPERLINK("https://creighton-primo.hosted.exlibrisgroup.com/primo-explore/search?tab=default_tab&amp;search_scope=EVERYTHING&amp;vid=01CRU&amp;lang=en_US&amp;offset=0&amp;query=any,contains,991005087899702656","Catalog Record")</f>
        <v>Catalog Record</v>
      </c>
      <c r="AT47" s="6" t="str">
        <f>HYPERLINK("http://www.worldcat.org/oclc/7197693","WorldCat Record")</f>
        <v>WorldCat Record</v>
      </c>
      <c r="AU47" s="3" t="s">
        <v>716</v>
      </c>
      <c r="AV47" s="3" t="s">
        <v>717</v>
      </c>
      <c r="AW47" s="3" t="s">
        <v>718</v>
      </c>
      <c r="AX47" s="3" t="s">
        <v>718</v>
      </c>
      <c r="AY47" s="3" t="s">
        <v>719</v>
      </c>
      <c r="AZ47" s="3" t="s">
        <v>74</v>
      </c>
      <c r="BB47" s="3" t="s">
        <v>720</v>
      </c>
      <c r="BC47" s="3" t="s">
        <v>721</v>
      </c>
      <c r="BD47" s="3" t="s">
        <v>722</v>
      </c>
    </row>
    <row r="48" spans="1:56" ht="45.75" customHeight="1" x14ac:dyDescent="0.25">
      <c r="A48" s="7" t="s">
        <v>58</v>
      </c>
      <c r="B48" s="2" t="s">
        <v>723</v>
      </c>
      <c r="C48" s="2" t="s">
        <v>724</v>
      </c>
      <c r="D48" s="2" t="s">
        <v>725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726</v>
      </c>
      <c r="L48" s="2" t="s">
        <v>727</v>
      </c>
      <c r="M48" s="3" t="s">
        <v>63</v>
      </c>
      <c r="O48" s="3" t="s">
        <v>65</v>
      </c>
      <c r="P48" s="3" t="s">
        <v>84</v>
      </c>
      <c r="R48" s="3" t="s">
        <v>67</v>
      </c>
      <c r="S48" s="4">
        <v>2</v>
      </c>
      <c r="T48" s="4">
        <v>2</v>
      </c>
      <c r="U48" s="5" t="s">
        <v>728</v>
      </c>
      <c r="V48" s="5" t="s">
        <v>728</v>
      </c>
      <c r="W48" s="5" t="s">
        <v>729</v>
      </c>
      <c r="X48" s="5" t="s">
        <v>729</v>
      </c>
      <c r="Y48" s="4">
        <v>124</v>
      </c>
      <c r="Z48" s="4">
        <v>90</v>
      </c>
      <c r="AA48" s="4">
        <v>115</v>
      </c>
      <c r="AB48" s="4">
        <v>1</v>
      </c>
      <c r="AC48" s="4">
        <v>1</v>
      </c>
      <c r="AD48" s="4">
        <v>2</v>
      </c>
      <c r="AE48" s="4">
        <v>2</v>
      </c>
      <c r="AF48" s="4">
        <v>0</v>
      </c>
      <c r="AG48" s="4">
        <v>0</v>
      </c>
      <c r="AH48" s="4">
        <v>2</v>
      </c>
      <c r="AI48" s="4">
        <v>2</v>
      </c>
      <c r="AJ48" s="4">
        <v>2</v>
      </c>
      <c r="AK48" s="4">
        <v>2</v>
      </c>
      <c r="AL48" s="4">
        <v>0</v>
      </c>
      <c r="AM48" s="4">
        <v>0</v>
      </c>
      <c r="AN48" s="4">
        <v>0</v>
      </c>
      <c r="AO48" s="4">
        <v>0</v>
      </c>
      <c r="AP48" s="3" t="s">
        <v>58</v>
      </c>
      <c r="AQ48" s="3" t="s">
        <v>87</v>
      </c>
      <c r="AR48" s="6" t="str">
        <f>HYPERLINK("http://catalog.hathitrust.org/Record/005405299","HathiTrust Record")</f>
        <v>HathiTrust Record</v>
      </c>
      <c r="AS48" s="6" t="str">
        <f>HYPERLINK("https://creighton-primo.hosted.exlibrisgroup.com/primo-explore/search?tab=default_tab&amp;search_scope=EVERYTHING&amp;vid=01CRU&amp;lang=en_US&amp;offset=0&amp;query=any,contains,991004902969702656","Catalog Record")</f>
        <v>Catalog Record</v>
      </c>
      <c r="AT48" s="6" t="str">
        <f>HYPERLINK("http://www.worldcat.org/oclc/62302205","WorldCat Record")</f>
        <v>WorldCat Record</v>
      </c>
      <c r="AU48" s="3" t="s">
        <v>730</v>
      </c>
      <c r="AV48" s="3" t="s">
        <v>731</v>
      </c>
      <c r="AW48" s="3" t="s">
        <v>732</v>
      </c>
      <c r="AX48" s="3" t="s">
        <v>732</v>
      </c>
      <c r="AY48" s="3" t="s">
        <v>733</v>
      </c>
      <c r="AZ48" s="3" t="s">
        <v>74</v>
      </c>
      <c r="BB48" s="3" t="s">
        <v>734</v>
      </c>
      <c r="BC48" s="3" t="s">
        <v>735</v>
      </c>
      <c r="BD48" s="3" t="s">
        <v>736</v>
      </c>
    </row>
    <row r="49" spans="1:56" ht="45.75" customHeight="1" x14ac:dyDescent="0.25">
      <c r="A49" s="7" t="s">
        <v>58</v>
      </c>
      <c r="B49" s="2" t="s">
        <v>737</v>
      </c>
      <c r="C49" s="2" t="s">
        <v>738</v>
      </c>
      <c r="D49" s="2" t="s">
        <v>739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740</v>
      </c>
      <c r="L49" s="2" t="s">
        <v>741</v>
      </c>
      <c r="M49" s="3" t="s">
        <v>742</v>
      </c>
      <c r="O49" s="3" t="s">
        <v>65</v>
      </c>
      <c r="P49" s="3" t="s">
        <v>84</v>
      </c>
      <c r="Q49" s="2" t="s">
        <v>743</v>
      </c>
      <c r="R49" s="3" t="s">
        <v>67</v>
      </c>
      <c r="S49" s="4">
        <v>14</v>
      </c>
      <c r="T49" s="4">
        <v>14</v>
      </c>
      <c r="U49" s="5" t="s">
        <v>744</v>
      </c>
      <c r="V49" s="5" t="s">
        <v>744</v>
      </c>
      <c r="W49" s="5" t="s">
        <v>745</v>
      </c>
      <c r="X49" s="5" t="s">
        <v>745</v>
      </c>
      <c r="Y49" s="4">
        <v>760</v>
      </c>
      <c r="Z49" s="4">
        <v>682</v>
      </c>
      <c r="AA49" s="4">
        <v>687</v>
      </c>
      <c r="AB49" s="4">
        <v>6</v>
      </c>
      <c r="AC49" s="4">
        <v>6</v>
      </c>
      <c r="AD49" s="4">
        <v>33</v>
      </c>
      <c r="AE49" s="4">
        <v>33</v>
      </c>
      <c r="AF49" s="4">
        <v>12</v>
      </c>
      <c r="AG49" s="4">
        <v>12</v>
      </c>
      <c r="AH49" s="4">
        <v>8</v>
      </c>
      <c r="AI49" s="4">
        <v>8</v>
      </c>
      <c r="AJ49" s="4">
        <v>16</v>
      </c>
      <c r="AK49" s="4">
        <v>16</v>
      </c>
      <c r="AL49" s="4">
        <v>5</v>
      </c>
      <c r="AM49" s="4">
        <v>5</v>
      </c>
      <c r="AN49" s="4">
        <v>0</v>
      </c>
      <c r="AO49" s="4">
        <v>0</v>
      </c>
      <c r="AP49" s="3" t="s">
        <v>58</v>
      </c>
      <c r="AQ49" s="3" t="s">
        <v>58</v>
      </c>
      <c r="AS49" s="6" t="str">
        <f>HYPERLINK("https://creighton-primo.hosted.exlibrisgroup.com/primo-explore/search?tab=default_tab&amp;search_scope=EVERYTHING&amp;vid=01CRU&amp;lang=en_US&amp;offset=0&amp;query=any,contains,991001324289702656","Catalog Record")</f>
        <v>Catalog Record</v>
      </c>
      <c r="AT49" s="6" t="str">
        <f>HYPERLINK("http://www.worldcat.org/oclc/18258283","WorldCat Record")</f>
        <v>WorldCat Record</v>
      </c>
      <c r="AU49" s="3" t="s">
        <v>746</v>
      </c>
      <c r="AV49" s="3" t="s">
        <v>747</v>
      </c>
      <c r="AW49" s="3" t="s">
        <v>748</v>
      </c>
      <c r="AX49" s="3" t="s">
        <v>748</v>
      </c>
      <c r="AY49" s="3" t="s">
        <v>749</v>
      </c>
      <c r="AZ49" s="3" t="s">
        <v>74</v>
      </c>
      <c r="BB49" s="3" t="s">
        <v>750</v>
      </c>
      <c r="BC49" s="3" t="s">
        <v>751</v>
      </c>
      <c r="BD49" s="3" t="s">
        <v>752</v>
      </c>
    </row>
    <row r="50" spans="1:56" ht="45.75" customHeight="1" x14ac:dyDescent="0.25">
      <c r="A50" s="7" t="s">
        <v>58</v>
      </c>
      <c r="B50" s="2" t="s">
        <v>753</v>
      </c>
      <c r="C50" s="2" t="s">
        <v>754</v>
      </c>
      <c r="D50" s="2" t="s">
        <v>755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756</v>
      </c>
      <c r="L50" s="2" t="s">
        <v>757</v>
      </c>
      <c r="M50" s="3" t="s">
        <v>203</v>
      </c>
      <c r="O50" s="3" t="s">
        <v>65</v>
      </c>
      <c r="P50" s="3" t="s">
        <v>204</v>
      </c>
      <c r="R50" s="3" t="s">
        <v>67</v>
      </c>
      <c r="S50" s="4">
        <v>8</v>
      </c>
      <c r="T50" s="4">
        <v>8</v>
      </c>
      <c r="U50" s="5" t="s">
        <v>758</v>
      </c>
      <c r="V50" s="5" t="s">
        <v>758</v>
      </c>
      <c r="W50" s="5" t="s">
        <v>759</v>
      </c>
      <c r="X50" s="5" t="s">
        <v>759</v>
      </c>
      <c r="Y50" s="4">
        <v>540</v>
      </c>
      <c r="Z50" s="4">
        <v>496</v>
      </c>
      <c r="AA50" s="4">
        <v>928</v>
      </c>
      <c r="AB50" s="4">
        <v>3</v>
      </c>
      <c r="AC50" s="4">
        <v>6</v>
      </c>
      <c r="AD50" s="4">
        <v>19</v>
      </c>
      <c r="AE50" s="4">
        <v>40</v>
      </c>
      <c r="AF50" s="4">
        <v>6</v>
      </c>
      <c r="AG50" s="4">
        <v>16</v>
      </c>
      <c r="AH50" s="4">
        <v>7</v>
      </c>
      <c r="AI50" s="4">
        <v>10</v>
      </c>
      <c r="AJ50" s="4">
        <v>7</v>
      </c>
      <c r="AK50" s="4">
        <v>16</v>
      </c>
      <c r="AL50" s="4">
        <v>2</v>
      </c>
      <c r="AM50" s="4">
        <v>5</v>
      </c>
      <c r="AN50" s="4">
        <v>1</v>
      </c>
      <c r="AO50" s="4">
        <v>2</v>
      </c>
      <c r="AP50" s="3" t="s">
        <v>58</v>
      </c>
      <c r="AQ50" s="3" t="s">
        <v>58</v>
      </c>
      <c r="AS50" s="6" t="str">
        <f>HYPERLINK("https://creighton-primo.hosted.exlibrisgroup.com/primo-explore/search?tab=default_tab&amp;search_scope=EVERYTHING&amp;vid=01CRU&amp;lang=en_US&amp;offset=0&amp;query=any,contains,991003753979702656","Catalog Record")</f>
        <v>Catalog Record</v>
      </c>
      <c r="AT50" s="6" t="str">
        <f>HYPERLINK("http://www.worldcat.org/oclc/47074641","WorldCat Record")</f>
        <v>WorldCat Record</v>
      </c>
      <c r="AU50" s="3" t="s">
        <v>760</v>
      </c>
      <c r="AV50" s="3" t="s">
        <v>761</v>
      </c>
      <c r="AW50" s="3" t="s">
        <v>762</v>
      </c>
      <c r="AX50" s="3" t="s">
        <v>762</v>
      </c>
      <c r="AY50" s="3" t="s">
        <v>763</v>
      </c>
      <c r="AZ50" s="3" t="s">
        <v>74</v>
      </c>
      <c r="BB50" s="3" t="s">
        <v>764</v>
      </c>
      <c r="BC50" s="3" t="s">
        <v>765</v>
      </c>
      <c r="BD50" s="3" t="s">
        <v>766</v>
      </c>
    </row>
    <row r="51" spans="1:56" ht="45.75" customHeight="1" x14ac:dyDescent="0.25">
      <c r="A51" s="7" t="s">
        <v>58</v>
      </c>
      <c r="B51" s="2" t="s">
        <v>767</v>
      </c>
      <c r="C51" s="2" t="s">
        <v>768</v>
      </c>
      <c r="D51" s="2" t="s">
        <v>769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770</v>
      </c>
      <c r="L51" s="2" t="s">
        <v>771</v>
      </c>
      <c r="M51" s="3" t="s">
        <v>63</v>
      </c>
      <c r="O51" s="3" t="s">
        <v>65</v>
      </c>
      <c r="P51" s="3" t="s">
        <v>772</v>
      </c>
      <c r="R51" s="3" t="s">
        <v>67</v>
      </c>
      <c r="S51" s="4">
        <v>1</v>
      </c>
      <c r="T51" s="4">
        <v>1</v>
      </c>
      <c r="U51" s="5" t="s">
        <v>773</v>
      </c>
      <c r="V51" s="5" t="s">
        <v>773</v>
      </c>
      <c r="W51" s="5" t="s">
        <v>773</v>
      </c>
      <c r="X51" s="5" t="s">
        <v>773</v>
      </c>
      <c r="Y51" s="4">
        <v>162</v>
      </c>
      <c r="Z51" s="4">
        <v>130</v>
      </c>
      <c r="AA51" s="4">
        <v>133</v>
      </c>
      <c r="AB51" s="4">
        <v>2</v>
      </c>
      <c r="AC51" s="4">
        <v>2</v>
      </c>
      <c r="AD51" s="4">
        <v>6</v>
      </c>
      <c r="AE51" s="4">
        <v>6</v>
      </c>
      <c r="AF51" s="4">
        <v>2</v>
      </c>
      <c r="AG51" s="4">
        <v>2</v>
      </c>
      <c r="AH51" s="4">
        <v>1</v>
      </c>
      <c r="AI51" s="4">
        <v>1</v>
      </c>
      <c r="AJ51" s="4">
        <v>5</v>
      </c>
      <c r="AK51" s="4">
        <v>5</v>
      </c>
      <c r="AL51" s="4">
        <v>1</v>
      </c>
      <c r="AM51" s="4">
        <v>1</v>
      </c>
      <c r="AN51" s="4">
        <v>0</v>
      </c>
      <c r="AO51" s="4">
        <v>0</v>
      </c>
      <c r="AP51" s="3" t="s">
        <v>58</v>
      </c>
      <c r="AQ51" s="3" t="s">
        <v>87</v>
      </c>
      <c r="AR51" s="6" t="str">
        <f>HYPERLINK("http://catalog.hathitrust.org/Record/005699112","HathiTrust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HYPERLINK("https://creighton-primo.hosted.exlibrisgroup.com/primo-explore/search?tab=default_tab&amp;search_scope=EVERYTHING&amp;vid=01CRU&amp;lang=en_US&amp;offset=0&amp;query=any,contains,991005034349702656","Catalog Record")</f>
        <v>Catalog Record</v>
      </c>
      <c r="AT51" s="6" t="str">
        <f>HYPERLINK("http://www.worldcat.org/oclc/60503182","WorldCat Record")</f>
        <v>WorldCat Record</v>
      </c>
      <c r="AU51" s="3" t="s">
        <v>774</v>
      </c>
      <c r="AV51" s="3" t="s">
        <v>775</v>
      </c>
      <c r="AW51" s="3" t="s">
        <v>776</v>
      </c>
      <c r="AX51" s="3" t="s">
        <v>776</v>
      </c>
      <c r="AY51" s="3" t="s">
        <v>777</v>
      </c>
      <c r="AZ51" s="3" t="s">
        <v>74</v>
      </c>
      <c r="BB51" s="3" t="s">
        <v>778</v>
      </c>
      <c r="BC51" s="3" t="s">
        <v>779</v>
      </c>
      <c r="BD51" s="3" t="s">
        <v>780</v>
      </c>
    </row>
    <row r="52" spans="1:56" ht="45.75" customHeight="1" x14ac:dyDescent="0.25">
      <c r="A52" s="7" t="s">
        <v>58</v>
      </c>
      <c r="B52" s="2" t="s">
        <v>781</v>
      </c>
      <c r="C52" s="2" t="s">
        <v>782</v>
      </c>
      <c r="D52" s="2" t="s">
        <v>783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784</v>
      </c>
      <c r="L52" s="2" t="s">
        <v>785</v>
      </c>
      <c r="M52" s="3" t="s">
        <v>147</v>
      </c>
      <c r="N52" s="2" t="s">
        <v>786</v>
      </c>
      <c r="O52" s="3" t="s">
        <v>65</v>
      </c>
      <c r="P52" s="3" t="s">
        <v>175</v>
      </c>
      <c r="R52" s="3" t="s">
        <v>67</v>
      </c>
      <c r="S52" s="4">
        <v>1</v>
      </c>
      <c r="T52" s="4">
        <v>1</v>
      </c>
      <c r="U52" s="5" t="s">
        <v>787</v>
      </c>
      <c r="V52" s="5" t="s">
        <v>787</v>
      </c>
      <c r="W52" s="5" t="s">
        <v>787</v>
      </c>
      <c r="X52" s="5" t="s">
        <v>787</v>
      </c>
      <c r="Y52" s="4">
        <v>283</v>
      </c>
      <c r="Z52" s="4">
        <v>214</v>
      </c>
      <c r="AA52" s="4">
        <v>305</v>
      </c>
      <c r="AB52" s="4">
        <v>2</v>
      </c>
      <c r="AC52" s="4">
        <v>2</v>
      </c>
      <c r="AD52" s="4">
        <v>17</v>
      </c>
      <c r="AE52" s="4">
        <v>21</v>
      </c>
      <c r="AF52" s="4">
        <v>8</v>
      </c>
      <c r="AG52" s="4">
        <v>9</v>
      </c>
      <c r="AH52" s="4">
        <v>4</v>
      </c>
      <c r="AI52" s="4">
        <v>6</v>
      </c>
      <c r="AJ52" s="4">
        <v>12</v>
      </c>
      <c r="AK52" s="4">
        <v>14</v>
      </c>
      <c r="AL52" s="4">
        <v>0</v>
      </c>
      <c r="AM52" s="4">
        <v>0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HYPERLINK("https://creighton-primo.hosted.exlibrisgroup.com/primo-explore/search?tab=default_tab&amp;search_scope=EVERYTHING&amp;vid=01CRU&amp;lang=en_US&amp;offset=0&amp;query=any,contains,991004519579702656","Catalog Record")</f>
        <v>Catalog Record</v>
      </c>
      <c r="AT52" s="6" t="str">
        <f>HYPERLINK("http://www.worldcat.org/oclc/54349668","WorldCat Record")</f>
        <v>WorldCat Record</v>
      </c>
      <c r="AU52" s="3" t="s">
        <v>788</v>
      </c>
      <c r="AV52" s="3" t="s">
        <v>789</v>
      </c>
      <c r="AW52" s="3" t="s">
        <v>790</v>
      </c>
      <c r="AX52" s="3" t="s">
        <v>790</v>
      </c>
      <c r="AY52" s="3" t="s">
        <v>791</v>
      </c>
      <c r="AZ52" s="3" t="s">
        <v>74</v>
      </c>
      <c r="BB52" s="3" t="s">
        <v>792</v>
      </c>
      <c r="BC52" s="3" t="s">
        <v>793</v>
      </c>
      <c r="BD52" s="3" t="s">
        <v>794</v>
      </c>
    </row>
    <row r="53" spans="1:56" ht="45.75" customHeight="1" x14ac:dyDescent="0.25">
      <c r="A53" s="7" t="s">
        <v>58</v>
      </c>
      <c r="B53" s="2" t="s">
        <v>795</v>
      </c>
      <c r="C53" s="2" t="s">
        <v>796</v>
      </c>
      <c r="D53" s="2" t="s">
        <v>797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798</v>
      </c>
      <c r="L53" s="2" t="s">
        <v>799</v>
      </c>
      <c r="M53" s="3" t="s">
        <v>800</v>
      </c>
      <c r="O53" s="3" t="s">
        <v>65</v>
      </c>
      <c r="P53" s="3" t="s">
        <v>84</v>
      </c>
      <c r="R53" s="3" t="s">
        <v>67</v>
      </c>
      <c r="S53" s="4">
        <v>4</v>
      </c>
      <c r="T53" s="4">
        <v>4</v>
      </c>
      <c r="U53" s="5" t="s">
        <v>801</v>
      </c>
      <c r="V53" s="5" t="s">
        <v>801</v>
      </c>
      <c r="W53" s="5" t="s">
        <v>802</v>
      </c>
      <c r="X53" s="5" t="s">
        <v>802</v>
      </c>
      <c r="Y53" s="4">
        <v>496</v>
      </c>
      <c r="Z53" s="4">
        <v>448</v>
      </c>
      <c r="AA53" s="4">
        <v>451</v>
      </c>
      <c r="AB53" s="4">
        <v>4</v>
      </c>
      <c r="AC53" s="4">
        <v>4</v>
      </c>
      <c r="AD53" s="4">
        <v>28</v>
      </c>
      <c r="AE53" s="4">
        <v>28</v>
      </c>
      <c r="AF53" s="4">
        <v>10</v>
      </c>
      <c r="AG53" s="4">
        <v>10</v>
      </c>
      <c r="AH53" s="4">
        <v>8</v>
      </c>
      <c r="AI53" s="4">
        <v>8</v>
      </c>
      <c r="AJ53" s="4">
        <v>16</v>
      </c>
      <c r="AK53" s="4">
        <v>16</v>
      </c>
      <c r="AL53" s="4">
        <v>3</v>
      </c>
      <c r="AM53" s="4">
        <v>3</v>
      </c>
      <c r="AN53" s="4">
        <v>0</v>
      </c>
      <c r="AO53" s="4">
        <v>0</v>
      </c>
      <c r="AP53" s="3" t="s">
        <v>58</v>
      </c>
      <c r="AQ53" s="3" t="s">
        <v>58</v>
      </c>
      <c r="AS53" s="6" t="str">
        <f>HYPERLINK("https://creighton-primo.hosted.exlibrisgroup.com/primo-explore/search?tab=default_tab&amp;search_scope=EVERYTHING&amp;vid=01CRU&amp;lang=en_US&amp;offset=0&amp;query=any,contains,991001865619702656","Catalog Record")</f>
        <v>Catalog Record</v>
      </c>
      <c r="AT53" s="6" t="str">
        <f>HYPERLINK("http://www.worldcat.org/oclc/23462900","WorldCat Record")</f>
        <v>WorldCat Record</v>
      </c>
      <c r="AU53" s="3" t="s">
        <v>803</v>
      </c>
      <c r="AV53" s="3" t="s">
        <v>804</v>
      </c>
      <c r="AW53" s="3" t="s">
        <v>805</v>
      </c>
      <c r="AX53" s="3" t="s">
        <v>805</v>
      </c>
      <c r="AY53" s="3" t="s">
        <v>806</v>
      </c>
      <c r="AZ53" s="3" t="s">
        <v>74</v>
      </c>
      <c r="BB53" s="3" t="s">
        <v>807</v>
      </c>
      <c r="BC53" s="3" t="s">
        <v>808</v>
      </c>
      <c r="BD53" s="3" t="s">
        <v>809</v>
      </c>
    </row>
    <row r="54" spans="1:56" ht="45.75" customHeight="1" x14ac:dyDescent="0.25">
      <c r="A54" s="7" t="s">
        <v>58</v>
      </c>
      <c r="B54" s="2" t="s">
        <v>810</v>
      </c>
      <c r="C54" s="2" t="s">
        <v>811</v>
      </c>
      <c r="D54" s="2" t="s">
        <v>812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813</v>
      </c>
      <c r="L54" s="2" t="s">
        <v>814</v>
      </c>
      <c r="M54" s="3" t="s">
        <v>116</v>
      </c>
      <c r="O54" s="3" t="s">
        <v>65</v>
      </c>
      <c r="P54" s="3" t="s">
        <v>84</v>
      </c>
      <c r="Q54" s="2" t="s">
        <v>815</v>
      </c>
      <c r="R54" s="3" t="s">
        <v>67</v>
      </c>
      <c r="S54" s="4">
        <v>2</v>
      </c>
      <c r="T54" s="4">
        <v>2</v>
      </c>
      <c r="U54" s="5" t="s">
        <v>816</v>
      </c>
      <c r="V54" s="5" t="s">
        <v>816</v>
      </c>
      <c r="W54" s="5" t="s">
        <v>817</v>
      </c>
      <c r="X54" s="5" t="s">
        <v>817</v>
      </c>
      <c r="Y54" s="4">
        <v>362</v>
      </c>
      <c r="Z54" s="4">
        <v>310</v>
      </c>
      <c r="AA54" s="4">
        <v>315</v>
      </c>
      <c r="AB54" s="4">
        <v>3</v>
      </c>
      <c r="AC54" s="4">
        <v>3</v>
      </c>
      <c r="AD54" s="4">
        <v>17</v>
      </c>
      <c r="AE54" s="4">
        <v>17</v>
      </c>
      <c r="AF54" s="4">
        <v>7</v>
      </c>
      <c r="AG54" s="4">
        <v>7</v>
      </c>
      <c r="AH54" s="4">
        <v>4</v>
      </c>
      <c r="AI54" s="4">
        <v>4</v>
      </c>
      <c r="AJ54" s="4">
        <v>7</v>
      </c>
      <c r="AK54" s="4">
        <v>7</v>
      </c>
      <c r="AL54" s="4">
        <v>2</v>
      </c>
      <c r="AM54" s="4">
        <v>2</v>
      </c>
      <c r="AN54" s="4">
        <v>0</v>
      </c>
      <c r="AO54" s="4">
        <v>0</v>
      </c>
      <c r="AP54" s="3" t="s">
        <v>58</v>
      </c>
      <c r="AQ54" s="3" t="s">
        <v>58</v>
      </c>
      <c r="AS54" s="6" t="str">
        <f>HYPERLINK("https://creighton-primo.hosted.exlibrisgroup.com/primo-explore/search?tab=default_tab&amp;search_scope=EVERYTHING&amp;vid=01CRU&amp;lang=en_US&amp;offset=0&amp;query=any,contains,991003662089702656","Catalog Record")</f>
        <v>Catalog Record</v>
      </c>
      <c r="AT54" s="6" t="str">
        <f>HYPERLINK("http://www.worldcat.org/oclc/37640490","WorldCat Record")</f>
        <v>WorldCat Record</v>
      </c>
      <c r="AU54" s="3" t="s">
        <v>818</v>
      </c>
      <c r="AV54" s="3" t="s">
        <v>819</v>
      </c>
      <c r="AW54" s="3" t="s">
        <v>820</v>
      </c>
      <c r="AX54" s="3" t="s">
        <v>820</v>
      </c>
      <c r="AY54" s="3" t="s">
        <v>821</v>
      </c>
      <c r="AZ54" s="3" t="s">
        <v>74</v>
      </c>
      <c r="BB54" s="3" t="s">
        <v>822</v>
      </c>
      <c r="BC54" s="3" t="s">
        <v>823</v>
      </c>
      <c r="BD54" s="3" t="s">
        <v>824</v>
      </c>
    </row>
    <row r="55" spans="1:56" ht="45.75" customHeight="1" x14ac:dyDescent="0.25">
      <c r="A55" s="7" t="s">
        <v>58</v>
      </c>
      <c r="B55" s="2" t="s">
        <v>825</v>
      </c>
      <c r="C55" s="2" t="s">
        <v>826</v>
      </c>
      <c r="D55" s="2" t="s">
        <v>827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L55" s="2" t="s">
        <v>642</v>
      </c>
      <c r="M55" s="3" t="s">
        <v>629</v>
      </c>
      <c r="O55" s="3" t="s">
        <v>65</v>
      </c>
      <c r="P55" s="3" t="s">
        <v>84</v>
      </c>
      <c r="R55" s="3" t="s">
        <v>67</v>
      </c>
      <c r="S55" s="4">
        <v>1</v>
      </c>
      <c r="T55" s="4">
        <v>1</v>
      </c>
      <c r="U55" s="5" t="s">
        <v>828</v>
      </c>
      <c r="V55" s="5" t="s">
        <v>828</v>
      </c>
      <c r="W55" s="5" t="s">
        <v>829</v>
      </c>
      <c r="X55" s="5" t="s">
        <v>829</v>
      </c>
      <c r="Y55" s="4">
        <v>225</v>
      </c>
      <c r="Z55" s="4">
        <v>187</v>
      </c>
      <c r="AA55" s="4">
        <v>205</v>
      </c>
      <c r="AB55" s="4">
        <v>2</v>
      </c>
      <c r="AC55" s="4">
        <v>2</v>
      </c>
      <c r="AD55" s="4">
        <v>5</v>
      </c>
      <c r="AE55" s="4">
        <v>7</v>
      </c>
      <c r="AF55" s="4">
        <v>2</v>
      </c>
      <c r="AG55" s="4">
        <v>3</v>
      </c>
      <c r="AH55" s="4">
        <v>1</v>
      </c>
      <c r="AI55" s="4">
        <v>2</v>
      </c>
      <c r="AJ55" s="4">
        <v>4</v>
      </c>
      <c r="AK55" s="4">
        <v>4</v>
      </c>
      <c r="AL55" s="4">
        <v>1</v>
      </c>
      <c r="AM55" s="4">
        <v>1</v>
      </c>
      <c r="AN55" s="4">
        <v>0</v>
      </c>
      <c r="AO55" s="4">
        <v>0</v>
      </c>
      <c r="AP55" s="3" t="s">
        <v>58</v>
      </c>
      <c r="AQ55" s="3" t="s">
        <v>87</v>
      </c>
      <c r="AR55" s="6" t="str">
        <f>HYPERLINK("http://catalog.hathitrust.org/Record/003011589","HathiTrust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HYPERLINK("https://creighton-primo.hosted.exlibrisgroup.com/primo-explore/search?tab=default_tab&amp;search_scope=EVERYTHING&amp;vid=01CRU&amp;lang=en_US&amp;offset=0&amp;query=any,contains,991002383229702656","Catalog Record")</f>
        <v>Catalog Record</v>
      </c>
      <c r="AT55" s="6" t="str">
        <f>HYPERLINK("http://www.worldcat.org/oclc/30974031","WorldCat Record")</f>
        <v>WorldCat Record</v>
      </c>
      <c r="AU55" s="3" t="s">
        <v>830</v>
      </c>
      <c r="AV55" s="3" t="s">
        <v>831</v>
      </c>
      <c r="AW55" s="3" t="s">
        <v>832</v>
      </c>
      <c r="AX55" s="3" t="s">
        <v>832</v>
      </c>
      <c r="AY55" s="3" t="s">
        <v>833</v>
      </c>
      <c r="AZ55" s="3" t="s">
        <v>74</v>
      </c>
      <c r="BB55" s="3" t="s">
        <v>834</v>
      </c>
      <c r="BC55" s="3" t="s">
        <v>835</v>
      </c>
      <c r="BD55" s="3" t="s">
        <v>836</v>
      </c>
    </row>
    <row r="56" spans="1:56" ht="45.75" customHeight="1" x14ac:dyDescent="0.25">
      <c r="A56" s="7" t="s">
        <v>58</v>
      </c>
      <c r="B56" s="2" t="s">
        <v>837</v>
      </c>
      <c r="C56" s="2" t="s">
        <v>838</v>
      </c>
      <c r="D56" s="2" t="s">
        <v>839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L56" s="2" t="s">
        <v>840</v>
      </c>
      <c r="M56" s="3" t="s">
        <v>307</v>
      </c>
      <c r="O56" s="3" t="s">
        <v>65</v>
      </c>
      <c r="P56" s="3" t="s">
        <v>84</v>
      </c>
      <c r="R56" s="3" t="s">
        <v>67</v>
      </c>
      <c r="S56" s="4">
        <v>3</v>
      </c>
      <c r="T56" s="4">
        <v>3</v>
      </c>
      <c r="U56" s="5" t="s">
        <v>841</v>
      </c>
      <c r="V56" s="5" t="s">
        <v>841</v>
      </c>
      <c r="W56" s="5" t="s">
        <v>842</v>
      </c>
      <c r="X56" s="5" t="s">
        <v>842</v>
      </c>
      <c r="Y56" s="4">
        <v>166</v>
      </c>
      <c r="Z56" s="4">
        <v>141</v>
      </c>
      <c r="AA56" s="4">
        <v>142</v>
      </c>
      <c r="AB56" s="4">
        <v>1</v>
      </c>
      <c r="AC56" s="4">
        <v>1</v>
      </c>
      <c r="AD56" s="4">
        <v>8</v>
      </c>
      <c r="AE56" s="4">
        <v>8</v>
      </c>
      <c r="AF56" s="4">
        <v>2</v>
      </c>
      <c r="AG56" s="4">
        <v>2</v>
      </c>
      <c r="AH56" s="4">
        <v>2</v>
      </c>
      <c r="AI56" s="4">
        <v>2</v>
      </c>
      <c r="AJ56" s="4">
        <v>6</v>
      </c>
      <c r="AK56" s="4">
        <v>6</v>
      </c>
      <c r="AL56" s="4">
        <v>0</v>
      </c>
      <c r="AM56" s="4">
        <v>0</v>
      </c>
      <c r="AN56" s="4">
        <v>0</v>
      </c>
      <c r="AO56" s="4">
        <v>0</v>
      </c>
      <c r="AP56" s="3" t="s">
        <v>58</v>
      </c>
      <c r="AQ56" s="3" t="s">
        <v>87</v>
      </c>
      <c r="AR56" s="6" t="str">
        <f>HYPERLINK("http://catalog.hathitrust.org/Record/002996491","HathiTrust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HYPERLINK("https://creighton-primo.hosted.exlibrisgroup.com/primo-explore/search?tab=default_tab&amp;search_scope=EVERYTHING&amp;vid=01CRU&amp;lang=en_US&amp;offset=0&amp;query=any,contains,991002510849702656","Catalog Record")</f>
        <v>Catalog Record</v>
      </c>
      <c r="AT56" s="6" t="str">
        <f>HYPERLINK("http://www.worldcat.org/oclc/32664869","WorldCat Record")</f>
        <v>WorldCat Record</v>
      </c>
      <c r="AU56" s="3" t="s">
        <v>843</v>
      </c>
      <c r="AV56" s="3" t="s">
        <v>844</v>
      </c>
      <c r="AW56" s="3" t="s">
        <v>845</v>
      </c>
      <c r="AX56" s="3" t="s">
        <v>845</v>
      </c>
      <c r="AY56" s="3" t="s">
        <v>846</v>
      </c>
      <c r="AZ56" s="3" t="s">
        <v>74</v>
      </c>
      <c r="BB56" s="3" t="s">
        <v>847</v>
      </c>
      <c r="BC56" s="3" t="s">
        <v>848</v>
      </c>
      <c r="BD56" s="3" t="s">
        <v>849</v>
      </c>
    </row>
    <row r="57" spans="1:56" ht="45.75" customHeight="1" x14ac:dyDescent="0.25">
      <c r="A57" s="7" t="s">
        <v>58</v>
      </c>
      <c r="B57" s="2" t="s">
        <v>850</v>
      </c>
      <c r="C57" s="2" t="s">
        <v>851</v>
      </c>
      <c r="D57" s="2" t="s">
        <v>852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853</v>
      </c>
      <c r="L57" s="2" t="s">
        <v>854</v>
      </c>
      <c r="M57" s="3" t="s">
        <v>83</v>
      </c>
      <c r="O57" s="3" t="s">
        <v>65</v>
      </c>
      <c r="P57" s="3" t="s">
        <v>132</v>
      </c>
      <c r="R57" s="3" t="s">
        <v>67</v>
      </c>
      <c r="S57" s="4">
        <v>7</v>
      </c>
      <c r="T57" s="4">
        <v>7</v>
      </c>
      <c r="U57" s="5" t="s">
        <v>855</v>
      </c>
      <c r="V57" s="5" t="s">
        <v>855</v>
      </c>
      <c r="W57" s="5" t="s">
        <v>745</v>
      </c>
      <c r="X57" s="5" t="s">
        <v>745</v>
      </c>
      <c r="Y57" s="4">
        <v>345</v>
      </c>
      <c r="Z57" s="4">
        <v>279</v>
      </c>
      <c r="AA57" s="4">
        <v>286</v>
      </c>
      <c r="AB57" s="4">
        <v>4</v>
      </c>
      <c r="AC57" s="4">
        <v>4</v>
      </c>
      <c r="AD57" s="4">
        <v>14</v>
      </c>
      <c r="AE57" s="4">
        <v>14</v>
      </c>
      <c r="AF57" s="4">
        <v>3</v>
      </c>
      <c r="AG57" s="4">
        <v>3</v>
      </c>
      <c r="AH57" s="4">
        <v>3</v>
      </c>
      <c r="AI57" s="4">
        <v>3</v>
      </c>
      <c r="AJ57" s="4">
        <v>7</v>
      </c>
      <c r="AK57" s="4">
        <v>7</v>
      </c>
      <c r="AL57" s="4">
        <v>3</v>
      </c>
      <c r="AM57" s="4">
        <v>3</v>
      </c>
      <c r="AN57" s="4">
        <v>0</v>
      </c>
      <c r="AO57" s="4">
        <v>0</v>
      </c>
      <c r="AP57" s="3" t="s">
        <v>58</v>
      </c>
      <c r="AQ57" s="3" t="s">
        <v>87</v>
      </c>
      <c r="AR57" s="6" t="str">
        <f>HYPERLINK("http://catalog.hathitrust.org/Record/000352841","HathiTrust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HYPERLINK("https://creighton-primo.hosted.exlibrisgroup.com/primo-explore/search?tab=default_tab&amp;search_scope=EVERYTHING&amp;vid=01CRU&amp;lang=en_US&amp;offset=0&amp;query=any,contains,991000614179702656","Catalog Record")</f>
        <v>Catalog Record</v>
      </c>
      <c r="AT57" s="6" t="str">
        <f>HYPERLINK("http://www.worldcat.org/oclc/11918500","WorldCat Record")</f>
        <v>WorldCat Record</v>
      </c>
      <c r="AU57" s="3" t="s">
        <v>856</v>
      </c>
      <c r="AV57" s="3" t="s">
        <v>857</v>
      </c>
      <c r="AW57" s="3" t="s">
        <v>858</v>
      </c>
      <c r="AX57" s="3" t="s">
        <v>858</v>
      </c>
      <c r="AY57" s="3" t="s">
        <v>859</v>
      </c>
      <c r="AZ57" s="3" t="s">
        <v>74</v>
      </c>
      <c r="BB57" s="3" t="s">
        <v>860</v>
      </c>
      <c r="BC57" s="3" t="s">
        <v>861</v>
      </c>
      <c r="BD57" s="3" t="s">
        <v>862</v>
      </c>
    </row>
    <row r="58" spans="1:56" ht="45.75" customHeight="1" x14ac:dyDescent="0.25">
      <c r="A58" s="7" t="s">
        <v>58</v>
      </c>
      <c r="B58" s="2" t="s">
        <v>863</v>
      </c>
      <c r="C58" s="2" t="s">
        <v>864</v>
      </c>
      <c r="D58" s="2" t="s">
        <v>865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L58" s="2" t="s">
        <v>866</v>
      </c>
      <c r="M58" s="3" t="s">
        <v>867</v>
      </c>
      <c r="O58" s="3" t="s">
        <v>65</v>
      </c>
      <c r="P58" s="3" t="s">
        <v>132</v>
      </c>
      <c r="Q58" s="2" t="s">
        <v>868</v>
      </c>
      <c r="R58" s="3" t="s">
        <v>67</v>
      </c>
      <c r="S58" s="4">
        <v>13</v>
      </c>
      <c r="T58" s="4">
        <v>13</v>
      </c>
      <c r="U58" s="5" t="s">
        <v>293</v>
      </c>
      <c r="V58" s="5" t="s">
        <v>293</v>
      </c>
      <c r="W58" s="5" t="s">
        <v>869</v>
      </c>
      <c r="X58" s="5" t="s">
        <v>869</v>
      </c>
      <c r="Y58" s="4">
        <v>415</v>
      </c>
      <c r="Z58" s="4">
        <v>318</v>
      </c>
      <c r="AA58" s="4">
        <v>320</v>
      </c>
      <c r="AB58" s="4">
        <v>4</v>
      </c>
      <c r="AC58" s="4">
        <v>4</v>
      </c>
      <c r="AD58" s="4">
        <v>17</v>
      </c>
      <c r="AE58" s="4">
        <v>17</v>
      </c>
      <c r="AF58" s="4">
        <v>6</v>
      </c>
      <c r="AG58" s="4">
        <v>6</v>
      </c>
      <c r="AH58" s="4">
        <v>4</v>
      </c>
      <c r="AI58" s="4">
        <v>4</v>
      </c>
      <c r="AJ58" s="4">
        <v>9</v>
      </c>
      <c r="AK58" s="4">
        <v>9</v>
      </c>
      <c r="AL58" s="4">
        <v>3</v>
      </c>
      <c r="AM58" s="4">
        <v>3</v>
      </c>
      <c r="AN58" s="4">
        <v>0</v>
      </c>
      <c r="AO58" s="4">
        <v>0</v>
      </c>
      <c r="AP58" s="3" t="s">
        <v>58</v>
      </c>
      <c r="AQ58" s="3" t="s">
        <v>87</v>
      </c>
      <c r="AR58" s="6" t="str">
        <f>HYPERLINK("http://catalog.hathitrust.org/Record/002575312","HathiTrust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HYPERLINK("https://creighton-primo.hosted.exlibrisgroup.com/primo-explore/search?tab=default_tab&amp;search_scope=EVERYTHING&amp;vid=01CRU&amp;lang=en_US&amp;offset=0&amp;query=any,contains,991002053279702656","Catalog Record")</f>
        <v>Catalog Record</v>
      </c>
      <c r="AT58" s="6" t="str">
        <f>HYPERLINK("http://www.worldcat.org/oclc/26218918","WorldCat Record")</f>
        <v>WorldCat Record</v>
      </c>
      <c r="AU58" s="3" t="s">
        <v>870</v>
      </c>
      <c r="AV58" s="3" t="s">
        <v>871</v>
      </c>
      <c r="AW58" s="3" t="s">
        <v>872</v>
      </c>
      <c r="AX58" s="3" t="s">
        <v>872</v>
      </c>
      <c r="AY58" s="3" t="s">
        <v>873</v>
      </c>
      <c r="AZ58" s="3" t="s">
        <v>74</v>
      </c>
      <c r="BB58" s="3" t="s">
        <v>874</v>
      </c>
      <c r="BC58" s="3" t="s">
        <v>875</v>
      </c>
      <c r="BD58" s="3" t="s">
        <v>876</v>
      </c>
    </row>
    <row r="59" spans="1:56" ht="45.75" customHeight="1" x14ac:dyDescent="0.25">
      <c r="A59" s="7" t="s">
        <v>58</v>
      </c>
      <c r="B59" s="2" t="s">
        <v>877</v>
      </c>
      <c r="C59" s="2" t="s">
        <v>878</v>
      </c>
      <c r="D59" s="2" t="s">
        <v>879</v>
      </c>
      <c r="F59" s="3" t="s">
        <v>58</v>
      </c>
      <c r="G59" s="3" t="s">
        <v>59</v>
      </c>
      <c r="H59" s="3" t="s">
        <v>87</v>
      </c>
      <c r="I59" s="3" t="s">
        <v>58</v>
      </c>
      <c r="J59" s="3" t="s">
        <v>60</v>
      </c>
      <c r="L59" s="2" t="s">
        <v>642</v>
      </c>
      <c r="M59" s="3" t="s">
        <v>629</v>
      </c>
      <c r="O59" s="3" t="s">
        <v>65</v>
      </c>
      <c r="P59" s="3" t="s">
        <v>84</v>
      </c>
      <c r="R59" s="3" t="s">
        <v>67</v>
      </c>
      <c r="S59" s="4">
        <v>11</v>
      </c>
      <c r="T59" s="4">
        <v>24</v>
      </c>
      <c r="U59" s="5" t="s">
        <v>293</v>
      </c>
      <c r="V59" s="5" t="s">
        <v>293</v>
      </c>
      <c r="W59" s="5" t="s">
        <v>880</v>
      </c>
      <c r="X59" s="5" t="s">
        <v>881</v>
      </c>
      <c r="Y59" s="4">
        <v>686</v>
      </c>
      <c r="Z59" s="4">
        <v>584</v>
      </c>
      <c r="AA59" s="4">
        <v>586</v>
      </c>
      <c r="AB59" s="4">
        <v>5</v>
      </c>
      <c r="AC59" s="4">
        <v>5</v>
      </c>
      <c r="AD59" s="4">
        <v>25</v>
      </c>
      <c r="AE59" s="4">
        <v>25</v>
      </c>
      <c r="AF59" s="4">
        <v>9</v>
      </c>
      <c r="AG59" s="4">
        <v>9</v>
      </c>
      <c r="AH59" s="4">
        <v>4</v>
      </c>
      <c r="AI59" s="4">
        <v>4</v>
      </c>
      <c r="AJ59" s="4">
        <v>11</v>
      </c>
      <c r="AK59" s="4">
        <v>11</v>
      </c>
      <c r="AL59" s="4">
        <v>3</v>
      </c>
      <c r="AM59" s="4">
        <v>3</v>
      </c>
      <c r="AN59" s="4">
        <v>2</v>
      </c>
      <c r="AO59" s="4">
        <v>2</v>
      </c>
      <c r="AP59" s="3" t="s">
        <v>58</v>
      </c>
      <c r="AQ59" s="3" t="s">
        <v>87</v>
      </c>
      <c r="AR59" s="6" t="str">
        <f>HYPERLINK("http://catalog.hathitrust.org/Record/002878129","HathiTrust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HYPERLINK("https://creighton-primo.hosted.exlibrisgroup.com/primo-explore/search?tab=default_tab&amp;search_scope=EVERYTHING&amp;vid=01CRU&amp;lang=en_US&amp;offset=0&amp;query=any,contains,991001798719702656","Catalog Record")</f>
        <v>Catalog Record</v>
      </c>
      <c r="AT59" s="6" t="str">
        <f>HYPERLINK("http://www.worldcat.org/oclc/26129782","WorldCat Record")</f>
        <v>WorldCat Record</v>
      </c>
      <c r="AU59" s="3" t="s">
        <v>882</v>
      </c>
      <c r="AV59" s="3" t="s">
        <v>883</v>
      </c>
      <c r="AW59" s="3" t="s">
        <v>884</v>
      </c>
      <c r="AX59" s="3" t="s">
        <v>884</v>
      </c>
      <c r="AY59" s="3" t="s">
        <v>885</v>
      </c>
      <c r="AZ59" s="3" t="s">
        <v>74</v>
      </c>
      <c r="BB59" s="3" t="s">
        <v>886</v>
      </c>
      <c r="BC59" s="3" t="s">
        <v>887</v>
      </c>
      <c r="BD59" s="3" t="s">
        <v>888</v>
      </c>
    </row>
    <row r="60" spans="1:56" ht="45.75" customHeight="1" x14ac:dyDescent="0.25">
      <c r="A60" s="7" t="s">
        <v>58</v>
      </c>
      <c r="B60" s="2" t="s">
        <v>889</v>
      </c>
      <c r="C60" s="2" t="s">
        <v>890</v>
      </c>
      <c r="D60" s="2" t="s">
        <v>891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L60" s="2" t="s">
        <v>892</v>
      </c>
      <c r="M60" s="3" t="s">
        <v>528</v>
      </c>
      <c r="O60" s="3" t="s">
        <v>65</v>
      </c>
      <c r="P60" s="3" t="s">
        <v>132</v>
      </c>
      <c r="Q60" s="2" t="s">
        <v>893</v>
      </c>
      <c r="R60" s="3" t="s">
        <v>67</v>
      </c>
      <c r="S60" s="4">
        <v>6</v>
      </c>
      <c r="T60" s="4">
        <v>6</v>
      </c>
      <c r="U60" s="5" t="s">
        <v>894</v>
      </c>
      <c r="V60" s="5" t="s">
        <v>894</v>
      </c>
      <c r="W60" s="5" t="s">
        <v>895</v>
      </c>
      <c r="X60" s="5" t="s">
        <v>895</v>
      </c>
      <c r="Y60" s="4">
        <v>353</v>
      </c>
      <c r="Z60" s="4">
        <v>261</v>
      </c>
      <c r="AA60" s="4">
        <v>268</v>
      </c>
      <c r="AB60" s="4">
        <v>4</v>
      </c>
      <c r="AC60" s="4">
        <v>4</v>
      </c>
      <c r="AD60" s="4">
        <v>15</v>
      </c>
      <c r="AE60" s="4">
        <v>15</v>
      </c>
      <c r="AF60" s="4">
        <v>3</v>
      </c>
      <c r="AG60" s="4">
        <v>3</v>
      </c>
      <c r="AH60" s="4">
        <v>3</v>
      </c>
      <c r="AI60" s="4">
        <v>3</v>
      </c>
      <c r="AJ60" s="4">
        <v>8</v>
      </c>
      <c r="AK60" s="4">
        <v>8</v>
      </c>
      <c r="AL60" s="4">
        <v>3</v>
      </c>
      <c r="AM60" s="4">
        <v>3</v>
      </c>
      <c r="AN60" s="4">
        <v>0</v>
      </c>
      <c r="AO60" s="4">
        <v>0</v>
      </c>
      <c r="AP60" s="3" t="s">
        <v>58</v>
      </c>
      <c r="AQ60" s="3" t="s">
        <v>87</v>
      </c>
      <c r="AR60" s="6" t="str">
        <f>HYPERLINK("http://catalog.hathitrust.org/Record/002205613","HathiTrust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HYPERLINK("https://creighton-primo.hosted.exlibrisgroup.com/primo-explore/search?tab=default_tab&amp;search_scope=EVERYTHING&amp;vid=01CRU&amp;lang=en_US&amp;offset=0&amp;query=any,contains,991001667969702656","Catalog Record")</f>
        <v>Catalog Record</v>
      </c>
      <c r="AT60" s="6" t="str">
        <f>HYPERLINK("http://www.worldcat.org/oclc/21229131","WorldCat Record")</f>
        <v>WorldCat Record</v>
      </c>
      <c r="AU60" s="3" t="s">
        <v>896</v>
      </c>
      <c r="AV60" s="3" t="s">
        <v>897</v>
      </c>
      <c r="AW60" s="3" t="s">
        <v>898</v>
      </c>
      <c r="AX60" s="3" t="s">
        <v>898</v>
      </c>
      <c r="AY60" s="3" t="s">
        <v>899</v>
      </c>
      <c r="AZ60" s="3" t="s">
        <v>74</v>
      </c>
      <c r="BB60" s="3" t="s">
        <v>900</v>
      </c>
      <c r="BC60" s="3" t="s">
        <v>901</v>
      </c>
      <c r="BD60" s="3" t="s">
        <v>902</v>
      </c>
    </row>
    <row r="61" spans="1:56" ht="45.75" customHeight="1" x14ac:dyDescent="0.25">
      <c r="A61" s="7" t="s">
        <v>58</v>
      </c>
      <c r="B61" s="2" t="s">
        <v>903</v>
      </c>
      <c r="C61" s="2" t="s">
        <v>904</v>
      </c>
      <c r="D61" s="2" t="s">
        <v>905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906</v>
      </c>
      <c r="L61" s="2" t="s">
        <v>907</v>
      </c>
      <c r="M61" s="3" t="s">
        <v>908</v>
      </c>
      <c r="O61" s="3" t="s">
        <v>65</v>
      </c>
      <c r="P61" s="3" t="s">
        <v>84</v>
      </c>
      <c r="Q61" s="2" t="s">
        <v>909</v>
      </c>
      <c r="R61" s="3" t="s">
        <v>67</v>
      </c>
      <c r="S61" s="4">
        <v>7</v>
      </c>
      <c r="T61" s="4">
        <v>7</v>
      </c>
      <c r="U61" s="5" t="s">
        <v>910</v>
      </c>
      <c r="V61" s="5" t="s">
        <v>910</v>
      </c>
      <c r="W61" s="5" t="s">
        <v>745</v>
      </c>
      <c r="X61" s="5" t="s">
        <v>745</v>
      </c>
      <c r="Y61" s="4">
        <v>201</v>
      </c>
      <c r="Z61" s="4">
        <v>181</v>
      </c>
      <c r="AA61" s="4">
        <v>245</v>
      </c>
      <c r="AB61" s="4">
        <v>3</v>
      </c>
      <c r="AC61" s="4">
        <v>6</v>
      </c>
      <c r="AD61" s="4">
        <v>7</v>
      </c>
      <c r="AE61" s="4">
        <v>8</v>
      </c>
      <c r="AF61" s="4">
        <v>5</v>
      </c>
      <c r="AG61" s="4">
        <v>5</v>
      </c>
      <c r="AH61" s="4">
        <v>0</v>
      </c>
      <c r="AI61" s="4">
        <v>0</v>
      </c>
      <c r="AJ61" s="4">
        <v>4</v>
      </c>
      <c r="AK61" s="4">
        <v>5</v>
      </c>
      <c r="AL61" s="4">
        <v>1</v>
      </c>
      <c r="AM61" s="4">
        <v>1</v>
      </c>
      <c r="AN61" s="4">
        <v>0</v>
      </c>
      <c r="AO61" s="4">
        <v>0</v>
      </c>
      <c r="AP61" s="3" t="s">
        <v>58</v>
      </c>
      <c r="AQ61" s="3" t="s">
        <v>87</v>
      </c>
      <c r="AR61" s="6" t="str">
        <f>HYPERLINK("http://catalog.hathitrust.org/Record/000116032","HathiTrust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HYPERLINK("https://creighton-primo.hosted.exlibrisgroup.com/primo-explore/search?tab=default_tab&amp;search_scope=EVERYTHING&amp;vid=01CRU&amp;lang=en_US&amp;offset=0&amp;query=any,contains,991005264849702656","Catalog Record")</f>
        <v>Catalog Record</v>
      </c>
      <c r="AT61" s="6" t="str">
        <f>HYPERLINK("http://www.worldcat.org/oclc/6022438","WorldCat Record")</f>
        <v>WorldCat Record</v>
      </c>
      <c r="AU61" s="3" t="s">
        <v>911</v>
      </c>
      <c r="AV61" s="3" t="s">
        <v>912</v>
      </c>
      <c r="AW61" s="3" t="s">
        <v>913</v>
      </c>
      <c r="AX61" s="3" t="s">
        <v>913</v>
      </c>
      <c r="AY61" s="3" t="s">
        <v>914</v>
      </c>
      <c r="AZ61" s="3" t="s">
        <v>74</v>
      </c>
      <c r="BB61" s="3" t="s">
        <v>915</v>
      </c>
      <c r="BC61" s="3" t="s">
        <v>916</v>
      </c>
      <c r="BD61" s="3" t="s">
        <v>917</v>
      </c>
    </row>
    <row r="62" spans="1:56" ht="45.75" customHeight="1" x14ac:dyDescent="0.25">
      <c r="A62" s="7" t="s">
        <v>58</v>
      </c>
      <c r="B62" s="2" t="s">
        <v>918</v>
      </c>
      <c r="C62" s="2" t="s">
        <v>919</v>
      </c>
      <c r="D62" s="2" t="s">
        <v>920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921</v>
      </c>
      <c r="L62" s="2" t="s">
        <v>922</v>
      </c>
      <c r="M62" s="3" t="s">
        <v>923</v>
      </c>
      <c r="O62" s="3" t="s">
        <v>65</v>
      </c>
      <c r="P62" s="3" t="s">
        <v>148</v>
      </c>
      <c r="Q62" s="2" t="s">
        <v>924</v>
      </c>
      <c r="R62" s="3" t="s">
        <v>67</v>
      </c>
      <c r="S62" s="4">
        <v>5</v>
      </c>
      <c r="T62" s="4">
        <v>5</v>
      </c>
      <c r="U62" s="5" t="s">
        <v>894</v>
      </c>
      <c r="V62" s="5" t="s">
        <v>894</v>
      </c>
      <c r="W62" s="5" t="s">
        <v>925</v>
      </c>
      <c r="X62" s="5" t="s">
        <v>925</v>
      </c>
      <c r="Y62" s="4">
        <v>251</v>
      </c>
      <c r="Z62" s="4">
        <v>203</v>
      </c>
      <c r="AA62" s="4">
        <v>210</v>
      </c>
      <c r="AB62" s="4">
        <v>4</v>
      </c>
      <c r="AC62" s="4">
        <v>4</v>
      </c>
      <c r="AD62" s="4">
        <v>14</v>
      </c>
      <c r="AE62" s="4">
        <v>14</v>
      </c>
      <c r="AF62" s="4">
        <v>4</v>
      </c>
      <c r="AG62" s="4">
        <v>4</v>
      </c>
      <c r="AH62" s="4">
        <v>2</v>
      </c>
      <c r="AI62" s="4">
        <v>2</v>
      </c>
      <c r="AJ62" s="4">
        <v>6</v>
      </c>
      <c r="AK62" s="4">
        <v>6</v>
      </c>
      <c r="AL62" s="4">
        <v>3</v>
      </c>
      <c r="AM62" s="4">
        <v>3</v>
      </c>
      <c r="AN62" s="4">
        <v>1</v>
      </c>
      <c r="AO62" s="4">
        <v>1</v>
      </c>
      <c r="AP62" s="3" t="s">
        <v>58</v>
      </c>
      <c r="AQ62" s="3" t="s">
        <v>87</v>
      </c>
      <c r="AR62" s="6" t="str">
        <f>HYPERLINK("http://catalog.hathitrust.org/Record/000161269","HathiTrust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HYPERLINK("https://creighton-primo.hosted.exlibrisgroup.com/primo-explore/search?tab=default_tab&amp;search_scope=EVERYTHING&amp;vid=01CRU&amp;lang=en_US&amp;offset=0&amp;query=any,contains,991000045369702656","Catalog Record")</f>
        <v>Catalog Record</v>
      </c>
      <c r="AT62" s="6" t="str">
        <f>HYPERLINK("http://www.worldcat.org/oclc/8668395","WorldCat Record")</f>
        <v>WorldCat Record</v>
      </c>
      <c r="AU62" s="3" t="s">
        <v>926</v>
      </c>
      <c r="AV62" s="3" t="s">
        <v>927</v>
      </c>
      <c r="AW62" s="3" t="s">
        <v>928</v>
      </c>
      <c r="AX62" s="3" t="s">
        <v>928</v>
      </c>
      <c r="AY62" s="3" t="s">
        <v>929</v>
      </c>
      <c r="AZ62" s="3" t="s">
        <v>74</v>
      </c>
      <c r="BB62" s="3" t="s">
        <v>930</v>
      </c>
      <c r="BC62" s="3" t="s">
        <v>931</v>
      </c>
      <c r="BD62" s="3" t="s">
        <v>932</v>
      </c>
    </row>
    <row r="63" spans="1:56" ht="45.75" customHeight="1" x14ac:dyDescent="0.25">
      <c r="A63" s="7" t="s">
        <v>58</v>
      </c>
      <c r="B63" s="2" t="s">
        <v>933</v>
      </c>
      <c r="C63" s="2" t="s">
        <v>934</v>
      </c>
      <c r="D63" s="2" t="s">
        <v>935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L63" s="2" t="s">
        <v>936</v>
      </c>
      <c r="M63" s="3" t="s">
        <v>937</v>
      </c>
      <c r="O63" s="3" t="s">
        <v>65</v>
      </c>
      <c r="P63" s="3" t="s">
        <v>132</v>
      </c>
      <c r="Q63" s="2" t="s">
        <v>938</v>
      </c>
      <c r="R63" s="3" t="s">
        <v>67</v>
      </c>
      <c r="S63" s="4">
        <v>9</v>
      </c>
      <c r="T63" s="4">
        <v>9</v>
      </c>
      <c r="U63" s="5" t="s">
        <v>910</v>
      </c>
      <c r="V63" s="5" t="s">
        <v>910</v>
      </c>
      <c r="W63" s="5" t="s">
        <v>745</v>
      </c>
      <c r="X63" s="5" t="s">
        <v>745</v>
      </c>
      <c r="Y63" s="4">
        <v>237</v>
      </c>
      <c r="Z63" s="4">
        <v>199</v>
      </c>
      <c r="AA63" s="4">
        <v>206</v>
      </c>
      <c r="AB63" s="4">
        <v>5</v>
      </c>
      <c r="AC63" s="4">
        <v>5</v>
      </c>
      <c r="AD63" s="4">
        <v>11</v>
      </c>
      <c r="AE63" s="4">
        <v>11</v>
      </c>
      <c r="AF63" s="4">
        <v>3</v>
      </c>
      <c r="AG63" s="4">
        <v>3</v>
      </c>
      <c r="AH63" s="4">
        <v>1</v>
      </c>
      <c r="AI63" s="4">
        <v>1</v>
      </c>
      <c r="AJ63" s="4">
        <v>4</v>
      </c>
      <c r="AK63" s="4">
        <v>4</v>
      </c>
      <c r="AL63" s="4">
        <v>4</v>
      </c>
      <c r="AM63" s="4">
        <v>4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HYPERLINK("https://creighton-primo.hosted.exlibrisgroup.com/primo-explore/search?tab=default_tab&amp;search_scope=EVERYTHING&amp;vid=01CRU&amp;lang=en_US&amp;offset=0&amp;query=any,contains,991004455299702656","Catalog Record")</f>
        <v>Catalog Record</v>
      </c>
      <c r="AT63" s="6" t="str">
        <f>HYPERLINK("http://www.worldcat.org/oclc/3522494","WorldCat Record")</f>
        <v>WorldCat Record</v>
      </c>
      <c r="AU63" s="3" t="s">
        <v>939</v>
      </c>
      <c r="AV63" s="3" t="s">
        <v>940</v>
      </c>
      <c r="AW63" s="3" t="s">
        <v>941</v>
      </c>
      <c r="AX63" s="3" t="s">
        <v>941</v>
      </c>
      <c r="AY63" s="3" t="s">
        <v>942</v>
      </c>
      <c r="AZ63" s="3" t="s">
        <v>74</v>
      </c>
      <c r="BB63" s="3" t="s">
        <v>943</v>
      </c>
      <c r="BC63" s="3" t="s">
        <v>944</v>
      </c>
      <c r="BD63" s="3" t="s">
        <v>945</v>
      </c>
    </row>
    <row r="64" spans="1:56" ht="45.75" customHeight="1" x14ac:dyDescent="0.25">
      <c r="A64" s="7" t="s">
        <v>58</v>
      </c>
      <c r="B64" s="2" t="s">
        <v>946</v>
      </c>
      <c r="C64" s="2" t="s">
        <v>947</v>
      </c>
      <c r="D64" s="2" t="s">
        <v>948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949</v>
      </c>
      <c r="L64" s="2" t="s">
        <v>950</v>
      </c>
      <c r="M64" s="3" t="s">
        <v>307</v>
      </c>
      <c r="O64" s="3" t="s">
        <v>65</v>
      </c>
      <c r="P64" s="3" t="s">
        <v>84</v>
      </c>
      <c r="R64" s="3" t="s">
        <v>67</v>
      </c>
      <c r="S64" s="4">
        <v>8</v>
      </c>
      <c r="T64" s="4">
        <v>8</v>
      </c>
      <c r="U64" s="5" t="s">
        <v>951</v>
      </c>
      <c r="V64" s="5" t="s">
        <v>951</v>
      </c>
      <c r="W64" s="5" t="s">
        <v>952</v>
      </c>
      <c r="X64" s="5" t="s">
        <v>952</v>
      </c>
      <c r="Y64" s="4">
        <v>359</v>
      </c>
      <c r="Z64" s="4">
        <v>316</v>
      </c>
      <c r="AA64" s="4">
        <v>318</v>
      </c>
      <c r="AB64" s="4">
        <v>3</v>
      </c>
      <c r="AC64" s="4">
        <v>3</v>
      </c>
      <c r="AD64" s="4">
        <v>12</v>
      </c>
      <c r="AE64" s="4">
        <v>12</v>
      </c>
      <c r="AF64" s="4">
        <v>3</v>
      </c>
      <c r="AG64" s="4">
        <v>3</v>
      </c>
      <c r="AH64" s="4">
        <v>3</v>
      </c>
      <c r="AI64" s="4">
        <v>3</v>
      </c>
      <c r="AJ64" s="4">
        <v>7</v>
      </c>
      <c r="AK64" s="4">
        <v>7</v>
      </c>
      <c r="AL64" s="4">
        <v>2</v>
      </c>
      <c r="AM64" s="4">
        <v>2</v>
      </c>
      <c r="AN64" s="4">
        <v>0</v>
      </c>
      <c r="AO64" s="4">
        <v>0</v>
      </c>
      <c r="AP64" s="3" t="s">
        <v>58</v>
      </c>
      <c r="AQ64" s="3" t="s">
        <v>87</v>
      </c>
      <c r="AR64" s="6" t="str">
        <f>HYPERLINK("http://catalog.hathitrust.org/Record/002999406","HathiTrust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HYPERLINK("https://creighton-primo.hosted.exlibrisgroup.com/primo-explore/search?tab=default_tab&amp;search_scope=EVERYTHING&amp;vid=01CRU&amp;lang=en_US&amp;offset=0&amp;query=any,contains,991002437649702656","Catalog Record")</f>
        <v>Catalog Record</v>
      </c>
      <c r="AT64" s="6" t="str">
        <f>HYPERLINK("http://www.worldcat.org/oclc/31776382","WorldCat Record")</f>
        <v>WorldCat Record</v>
      </c>
      <c r="AU64" s="3" t="s">
        <v>953</v>
      </c>
      <c r="AV64" s="3" t="s">
        <v>954</v>
      </c>
      <c r="AW64" s="3" t="s">
        <v>955</v>
      </c>
      <c r="AX64" s="3" t="s">
        <v>955</v>
      </c>
      <c r="AY64" s="3" t="s">
        <v>956</v>
      </c>
      <c r="AZ64" s="3" t="s">
        <v>74</v>
      </c>
      <c r="BB64" s="3" t="s">
        <v>957</v>
      </c>
      <c r="BC64" s="3" t="s">
        <v>958</v>
      </c>
      <c r="BD64" s="3" t="s">
        <v>959</v>
      </c>
    </row>
    <row r="65" spans="1:56" ht="45.75" customHeight="1" x14ac:dyDescent="0.25">
      <c r="A65" s="7" t="s">
        <v>58</v>
      </c>
      <c r="B65" s="2" t="s">
        <v>960</v>
      </c>
      <c r="C65" s="2" t="s">
        <v>961</v>
      </c>
      <c r="D65" s="2" t="s">
        <v>962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L65" s="2" t="s">
        <v>963</v>
      </c>
      <c r="M65" s="3" t="s">
        <v>742</v>
      </c>
      <c r="O65" s="3" t="s">
        <v>65</v>
      </c>
      <c r="P65" s="3" t="s">
        <v>84</v>
      </c>
      <c r="Q65" s="2" t="s">
        <v>964</v>
      </c>
      <c r="R65" s="3" t="s">
        <v>67</v>
      </c>
      <c r="S65" s="4">
        <v>7</v>
      </c>
      <c r="T65" s="4">
        <v>7</v>
      </c>
      <c r="U65" s="5" t="s">
        <v>910</v>
      </c>
      <c r="V65" s="5" t="s">
        <v>910</v>
      </c>
      <c r="W65" s="5" t="s">
        <v>965</v>
      </c>
      <c r="X65" s="5" t="s">
        <v>965</v>
      </c>
      <c r="Y65" s="4">
        <v>293</v>
      </c>
      <c r="Z65" s="4">
        <v>256</v>
      </c>
      <c r="AA65" s="4">
        <v>258</v>
      </c>
      <c r="AB65" s="4">
        <v>3</v>
      </c>
      <c r="AC65" s="4">
        <v>3</v>
      </c>
      <c r="AD65" s="4">
        <v>13</v>
      </c>
      <c r="AE65" s="4">
        <v>13</v>
      </c>
      <c r="AF65" s="4">
        <v>5</v>
      </c>
      <c r="AG65" s="4">
        <v>5</v>
      </c>
      <c r="AH65" s="4">
        <v>2</v>
      </c>
      <c r="AI65" s="4">
        <v>2</v>
      </c>
      <c r="AJ65" s="4">
        <v>9</v>
      </c>
      <c r="AK65" s="4">
        <v>9</v>
      </c>
      <c r="AL65" s="4">
        <v>2</v>
      </c>
      <c r="AM65" s="4">
        <v>2</v>
      </c>
      <c r="AN65" s="4">
        <v>0</v>
      </c>
      <c r="AO65" s="4">
        <v>0</v>
      </c>
      <c r="AP65" s="3" t="s">
        <v>58</v>
      </c>
      <c r="AQ65" s="3" t="s">
        <v>87</v>
      </c>
      <c r="AR65" s="6" t="str">
        <f>HYPERLINK("http://catalog.hathitrust.org/Record/001950368","HathiTrust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HYPERLINK("https://creighton-primo.hosted.exlibrisgroup.com/primo-explore/search?tab=default_tab&amp;search_scope=EVERYTHING&amp;vid=01CRU&amp;lang=en_US&amp;offset=0&amp;query=any,contains,991001556279702656","Catalog Record")</f>
        <v>Catalog Record</v>
      </c>
      <c r="AT65" s="6" t="str">
        <f>HYPERLINK("http://www.worldcat.org/oclc/20264690","WorldCat Record")</f>
        <v>WorldCat Record</v>
      </c>
      <c r="AU65" s="3" t="s">
        <v>966</v>
      </c>
      <c r="AV65" s="3" t="s">
        <v>967</v>
      </c>
      <c r="AW65" s="3" t="s">
        <v>968</v>
      </c>
      <c r="AX65" s="3" t="s">
        <v>968</v>
      </c>
      <c r="AY65" s="3" t="s">
        <v>969</v>
      </c>
      <c r="AZ65" s="3" t="s">
        <v>74</v>
      </c>
      <c r="BB65" s="3" t="s">
        <v>970</v>
      </c>
      <c r="BC65" s="3" t="s">
        <v>971</v>
      </c>
      <c r="BD65" s="3" t="s">
        <v>972</v>
      </c>
    </row>
    <row r="66" spans="1:56" ht="45.75" customHeight="1" x14ac:dyDescent="0.25">
      <c r="A66" s="7" t="s">
        <v>58</v>
      </c>
      <c r="B66" s="2" t="s">
        <v>973</v>
      </c>
      <c r="C66" s="2" t="s">
        <v>974</v>
      </c>
      <c r="D66" s="2" t="s">
        <v>975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L66" s="2" t="s">
        <v>976</v>
      </c>
      <c r="M66" s="3" t="s">
        <v>742</v>
      </c>
      <c r="O66" s="3" t="s">
        <v>65</v>
      </c>
      <c r="P66" s="3" t="s">
        <v>148</v>
      </c>
      <c r="R66" s="3" t="s">
        <v>67</v>
      </c>
      <c r="S66" s="4">
        <v>8</v>
      </c>
      <c r="T66" s="4">
        <v>8</v>
      </c>
      <c r="U66" s="5" t="s">
        <v>977</v>
      </c>
      <c r="V66" s="5" t="s">
        <v>977</v>
      </c>
      <c r="W66" s="5" t="s">
        <v>978</v>
      </c>
      <c r="X66" s="5" t="s">
        <v>978</v>
      </c>
      <c r="Y66" s="4">
        <v>451</v>
      </c>
      <c r="Z66" s="4">
        <v>390</v>
      </c>
      <c r="AA66" s="4">
        <v>397</v>
      </c>
      <c r="AB66" s="4">
        <v>5</v>
      </c>
      <c r="AC66" s="4">
        <v>5</v>
      </c>
      <c r="AD66" s="4">
        <v>22</v>
      </c>
      <c r="AE66" s="4">
        <v>22</v>
      </c>
      <c r="AF66" s="4">
        <v>7</v>
      </c>
      <c r="AG66" s="4">
        <v>7</v>
      </c>
      <c r="AH66" s="4">
        <v>4</v>
      </c>
      <c r="AI66" s="4">
        <v>4</v>
      </c>
      <c r="AJ66" s="4">
        <v>11</v>
      </c>
      <c r="AK66" s="4">
        <v>11</v>
      </c>
      <c r="AL66" s="4">
        <v>4</v>
      </c>
      <c r="AM66" s="4">
        <v>4</v>
      </c>
      <c r="AN66" s="4">
        <v>0</v>
      </c>
      <c r="AO66" s="4">
        <v>0</v>
      </c>
      <c r="AP66" s="3" t="s">
        <v>58</v>
      </c>
      <c r="AQ66" s="3" t="s">
        <v>87</v>
      </c>
      <c r="AR66" s="6" t="str">
        <f>HYPERLINK("http://catalog.hathitrust.org/Record/001529787","HathiTrust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HYPERLINK("https://creighton-primo.hosted.exlibrisgroup.com/primo-explore/search?tab=default_tab&amp;search_scope=EVERYTHING&amp;vid=01CRU&amp;lang=en_US&amp;offset=0&amp;query=any,contains,991001428589702656","Catalog Record")</f>
        <v>Catalog Record</v>
      </c>
      <c r="AT66" s="6" t="str">
        <f>HYPERLINK("http://www.worldcat.org/oclc/19065591","WorldCat Record")</f>
        <v>WorldCat Record</v>
      </c>
      <c r="AU66" s="3" t="s">
        <v>979</v>
      </c>
      <c r="AV66" s="3" t="s">
        <v>980</v>
      </c>
      <c r="AW66" s="3" t="s">
        <v>981</v>
      </c>
      <c r="AX66" s="3" t="s">
        <v>981</v>
      </c>
      <c r="AY66" s="3" t="s">
        <v>982</v>
      </c>
      <c r="AZ66" s="3" t="s">
        <v>74</v>
      </c>
      <c r="BB66" s="3" t="s">
        <v>983</v>
      </c>
      <c r="BC66" s="3" t="s">
        <v>984</v>
      </c>
      <c r="BD66" s="3" t="s">
        <v>985</v>
      </c>
    </row>
    <row r="67" spans="1:56" ht="45.75" customHeight="1" x14ac:dyDescent="0.25">
      <c r="A67" s="7" t="s">
        <v>58</v>
      </c>
      <c r="B67" s="2" t="s">
        <v>986</v>
      </c>
      <c r="C67" s="2" t="s">
        <v>987</v>
      </c>
      <c r="D67" s="2" t="s">
        <v>988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989</v>
      </c>
      <c r="L67" s="2" t="s">
        <v>990</v>
      </c>
      <c r="M67" s="3" t="s">
        <v>800</v>
      </c>
      <c r="O67" s="3" t="s">
        <v>65</v>
      </c>
      <c r="P67" s="3" t="s">
        <v>132</v>
      </c>
      <c r="Q67" s="2" t="s">
        <v>991</v>
      </c>
      <c r="R67" s="3" t="s">
        <v>67</v>
      </c>
      <c r="S67" s="4">
        <v>11</v>
      </c>
      <c r="T67" s="4">
        <v>11</v>
      </c>
      <c r="U67" s="5" t="s">
        <v>894</v>
      </c>
      <c r="V67" s="5" t="s">
        <v>894</v>
      </c>
      <c r="W67" s="5" t="s">
        <v>992</v>
      </c>
      <c r="X67" s="5" t="s">
        <v>992</v>
      </c>
      <c r="Y67" s="4">
        <v>313</v>
      </c>
      <c r="Z67" s="4">
        <v>247</v>
      </c>
      <c r="AA67" s="4">
        <v>254</v>
      </c>
      <c r="AB67" s="4">
        <v>5</v>
      </c>
      <c r="AC67" s="4">
        <v>5</v>
      </c>
      <c r="AD67" s="4">
        <v>18</v>
      </c>
      <c r="AE67" s="4">
        <v>18</v>
      </c>
      <c r="AF67" s="4">
        <v>5</v>
      </c>
      <c r="AG67" s="4">
        <v>5</v>
      </c>
      <c r="AH67" s="4">
        <v>3</v>
      </c>
      <c r="AI67" s="4">
        <v>3</v>
      </c>
      <c r="AJ67" s="4">
        <v>8</v>
      </c>
      <c r="AK67" s="4">
        <v>8</v>
      </c>
      <c r="AL67" s="4">
        <v>4</v>
      </c>
      <c r="AM67" s="4">
        <v>4</v>
      </c>
      <c r="AN67" s="4">
        <v>0</v>
      </c>
      <c r="AO67" s="4">
        <v>0</v>
      </c>
      <c r="AP67" s="3" t="s">
        <v>58</v>
      </c>
      <c r="AQ67" s="3" t="s">
        <v>87</v>
      </c>
      <c r="AR67" s="6" t="str">
        <f>HYPERLINK("http://catalog.hathitrust.org/Record/002465262","HathiTrust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HYPERLINK("https://creighton-primo.hosted.exlibrisgroup.com/primo-explore/search?tab=default_tab&amp;search_scope=EVERYTHING&amp;vid=01CRU&amp;lang=en_US&amp;offset=0&amp;query=any,contains,991001853399702656","Catalog Record")</f>
        <v>Catalog Record</v>
      </c>
      <c r="AT67" s="6" t="str">
        <f>HYPERLINK("http://www.worldcat.org/oclc/23254106","WorldCat Record")</f>
        <v>WorldCat Record</v>
      </c>
      <c r="AU67" s="3" t="s">
        <v>993</v>
      </c>
      <c r="AV67" s="3" t="s">
        <v>994</v>
      </c>
      <c r="AW67" s="3" t="s">
        <v>995</v>
      </c>
      <c r="AX67" s="3" t="s">
        <v>995</v>
      </c>
      <c r="AY67" s="3" t="s">
        <v>996</v>
      </c>
      <c r="AZ67" s="3" t="s">
        <v>74</v>
      </c>
      <c r="BB67" s="3" t="s">
        <v>997</v>
      </c>
      <c r="BC67" s="3" t="s">
        <v>998</v>
      </c>
      <c r="BD67" s="3" t="s">
        <v>999</v>
      </c>
    </row>
    <row r="68" spans="1:56" ht="45.75" customHeight="1" x14ac:dyDescent="0.25">
      <c r="A68" s="7" t="s">
        <v>58</v>
      </c>
      <c r="B68" s="2" t="s">
        <v>1000</v>
      </c>
      <c r="C68" s="2" t="s">
        <v>1001</v>
      </c>
      <c r="D68" s="2" t="s">
        <v>1002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L68" s="2" t="s">
        <v>1003</v>
      </c>
      <c r="M68" s="3" t="s">
        <v>742</v>
      </c>
      <c r="O68" s="3" t="s">
        <v>65</v>
      </c>
      <c r="P68" s="3" t="s">
        <v>66</v>
      </c>
      <c r="Q68" s="2" t="s">
        <v>1004</v>
      </c>
      <c r="R68" s="3" t="s">
        <v>67</v>
      </c>
      <c r="S68" s="4">
        <v>15</v>
      </c>
      <c r="T68" s="4">
        <v>15</v>
      </c>
      <c r="U68" s="5" t="s">
        <v>1005</v>
      </c>
      <c r="V68" s="5" t="s">
        <v>1005</v>
      </c>
      <c r="W68" s="5" t="s">
        <v>1006</v>
      </c>
      <c r="X68" s="5" t="s">
        <v>1006</v>
      </c>
      <c r="Y68" s="4">
        <v>453</v>
      </c>
      <c r="Z68" s="4">
        <v>409</v>
      </c>
      <c r="AA68" s="4">
        <v>435</v>
      </c>
      <c r="AB68" s="4">
        <v>5</v>
      </c>
      <c r="AC68" s="4">
        <v>5</v>
      </c>
      <c r="AD68" s="4">
        <v>23</v>
      </c>
      <c r="AE68" s="4">
        <v>24</v>
      </c>
      <c r="AF68" s="4">
        <v>6</v>
      </c>
      <c r="AG68" s="4">
        <v>6</v>
      </c>
      <c r="AH68" s="4">
        <v>6</v>
      </c>
      <c r="AI68" s="4">
        <v>6</v>
      </c>
      <c r="AJ68" s="4">
        <v>8</v>
      </c>
      <c r="AK68" s="4">
        <v>8</v>
      </c>
      <c r="AL68" s="4">
        <v>4</v>
      </c>
      <c r="AM68" s="4">
        <v>4</v>
      </c>
      <c r="AN68" s="4">
        <v>3</v>
      </c>
      <c r="AO68" s="4">
        <v>4</v>
      </c>
      <c r="AP68" s="3" t="s">
        <v>58</v>
      </c>
      <c r="AQ68" s="3" t="s">
        <v>87</v>
      </c>
      <c r="AR68" s="6" t="str">
        <f>HYPERLINK("http://catalog.hathitrust.org/Record/001545020","HathiTrust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HYPERLINK("https://creighton-primo.hosted.exlibrisgroup.com/primo-explore/search?tab=default_tab&amp;search_scope=EVERYTHING&amp;vid=01CRU&amp;lang=en_US&amp;offset=0&amp;query=any,contains,991001428729702656","Catalog Record")</f>
        <v>Catalog Record</v>
      </c>
      <c r="AT68" s="6" t="str">
        <f>HYPERLINK("http://www.worldcat.org/oclc/19065946","WorldCat Record")</f>
        <v>WorldCat Record</v>
      </c>
      <c r="AU68" s="3" t="s">
        <v>1007</v>
      </c>
      <c r="AV68" s="3" t="s">
        <v>1008</v>
      </c>
      <c r="AW68" s="3" t="s">
        <v>1009</v>
      </c>
      <c r="AX68" s="3" t="s">
        <v>1009</v>
      </c>
      <c r="AY68" s="3" t="s">
        <v>1010</v>
      </c>
      <c r="AZ68" s="3" t="s">
        <v>74</v>
      </c>
      <c r="BB68" s="3" t="s">
        <v>1011</v>
      </c>
      <c r="BC68" s="3" t="s">
        <v>1012</v>
      </c>
      <c r="BD68" s="3" t="s">
        <v>1013</v>
      </c>
    </row>
    <row r="69" spans="1:56" ht="45.75" customHeight="1" x14ac:dyDescent="0.25">
      <c r="A69" s="7" t="s">
        <v>58</v>
      </c>
      <c r="B69" s="2" t="s">
        <v>1014</v>
      </c>
      <c r="C69" s="2" t="s">
        <v>1015</v>
      </c>
      <c r="D69" s="2" t="s">
        <v>1016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L69" s="2" t="s">
        <v>1017</v>
      </c>
      <c r="M69" s="3" t="s">
        <v>557</v>
      </c>
      <c r="O69" s="3" t="s">
        <v>65</v>
      </c>
      <c r="P69" s="3" t="s">
        <v>84</v>
      </c>
      <c r="R69" s="3" t="s">
        <v>67</v>
      </c>
      <c r="S69" s="4">
        <v>18</v>
      </c>
      <c r="T69" s="4">
        <v>18</v>
      </c>
      <c r="U69" s="5" t="s">
        <v>1018</v>
      </c>
      <c r="V69" s="5" t="s">
        <v>1018</v>
      </c>
      <c r="W69" s="5" t="s">
        <v>1019</v>
      </c>
      <c r="X69" s="5" t="s">
        <v>1019</v>
      </c>
      <c r="Y69" s="4">
        <v>438</v>
      </c>
      <c r="Z69" s="4">
        <v>398</v>
      </c>
      <c r="AA69" s="4">
        <v>400</v>
      </c>
      <c r="AB69" s="4">
        <v>3</v>
      </c>
      <c r="AC69" s="4">
        <v>3</v>
      </c>
      <c r="AD69" s="4">
        <v>27</v>
      </c>
      <c r="AE69" s="4">
        <v>27</v>
      </c>
      <c r="AF69" s="4">
        <v>8</v>
      </c>
      <c r="AG69" s="4">
        <v>8</v>
      </c>
      <c r="AH69" s="4">
        <v>6</v>
      </c>
      <c r="AI69" s="4">
        <v>6</v>
      </c>
      <c r="AJ69" s="4">
        <v>14</v>
      </c>
      <c r="AK69" s="4">
        <v>14</v>
      </c>
      <c r="AL69" s="4">
        <v>2</v>
      </c>
      <c r="AM69" s="4">
        <v>2</v>
      </c>
      <c r="AN69" s="4">
        <v>0</v>
      </c>
      <c r="AO69" s="4">
        <v>0</v>
      </c>
      <c r="AP69" s="3" t="s">
        <v>58</v>
      </c>
      <c r="AQ69" s="3" t="s">
        <v>87</v>
      </c>
      <c r="AR69" s="6" t="str">
        <f>HYPERLINK("http://catalog.hathitrust.org/Record/002602459","HathiTrust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HYPERLINK("https://creighton-primo.hosted.exlibrisgroup.com/primo-explore/search?tab=default_tab&amp;search_scope=EVERYTHING&amp;vid=01CRU&amp;lang=en_US&amp;offset=0&amp;query=any,contains,991001996769702656","Catalog Record")</f>
        <v>Catalog Record</v>
      </c>
      <c r="AT69" s="6" t="str">
        <f>HYPERLINK("http://www.worldcat.org/oclc/25372184","WorldCat Record")</f>
        <v>WorldCat Record</v>
      </c>
      <c r="AU69" s="3" t="s">
        <v>1020</v>
      </c>
      <c r="AV69" s="3" t="s">
        <v>1021</v>
      </c>
      <c r="AW69" s="3" t="s">
        <v>1022</v>
      </c>
      <c r="AX69" s="3" t="s">
        <v>1022</v>
      </c>
      <c r="AY69" s="3" t="s">
        <v>1023</v>
      </c>
      <c r="AZ69" s="3" t="s">
        <v>74</v>
      </c>
      <c r="BB69" s="3" t="s">
        <v>1024</v>
      </c>
      <c r="BC69" s="3" t="s">
        <v>1025</v>
      </c>
      <c r="BD69" s="3" t="s">
        <v>1026</v>
      </c>
    </row>
    <row r="70" spans="1:56" ht="45.75" customHeight="1" x14ac:dyDescent="0.25">
      <c r="A70" s="7" t="s">
        <v>58</v>
      </c>
      <c r="B70" s="2" t="s">
        <v>1027</v>
      </c>
      <c r="C70" s="2" t="s">
        <v>1028</v>
      </c>
      <c r="D70" s="2" t="s">
        <v>1029</v>
      </c>
      <c r="F70" s="3" t="s">
        <v>58</v>
      </c>
      <c r="G70" s="3" t="s">
        <v>59</v>
      </c>
      <c r="H70" s="3" t="s">
        <v>87</v>
      </c>
      <c r="I70" s="3" t="s">
        <v>58</v>
      </c>
      <c r="J70" s="3" t="s">
        <v>60</v>
      </c>
      <c r="K70" s="2" t="s">
        <v>1030</v>
      </c>
      <c r="L70" s="2" t="s">
        <v>1031</v>
      </c>
      <c r="M70" s="3" t="s">
        <v>1032</v>
      </c>
      <c r="O70" s="3" t="s">
        <v>65</v>
      </c>
      <c r="P70" s="3" t="s">
        <v>84</v>
      </c>
      <c r="R70" s="3" t="s">
        <v>67</v>
      </c>
      <c r="S70" s="4">
        <v>9</v>
      </c>
      <c r="T70" s="4">
        <v>11</v>
      </c>
      <c r="U70" s="5" t="s">
        <v>293</v>
      </c>
      <c r="V70" s="5" t="s">
        <v>293</v>
      </c>
      <c r="W70" s="5" t="s">
        <v>1033</v>
      </c>
      <c r="X70" s="5" t="s">
        <v>1033</v>
      </c>
      <c r="Y70" s="4">
        <v>843</v>
      </c>
      <c r="Z70" s="4">
        <v>783</v>
      </c>
      <c r="AA70" s="4">
        <v>1804</v>
      </c>
      <c r="AB70" s="4">
        <v>5</v>
      </c>
      <c r="AC70" s="4">
        <v>9</v>
      </c>
      <c r="AD70" s="4">
        <v>40</v>
      </c>
      <c r="AE70" s="4">
        <v>51</v>
      </c>
      <c r="AF70" s="4">
        <v>18</v>
      </c>
      <c r="AG70" s="4">
        <v>23</v>
      </c>
      <c r="AH70" s="4">
        <v>9</v>
      </c>
      <c r="AI70" s="4">
        <v>9</v>
      </c>
      <c r="AJ70" s="4">
        <v>20</v>
      </c>
      <c r="AK70" s="4">
        <v>24</v>
      </c>
      <c r="AL70" s="4">
        <v>3</v>
      </c>
      <c r="AM70" s="4">
        <v>6</v>
      </c>
      <c r="AN70" s="4">
        <v>2</v>
      </c>
      <c r="AO70" s="4">
        <v>2</v>
      </c>
      <c r="AP70" s="3" t="s">
        <v>58</v>
      </c>
      <c r="AQ70" s="3" t="s">
        <v>58</v>
      </c>
      <c r="AS70" s="6" t="str">
        <f>HYPERLINK("https://creighton-primo.hosted.exlibrisgroup.com/primo-explore/search?tab=default_tab&amp;search_scope=EVERYTHING&amp;vid=01CRU&amp;lang=en_US&amp;offset=0&amp;query=any,contains,991001672499702656","Catalog Record")</f>
        <v>Catalog Record</v>
      </c>
      <c r="AT70" s="6" t="str">
        <f>HYPERLINK("http://www.worldcat.org/oclc/35084242","WorldCat Record")</f>
        <v>WorldCat Record</v>
      </c>
      <c r="AU70" s="3" t="s">
        <v>1034</v>
      </c>
      <c r="AV70" s="3" t="s">
        <v>1035</v>
      </c>
      <c r="AW70" s="3" t="s">
        <v>1036</v>
      </c>
      <c r="AX70" s="3" t="s">
        <v>1036</v>
      </c>
      <c r="AY70" s="3" t="s">
        <v>1037</v>
      </c>
      <c r="AZ70" s="3" t="s">
        <v>74</v>
      </c>
      <c r="BB70" s="3" t="s">
        <v>1038</v>
      </c>
      <c r="BC70" s="3" t="s">
        <v>1039</v>
      </c>
      <c r="BD70" s="3" t="s">
        <v>1040</v>
      </c>
    </row>
    <row r="71" spans="1:56" ht="45.75" customHeight="1" x14ac:dyDescent="0.25">
      <c r="A71" s="7" t="s">
        <v>58</v>
      </c>
      <c r="B71" s="2" t="s">
        <v>1041</v>
      </c>
      <c r="C71" s="2" t="s">
        <v>1042</v>
      </c>
      <c r="D71" s="2" t="s">
        <v>1043</v>
      </c>
      <c r="F71" s="3" t="s">
        <v>58</v>
      </c>
      <c r="G71" s="3" t="s">
        <v>59</v>
      </c>
      <c r="H71" s="3" t="s">
        <v>87</v>
      </c>
      <c r="I71" s="3" t="s">
        <v>58</v>
      </c>
      <c r="J71" s="3" t="s">
        <v>60</v>
      </c>
      <c r="K71" s="2" t="s">
        <v>1044</v>
      </c>
      <c r="L71" s="2" t="s">
        <v>1045</v>
      </c>
      <c r="M71" s="3" t="s">
        <v>713</v>
      </c>
      <c r="O71" s="3" t="s">
        <v>65</v>
      </c>
      <c r="P71" s="3" t="s">
        <v>148</v>
      </c>
      <c r="R71" s="3" t="s">
        <v>67</v>
      </c>
      <c r="S71" s="4">
        <v>2</v>
      </c>
      <c r="T71" s="4">
        <v>2</v>
      </c>
      <c r="U71" s="5" t="s">
        <v>894</v>
      </c>
      <c r="V71" s="5" t="s">
        <v>894</v>
      </c>
      <c r="W71" s="5" t="s">
        <v>1046</v>
      </c>
      <c r="X71" s="5" t="s">
        <v>1046</v>
      </c>
      <c r="Y71" s="4">
        <v>505</v>
      </c>
      <c r="Z71" s="4">
        <v>436</v>
      </c>
      <c r="AA71" s="4">
        <v>439</v>
      </c>
      <c r="AB71" s="4">
        <v>5</v>
      </c>
      <c r="AC71" s="4">
        <v>5</v>
      </c>
      <c r="AD71" s="4">
        <v>16</v>
      </c>
      <c r="AE71" s="4">
        <v>16</v>
      </c>
      <c r="AF71" s="4">
        <v>6</v>
      </c>
      <c r="AG71" s="4">
        <v>6</v>
      </c>
      <c r="AH71" s="4">
        <v>5</v>
      </c>
      <c r="AI71" s="4">
        <v>5</v>
      </c>
      <c r="AJ71" s="4">
        <v>7</v>
      </c>
      <c r="AK71" s="4">
        <v>7</v>
      </c>
      <c r="AL71" s="4">
        <v>3</v>
      </c>
      <c r="AM71" s="4">
        <v>3</v>
      </c>
      <c r="AN71" s="4">
        <v>0</v>
      </c>
      <c r="AO71" s="4">
        <v>0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HYPERLINK("https://creighton-primo.hosted.exlibrisgroup.com/primo-explore/search?tab=default_tab&amp;search_scope=EVERYTHING&amp;vid=01CRU&amp;lang=en_US&amp;offset=0&amp;query=any,contains,991005113589702656","Catalog Record")</f>
        <v>Catalog Record</v>
      </c>
      <c r="AT71" s="6" t="str">
        <f>HYPERLINK("http://www.worldcat.org/oclc/7460180","WorldCat Record")</f>
        <v>WorldCat Record</v>
      </c>
      <c r="AU71" s="3" t="s">
        <v>1047</v>
      </c>
      <c r="AV71" s="3" t="s">
        <v>1048</v>
      </c>
      <c r="AW71" s="3" t="s">
        <v>1049</v>
      </c>
      <c r="AX71" s="3" t="s">
        <v>1049</v>
      </c>
      <c r="AY71" s="3" t="s">
        <v>1050</v>
      </c>
      <c r="AZ71" s="3" t="s">
        <v>74</v>
      </c>
      <c r="BB71" s="3" t="s">
        <v>1051</v>
      </c>
      <c r="BC71" s="3" t="s">
        <v>1052</v>
      </c>
      <c r="BD71" s="3" t="s">
        <v>1053</v>
      </c>
    </row>
    <row r="72" spans="1:56" ht="45.75" customHeight="1" x14ac:dyDescent="0.25">
      <c r="A72" s="7" t="s">
        <v>58</v>
      </c>
      <c r="B72" s="2" t="s">
        <v>1054</v>
      </c>
      <c r="C72" s="2" t="s">
        <v>1055</v>
      </c>
      <c r="D72" s="2" t="s">
        <v>1056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L72" s="2" t="s">
        <v>1057</v>
      </c>
      <c r="M72" s="3" t="s">
        <v>1058</v>
      </c>
      <c r="O72" s="3" t="s">
        <v>65</v>
      </c>
      <c r="P72" s="3" t="s">
        <v>84</v>
      </c>
      <c r="Q72" s="2" t="s">
        <v>1059</v>
      </c>
      <c r="R72" s="3" t="s">
        <v>67</v>
      </c>
      <c r="S72" s="4">
        <v>3</v>
      </c>
      <c r="T72" s="4">
        <v>3</v>
      </c>
      <c r="U72" s="5" t="s">
        <v>1060</v>
      </c>
      <c r="V72" s="5" t="s">
        <v>1060</v>
      </c>
      <c r="W72" s="5" t="s">
        <v>1061</v>
      </c>
      <c r="X72" s="5" t="s">
        <v>1061</v>
      </c>
      <c r="Y72" s="4">
        <v>416</v>
      </c>
      <c r="Z72" s="4">
        <v>376</v>
      </c>
      <c r="AA72" s="4">
        <v>383</v>
      </c>
      <c r="AB72" s="4">
        <v>3</v>
      </c>
      <c r="AC72" s="4">
        <v>3</v>
      </c>
      <c r="AD72" s="4">
        <v>21</v>
      </c>
      <c r="AE72" s="4">
        <v>21</v>
      </c>
      <c r="AF72" s="4">
        <v>7</v>
      </c>
      <c r="AG72" s="4">
        <v>7</v>
      </c>
      <c r="AH72" s="4">
        <v>5</v>
      </c>
      <c r="AI72" s="4">
        <v>5</v>
      </c>
      <c r="AJ72" s="4">
        <v>11</v>
      </c>
      <c r="AK72" s="4">
        <v>11</v>
      </c>
      <c r="AL72" s="4">
        <v>2</v>
      </c>
      <c r="AM72" s="4">
        <v>2</v>
      </c>
      <c r="AN72" s="4">
        <v>0</v>
      </c>
      <c r="AO72" s="4">
        <v>0</v>
      </c>
      <c r="AP72" s="3" t="s">
        <v>58</v>
      </c>
      <c r="AQ72" s="3" t="s">
        <v>87</v>
      </c>
      <c r="AR72" s="6" t="str">
        <f>HYPERLINK("http://catalog.hathitrust.org/Record/002168160","HathiTrust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HYPERLINK("https://creighton-primo.hosted.exlibrisgroup.com/primo-explore/search?tab=default_tab&amp;search_scope=EVERYTHING&amp;vid=01CRU&amp;lang=en_US&amp;offset=0&amp;query=any,contains,991001209259702656","Catalog Record")</f>
        <v>Catalog Record</v>
      </c>
      <c r="AT72" s="6" t="str">
        <f>HYPERLINK("http://www.worldcat.org/oclc/17383669","WorldCat Record")</f>
        <v>WorldCat Record</v>
      </c>
      <c r="AU72" s="3" t="s">
        <v>1062</v>
      </c>
      <c r="AV72" s="3" t="s">
        <v>1063</v>
      </c>
      <c r="AW72" s="3" t="s">
        <v>1064</v>
      </c>
      <c r="AX72" s="3" t="s">
        <v>1064</v>
      </c>
      <c r="AY72" s="3" t="s">
        <v>1065</v>
      </c>
      <c r="AZ72" s="3" t="s">
        <v>74</v>
      </c>
      <c r="BB72" s="3" t="s">
        <v>1066</v>
      </c>
      <c r="BC72" s="3" t="s">
        <v>1067</v>
      </c>
      <c r="BD72" s="3" t="s">
        <v>1068</v>
      </c>
    </row>
    <row r="73" spans="1:56" ht="45.75" customHeight="1" x14ac:dyDescent="0.25">
      <c r="A73" s="7" t="s">
        <v>58</v>
      </c>
      <c r="B73" s="2" t="s">
        <v>1069</v>
      </c>
      <c r="C73" s="2" t="s">
        <v>1070</v>
      </c>
      <c r="D73" s="2" t="s">
        <v>1071</v>
      </c>
      <c r="F73" s="3" t="s">
        <v>58</v>
      </c>
      <c r="G73" s="3" t="s">
        <v>59</v>
      </c>
      <c r="H73" s="3" t="s">
        <v>87</v>
      </c>
      <c r="I73" s="3" t="s">
        <v>58</v>
      </c>
      <c r="J73" s="3" t="s">
        <v>60</v>
      </c>
      <c r="L73" s="2" t="s">
        <v>1072</v>
      </c>
      <c r="M73" s="3" t="s">
        <v>908</v>
      </c>
      <c r="O73" s="3" t="s">
        <v>65</v>
      </c>
      <c r="P73" s="3" t="s">
        <v>84</v>
      </c>
      <c r="Q73" s="2" t="s">
        <v>1073</v>
      </c>
      <c r="R73" s="3" t="s">
        <v>67</v>
      </c>
      <c r="S73" s="4">
        <v>2</v>
      </c>
      <c r="T73" s="4">
        <v>4</v>
      </c>
      <c r="U73" s="5" t="s">
        <v>1074</v>
      </c>
      <c r="V73" s="5" t="s">
        <v>1075</v>
      </c>
      <c r="W73" s="5" t="s">
        <v>715</v>
      </c>
      <c r="X73" s="5" t="s">
        <v>715</v>
      </c>
      <c r="Y73" s="4">
        <v>406</v>
      </c>
      <c r="Z73" s="4">
        <v>353</v>
      </c>
      <c r="AA73" s="4">
        <v>385</v>
      </c>
      <c r="AB73" s="4">
        <v>4</v>
      </c>
      <c r="AC73" s="4">
        <v>4</v>
      </c>
      <c r="AD73" s="4">
        <v>20</v>
      </c>
      <c r="AE73" s="4">
        <v>21</v>
      </c>
      <c r="AF73" s="4">
        <v>8</v>
      </c>
      <c r="AG73" s="4">
        <v>8</v>
      </c>
      <c r="AH73" s="4">
        <v>4</v>
      </c>
      <c r="AI73" s="4">
        <v>5</v>
      </c>
      <c r="AJ73" s="4">
        <v>11</v>
      </c>
      <c r="AK73" s="4">
        <v>12</v>
      </c>
      <c r="AL73" s="4">
        <v>2</v>
      </c>
      <c r="AM73" s="4">
        <v>2</v>
      </c>
      <c r="AN73" s="4">
        <v>0</v>
      </c>
      <c r="AO73" s="4">
        <v>0</v>
      </c>
      <c r="AP73" s="3" t="s">
        <v>58</v>
      </c>
      <c r="AQ73" s="3" t="s">
        <v>87</v>
      </c>
      <c r="AR73" s="6" t="str">
        <f>HYPERLINK("http://catalog.hathitrust.org/Record/000686930","HathiTrust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HYPERLINK("https://creighton-primo.hosted.exlibrisgroup.com/primo-explore/search?tab=default_tab&amp;search_scope=EVERYTHING&amp;vid=01CRU&amp;lang=en_US&amp;offset=0&amp;query=any,contains,991001782279702656","Catalog Record")</f>
        <v>Catalog Record</v>
      </c>
      <c r="AT73" s="6" t="str">
        <f>HYPERLINK("http://www.worldcat.org/oclc/5491627","WorldCat Record")</f>
        <v>WorldCat Record</v>
      </c>
      <c r="AU73" s="3" t="s">
        <v>1076</v>
      </c>
      <c r="AV73" s="3" t="s">
        <v>1077</v>
      </c>
      <c r="AW73" s="3" t="s">
        <v>1078</v>
      </c>
      <c r="AX73" s="3" t="s">
        <v>1078</v>
      </c>
      <c r="AY73" s="3" t="s">
        <v>1079</v>
      </c>
      <c r="AZ73" s="3" t="s">
        <v>74</v>
      </c>
      <c r="BB73" s="3" t="s">
        <v>1080</v>
      </c>
      <c r="BC73" s="3" t="s">
        <v>1081</v>
      </c>
      <c r="BD73" s="3" t="s">
        <v>1082</v>
      </c>
    </row>
    <row r="74" spans="1:56" ht="45.75" customHeight="1" x14ac:dyDescent="0.25">
      <c r="A74" s="7" t="s">
        <v>58</v>
      </c>
      <c r="B74" s="2" t="s">
        <v>1083</v>
      </c>
      <c r="C74" s="2" t="s">
        <v>1084</v>
      </c>
      <c r="D74" s="2" t="s">
        <v>1085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1086</v>
      </c>
      <c r="L74" s="2" t="s">
        <v>1087</v>
      </c>
      <c r="M74" s="3" t="s">
        <v>1088</v>
      </c>
      <c r="N74" s="2" t="s">
        <v>64</v>
      </c>
      <c r="O74" s="3" t="s">
        <v>65</v>
      </c>
      <c r="P74" s="3" t="s">
        <v>84</v>
      </c>
      <c r="R74" s="3" t="s">
        <v>67</v>
      </c>
      <c r="S74" s="4">
        <v>8</v>
      </c>
      <c r="T74" s="4">
        <v>8</v>
      </c>
      <c r="U74" s="5" t="s">
        <v>910</v>
      </c>
      <c r="V74" s="5" t="s">
        <v>910</v>
      </c>
      <c r="W74" s="5" t="s">
        <v>1089</v>
      </c>
      <c r="X74" s="5" t="s">
        <v>1089</v>
      </c>
      <c r="Y74" s="4">
        <v>273</v>
      </c>
      <c r="Z74" s="4">
        <v>241</v>
      </c>
      <c r="AA74" s="4">
        <v>509</v>
      </c>
      <c r="AB74" s="4">
        <v>2</v>
      </c>
      <c r="AC74" s="4">
        <v>8</v>
      </c>
      <c r="AD74" s="4">
        <v>8</v>
      </c>
      <c r="AE74" s="4">
        <v>25</v>
      </c>
      <c r="AF74" s="4">
        <v>2</v>
      </c>
      <c r="AG74" s="4">
        <v>8</v>
      </c>
      <c r="AH74" s="4">
        <v>2</v>
      </c>
      <c r="AI74" s="4">
        <v>4</v>
      </c>
      <c r="AJ74" s="4">
        <v>5</v>
      </c>
      <c r="AK74" s="4">
        <v>10</v>
      </c>
      <c r="AL74" s="4">
        <v>1</v>
      </c>
      <c r="AM74" s="4">
        <v>7</v>
      </c>
      <c r="AN74" s="4">
        <v>0</v>
      </c>
      <c r="AO74" s="4">
        <v>0</v>
      </c>
      <c r="AP74" s="3" t="s">
        <v>58</v>
      </c>
      <c r="AQ74" s="3" t="s">
        <v>87</v>
      </c>
      <c r="AR74" s="6" t="str">
        <f>HYPERLINK("http://catalog.hathitrust.org/Record/000650421","HathiTrust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HYPERLINK("https://creighton-primo.hosted.exlibrisgroup.com/primo-explore/search?tab=default_tab&amp;search_scope=EVERYTHING&amp;vid=01CRU&amp;lang=en_US&amp;offset=0&amp;query=any,contains,991000472359702656","Catalog Record")</f>
        <v>Catalog Record</v>
      </c>
      <c r="AT74" s="6" t="str">
        <f>HYPERLINK("http://www.worldcat.org/oclc/10998517","WorldCat Record")</f>
        <v>WorldCat Record</v>
      </c>
      <c r="AU74" s="3" t="s">
        <v>1090</v>
      </c>
      <c r="AV74" s="3" t="s">
        <v>1091</v>
      </c>
      <c r="AW74" s="3" t="s">
        <v>1092</v>
      </c>
      <c r="AX74" s="3" t="s">
        <v>1092</v>
      </c>
      <c r="AY74" s="3" t="s">
        <v>1093</v>
      </c>
      <c r="AZ74" s="3" t="s">
        <v>74</v>
      </c>
      <c r="BB74" s="3" t="s">
        <v>1094</v>
      </c>
      <c r="BC74" s="3" t="s">
        <v>1095</v>
      </c>
      <c r="BD74" s="3" t="s">
        <v>1096</v>
      </c>
    </row>
    <row r="75" spans="1:56" ht="45.75" customHeight="1" x14ac:dyDescent="0.25">
      <c r="A75" s="7" t="s">
        <v>58</v>
      </c>
      <c r="B75" s="2" t="s">
        <v>1097</v>
      </c>
      <c r="C75" s="2" t="s">
        <v>1098</v>
      </c>
      <c r="D75" s="2" t="s">
        <v>1099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1100</v>
      </c>
      <c r="L75" s="2" t="s">
        <v>1101</v>
      </c>
      <c r="M75" s="3" t="s">
        <v>713</v>
      </c>
      <c r="O75" s="3" t="s">
        <v>65</v>
      </c>
      <c r="P75" s="3" t="s">
        <v>84</v>
      </c>
      <c r="R75" s="3" t="s">
        <v>67</v>
      </c>
      <c r="S75" s="4">
        <v>3</v>
      </c>
      <c r="T75" s="4">
        <v>3</v>
      </c>
      <c r="U75" s="5" t="s">
        <v>1102</v>
      </c>
      <c r="V75" s="5" t="s">
        <v>1102</v>
      </c>
      <c r="W75" s="5" t="s">
        <v>1103</v>
      </c>
      <c r="X75" s="5" t="s">
        <v>1103</v>
      </c>
      <c r="Y75" s="4">
        <v>502</v>
      </c>
      <c r="Z75" s="4">
        <v>422</v>
      </c>
      <c r="AA75" s="4">
        <v>428</v>
      </c>
      <c r="AB75" s="4">
        <v>4</v>
      </c>
      <c r="AC75" s="4">
        <v>4</v>
      </c>
      <c r="AD75" s="4">
        <v>20</v>
      </c>
      <c r="AE75" s="4">
        <v>20</v>
      </c>
      <c r="AF75" s="4">
        <v>8</v>
      </c>
      <c r="AG75" s="4">
        <v>8</v>
      </c>
      <c r="AH75" s="4">
        <v>6</v>
      </c>
      <c r="AI75" s="4">
        <v>6</v>
      </c>
      <c r="AJ75" s="4">
        <v>8</v>
      </c>
      <c r="AK75" s="4">
        <v>8</v>
      </c>
      <c r="AL75" s="4">
        <v>3</v>
      </c>
      <c r="AM75" s="4">
        <v>3</v>
      </c>
      <c r="AN75" s="4">
        <v>0</v>
      </c>
      <c r="AO75" s="4">
        <v>0</v>
      </c>
      <c r="AP75" s="3" t="s">
        <v>58</v>
      </c>
      <c r="AQ75" s="3" t="s">
        <v>87</v>
      </c>
      <c r="AR75" s="6" t="str">
        <f>HYPERLINK("http://catalog.hathitrust.org/Record/000473412","HathiTrust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HYPERLINK("https://creighton-primo.hosted.exlibrisgroup.com/primo-explore/search?tab=default_tab&amp;search_scope=EVERYTHING&amp;vid=01CRU&amp;lang=en_US&amp;offset=0&amp;query=any,contains,991005130879702656","Catalog Record")</f>
        <v>Catalog Record</v>
      </c>
      <c r="AT75" s="6" t="str">
        <f>HYPERLINK("http://www.worldcat.org/oclc/7572361","WorldCat Record")</f>
        <v>WorldCat Record</v>
      </c>
      <c r="AU75" s="3" t="s">
        <v>1104</v>
      </c>
      <c r="AV75" s="3" t="s">
        <v>1105</v>
      </c>
      <c r="AW75" s="3" t="s">
        <v>1106</v>
      </c>
      <c r="AX75" s="3" t="s">
        <v>1106</v>
      </c>
      <c r="AY75" s="3" t="s">
        <v>1107</v>
      </c>
      <c r="AZ75" s="3" t="s">
        <v>74</v>
      </c>
      <c r="BB75" s="3" t="s">
        <v>1108</v>
      </c>
      <c r="BC75" s="3" t="s">
        <v>1109</v>
      </c>
      <c r="BD75" s="3" t="s">
        <v>1110</v>
      </c>
    </row>
    <row r="76" spans="1:56" ht="45.75" customHeight="1" x14ac:dyDescent="0.25">
      <c r="A76" s="7" t="s">
        <v>58</v>
      </c>
      <c r="B76" s="2" t="s">
        <v>1111</v>
      </c>
      <c r="C76" s="2" t="s">
        <v>1112</v>
      </c>
      <c r="D76" s="2" t="s">
        <v>1113</v>
      </c>
      <c r="F76" s="3" t="s">
        <v>58</v>
      </c>
      <c r="G76" s="3" t="s">
        <v>59</v>
      </c>
      <c r="H76" s="3" t="s">
        <v>87</v>
      </c>
      <c r="I76" s="3" t="s">
        <v>58</v>
      </c>
      <c r="J76" s="3" t="s">
        <v>60</v>
      </c>
      <c r="L76" s="2" t="s">
        <v>1114</v>
      </c>
      <c r="M76" s="3" t="s">
        <v>1088</v>
      </c>
      <c r="O76" s="3" t="s">
        <v>65</v>
      </c>
      <c r="P76" s="3" t="s">
        <v>84</v>
      </c>
      <c r="Q76" s="2" t="s">
        <v>1115</v>
      </c>
      <c r="R76" s="3" t="s">
        <v>67</v>
      </c>
      <c r="S76" s="4">
        <v>5</v>
      </c>
      <c r="T76" s="4">
        <v>11</v>
      </c>
      <c r="U76" s="5" t="s">
        <v>560</v>
      </c>
      <c r="V76" s="5" t="s">
        <v>1116</v>
      </c>
      <c r="W76" s="5" t="s">
        <v>1046</v>
      </c>
      <c r="X76" s="5" t="s">
        <v>1046</v>
      </c>
      <c r="Y76" s="4">
        <v>451</v>
      </c>
      <c r="Z76" s="4">
        <v>381</v>
      </c>
      <c r="AA76" s="4">
        <v>388</v>
      </c>
      <c r="AB76" s="4">
        <v>4</v>
      </c>
      <c r="AC76" s="4">
        <v>4</v>
      </c>
      <c r="AD76" s="4">
        <v>16</v>
      </c>
      <c r="AE76" s="4">
        <v>16</v>
      </c>
      <c r="AF76" s="4">
        <v>4</v>
      </c>
      <c r="AG76" s="4">
        <v>4</v>
      </c>
      <c r="AH76" s="4">
        <v>5</v>
      </c>
      <c r="AI76" s="4">
        <v>5</v>
      </c>
      <c r="AJ76" s="4">
        <v>9</v>
      </c>
      <c r="AK76" s="4">
        <v>9</v>
      </c>
      <c r="AL76" s="4">
        <v>2</v>
      </c>
      <c r="AM76" s="4">
        <v>2</v>
      </c>
      <c r="AN76" s="4">
        <v>0</v>
      </c>
      <c r="AO76" s="4">
        <v>0</v>
      </c>
      <c r="AP76" s="3" t="s">
        <v>58</v>
      </c>
      <c r="AQ76" s="3" t="s">
        <v>87</v>
      </c>
      <c r="AR76" s="6" t="str">
        <f>HYPERLINK("http://catalog.hathitrust.org/Record/004401250","HathiTrust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HYPERLINK("https://creighton-primo.hosted.exlibrisgroup.com/primo-explore/search?tab=default_tab&amp;search_scope=EVERYTHING&amp;vid=01CRU&amp;lang=en_US&amp;offset=0&amp;query=any,contains,991001782639702656","Catalog Record")</f>
        <v>Catalog Record</v>
      </c>
      <c r="AT76" s="6" t="str">
        <f>HYPERLINK("http://www.worldcat.org/oclc/12080452","WorldCat Record")</f>
        <v>WorldCat Record</v>
      </c>
      <c r="AU76" s="3" t="s">
        <v>1117</v>
      </c>
      <c r="AV76" s="3" t="s">
        <v>1118</v>
      </c>
      <c r="AW76" s="3" t="s">
        <v>1119</v>
      </c>
      <c r="AX76" s="3" t="s">
        <v>1119</v>
      </c>
      <c r="AY76" s="3" t="s">
        <v>1120</v>
      </c>
      <c r="AZ76" s="3" t="s">
        <v>74</v>
      </c>
      <c r="BB76" s="3" t="s">
        <v>1121</v>
      </c>
      <c r="BC76" s="3" t="s">
        <v>1122</v>
      </c>
      <c r="BD76" s="3" t="s">
        <v>1123</v>
      </c>
    </row>
    <row r="77" spans="1:56" ht="45.75" customHeight="1" x14ac:dyDescent="0.25">
      <c r="A77" s="7" t="s">
        <v>58</v>
      </c>
      <c r="B77" s="2" t="s">
        <v>1124</v>
      </c>
      <c r="C77" s="2" t="s">
        <v>1125</v>
      </c>
      <c r="D77" s="2" t="s">
        <v>1126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1127</v>
      </c>
      <c r="L77" s="2" t="s">
        <v>1128</v>
      </c>
      <c r="M77" s="3" t="s">
        <v>867</v>
      </c>
      <c r="O77" s="3" t="s">
        <v>65</v>
      </c>
      <c r="P77" s="3" t="s">
        <v>84</v>
      </c>
      <c r="R77" s="3" t="s">
        <v>67</v>
      </c>
      <c r="S77" s="4">
        <v>8</v>
      </c>
      <c r="T77" s="4">
        <v>8</v>
      </c>
      <c r="U77" s="5" t="s">
        <v>1129</v>
      </c>
      <c r="V77" s="5" t="s">
        <v>1129</v>
      </c>
      <c r="W77" s="5" t="s">
        <v>1130</v>
      </c>
      <c r="X77" s="5" t="s">
        <v>1130</v>
      </c>
      <c r="Y77" s="4">
        <v>561</v>
      </c>
      <c r="Z77" s="4">
        <v>510</v>
      </c>
      <c r="AA77" s="4">
        <v>516</v>
      </c>
      <c r="AB77" s="4">
        <v>7</v>
      </c>
      <c r="AC77" s="4">
        <v>7</v>
      </c>
      <c r="AD77" s="4">
        <v>26</v>
      </c>
      <c r="AE77" s="4">
        <v>26</v>
      </c>
      <c r="AF77" s="4">
        <v>10</v>
      </c>
      <c r="AG77" s="4">
        <v>10</v>
      </c>
      <c r="AH77" s="4">
        <v>4</v>
      </c>
      <c r="AI77" s="4">
        <v>4</v>
      </c>
      <c r="AJ77" s="4">
        <v>12</v>
      </c>
      <c r="AK77" s="4">
        <v>12</v>
      </c>
      <c r="AL77" s="4">
        <v>6</v>
      </c>
      <c r="AM77" s="4">
        <v>6</v>
      </c>
      <c r="AN77" s="4">
        <v>0</v>
      </c>
      <c r="AO77" s="4">
        <v>0</v>
      </c>
      <c r="AP77" s="3" t="s">
        <v>58</v>
      </c>
      <c r="AQ77" s="3" t="s">
        <v>87</v>
      </c>
      <c r="AR77" s="6" t="str">
        <f>HYPERLINK("http://catalog.hathitrust.org/Record/002501232","HathiTrust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HYPERLINK("https://creighton-primo.hosted.exlibrisgroup.com/primo-explore/search?tab=default_tab&amp;search_scope=EVERYTHING&amp;vid=01CRU&amp;lang=en_US&amp;offset=0&amp;query=any,contains,991001887929702656","Catalog Record")</f>
        <v>Catalog Record</v>
      </c>
      <c r="AT77" s="6" t="str">
        <f>HYPERLINK("http://www.worldcat.org/oclc/23769237","WorldCat Record")</f>
        <v>WorldCat Record</v>
      </c>
      <c r="AU77" s="3" t="s">
        <v>1131</v>
      </c>
      <c r="AV77" s="3" t="s">
        <v>1132</v>
      </c>
      <c r="AW77" s="3" t="s">
        <v>1133</v>
      </c>
      <c r="AX77" s="3" t="s">
        <v>1133</v>
      </c>
      <c r="AY77" s="3" t="s">
        <v>1134</v>
      </c>
      <c r="AZ77" s="3" t="s">
        <v>74</v>
      </c>
      <c r="BB77" s="3" t="s">
        <v>1135</v>
      </c>
      <c r="BC77" s="3" t="s">
        <v>1136</v>
      </c>
      <c r="BD77" s="3" t="s">
        <v>1137</v>
      </c>
    </row>
    <row r="78" spans="1:56" ht="45.75" customHeight="1" x14ac:dyDescent="0.25">
      <c r="A78" s="7" t="s">
        <v>58</v>
      </c>
      <c r="B78" s="2" t="s">
        <v>1138</v>
      </c>
      <c r="C78" s="2" t="s">
        <v>1139</v>
      </c>
      <c r="D78" s="2" t="s">
        <v>1140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L78" s="2" t="s">
        <v>1017</v>
      </c>
      <c r="M78" s="3" t="s">
        <v>557</v>
      </c>
      <c r="O78" s="3" t="s">
        <v>65</v>
      </c>
      <c r="P78" s="3" t="s">
        <v>84</v>
      </c>
      <c r="R78" s="3" t="s">
        <v>67</v>
      </c>
      <c r="S78" s="4">
        <v>19</v>
      </c>
      <c r="T78" s="4">
        <v>19</v>
      </c>
      <c r="U78" s="5" t="s">
        <v>1141</v>
      </c>
      <c r="V78" s="5" t="s">
        <v>1141</v>
      </c>
      <c r="W78" s="5" t="s">
        <v>1019</v>
      </c>
      <c r="X78" s="5" t="s">
        <v>1019</v>
      </c>
      <c r="Y78" s="4">
        <v>267</v>
      </c>
      <c r="Z78" s="4">
        <v>224</v>
      </c>
      <c r="AA78" s="4">
        <v>230</v>
      </c>
      <c r="AB78" s="4">
        <v>3</v>
      </c>
      <c r="AC78" s="4">
        <v>3</v>
      </c>
      <c r="AD78" s="4">
        <v>9</v>
      </c>
      <c r="AE78" s="4">
        <v>9</v>
      </c>
      <c r="AF78" s="4">
        <v>1</v>
      </c>
      <c r="AG78" s="4">
        <v>1</v>
      </c>
      <c r="AH78" s="4">
        <v>3</v>
      </c>
      <c r="AI78" s="4">
        <v>3</v>
      </c>
      <c r="AJ78" s="4">
        <v>5</v>
      </c>
      <c r="AK78" s="4">
        <v>5</v>
      </c>
      <c r="AL78" s="4">
        <v>2</v>
      </c>
      <c r="AM78" s="4">
        <v>2</v>
      </c>
      <c r="AN78" s="4">
        <v>0</v>
      </c>
      <c r="AO78" s="4">
        <v>0</v>
      </c>
      <c r="AP78" s="3" t="s">
        <v>58</v>
      </c>
      <c r="AQ78" s="3" t="s">
        <v>87</v>
      </c>
      <c r="AR78" s="6" t="str">
        <f>HYPERLINK("http://catalog.hathitrust.org/Record/002597377","HathiTrust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HYPERLINK("https://creighton-primo.hosted.exlibrisgroup.com/primo-explore/search?tab=default_tab&amp;search_scope=EVERYTHING&amp;vid=01CRU&amp;lang=en_US&amp;offset=0&amp;query=any,contains,991002050679702656","Catalog Record")</f>
        <v>Catalog Record</v>
      </c>
      <c r="AT78" s="6" t="str">
        <f>HYPERLINK("http://www.worldcat.org/oclc/26161681","WorldCat Record")</f>
        <v>WorldCat Record</v>
      </c>
      <c r="AU78" s="3" t="s">
        <v>1142</v>
      </c>
      <c r="AV78" s="3" t="s">
        <v>1143</v>
      </c>
      <c r="AW78" s="3" t="s">
        <v>1144</v>
      </c>
      <c r="AX78" s="3" t="s">
        <v>1144</v>
      </c>
      <c r="AY78" s="3" t="s">
        <v>1145</v>
      </c>
      <c r="AZ78" s="3" t="s">
        <v>74</v>
      </c>
      <c r="BB78" s="3" t="s">
        <v>1146</v>
      </c>
      <c r="BC78" s="3" t="s">
        <v>1147</v>
      </c>
      <c r="BD78" s="3" t="s">
        <v>1148</v>
      </c>
    </row>
    <row r="79" spans="1:56" ht="45.75" customHeight="1" x14ac:dyDescent="0.25">
      <c r="A79" s="7" t="s">
        <v>58</v>
      </c>
      <c r="B79" s="2" t="s">
        <v>1149</v>
      </c>
      <c r="C79" s="2" t="s">
        <v>1150</v>
      </c>
      <c r="D79" s="2" t="s">
        <v>1151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1152</v>
      </c>
      <c r="L79" s="2" t="s">
        <v>1153</v>
      </c>
      <c r="M79" s="3" t="s">
        <v>923</v>
      </c>
      <c r="O79" s="3" t="s">
        <v>65</v>
      </c>
      <c r="P79" s="3" t="s">
        <v>132</v>
      </c>
      <c r="R79" s="3" t="s">
        <v>67</v>
      </c>
      <c r="S79" s="4">
        <v>3</v>
      </c>
      <c r="T79" s="4">
        <v>3</v>
      </c>
      <c r="U79" s="5" t="s">
        <v>1154</v>
      </c>
      <c r="V79" s="5" t="s">
        <v>1154</v>
      </c>
      <c r="W79" s="5" t="s">
        <v>1155</v>
      </c>
      <c r="X79" s="5" t="s">
        <v>1155</v>
      </c>
      <c r="Y79" s="4">
        <v>205</v>
      </c>
      <c r="Z79" s="4">
        <v>185</v>
      </c>
      <c r="AA79" s="4">
        <v>192</v>
      </c>
      <c r="AB79" s="4">
        <v>4</v>
      </c>
      <c r="AC79" s="4">
        <v>4</v>
      </c>
      <c r="AD79" s="4">
        <v>8</v>
      </c>
      <c r="AE79" s="4">
        <v>8</v>
      </c>
      <c r="AF79" s="4">
        <v>2</v>
      </c>
      <c r="AG79" s="4">
        <v>2</v>
      </c>
      <c r="AH79" s="4">
        <v>1</v>
      </c>
      <c r="AI79" s="4">
        <v>1</v>
      </c>
      <c r="AJ79" s="4">
        <v>3</v>
      </c>
      <c r="AK79" s="4">
        <v>3</v>
      </c>
      <c r="AL79" s="4">
        <v>3</v>
      </c>
      <c r="AM79" s="4">
        <v>3</v>
      </c>
      <c r="AN79" s="4">
        <v>0</v>
      </c>
      <c r="AO79" s="4">
        <v>0</v>
      </c>
      <c r="AP79" s="3" t="s">
        <v>58</v>
      </c>
      <c r="AQ79" s="3" t="s">
        <v>87</v>
      </c>
      <c r="AR79" s="6" t="str">
        <f>HYPERLINK("http://catalog.hathitrust.org/Record/000190416","HathiTrust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HYPERLINK("https://creighton-primo.hosted.exlibrisgroup.com/primo-explore/search?tab=default_tab&amp;search_scope=EVERYTHING&amp;vid=01CRU&amp;lang=en_US&amp;offset=0&amp;query=any,contains,991005181839702656","Catalog Record")</f>
        <v>Catalog Record</v>
      </c>
      <c r="AT79" s="6" t="str">
        <f>HYPERLINK("http://www.worldcat.org/oclc/7946732","WorldCat Record")</f>
        <v>WorldCat Record</v>
      </c>
      <c r="AU79" s="3" t="s">
        <v>1156</v>
      </c>
      <c r="AV79" s="3" t="s">
        <v>1157</v>
      </c>
      <c r="AW79" s="3" t="s">
        <v>1158</v>
      </c>
      <c r="AX79" s="3" t="s">
        <v>1158</v>
      </c>
      <c r="AY79" s="3" t="s">
        <v>1159</v>
      </c>
      <c r="AZ79" s="3" t="s">
        <v>74</v>
      </c>
      <c r="BB79" s="3" t="s">
        <v>1160</v>
      </c>
      <c r="BC79" s="3" t="s">
        <v>1161</v>
      </c>
      <c r="BD79" s="3" t="s">
        <v>1162</v>
      </c>
    </row>
    <row r="80" spans="1:56" ht="45.75" customHeight="1" x14ac:dyDescent="0.25">
      <c r="A80" s="7" t="s">
        <v>58</v>
      </c>
      <c r="B80" s="2" t="s">
        <v>1163</v>
      </c>
      <c r="C80" s="2" t="s">
        <v>1164</v>
      </c>
      <c r="D80" s="2" t="s">
        <v>1165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1166</v>
      </c>
      <c r="L80" s="2" t="s">
        <v>1167</v>
      </c>
      <c r="M80" s="3" t="s">
        <v>937</v>
      </c>
      <c r="N80" s="2" t="s">
        <v>1168</v>
      </c>
      <c r="O80" s="3" t="s">
        <v>65</v>
      </c>
      <c r="P80" s="3" t="s">
        <v>84</v>
      </c>
      <c r="R80" s="3" t="s">
        <v>67</v>
      </c>
      <c r="S80" s="4">
        <v>4</v>
      </c>
      <c r="T80" s="4">
        <v>4</v>
      </c>
      <c r="U80" s="5" t="s">
        <v>910</v>
      </c>
      <c r="V80" s="5" t="s">
        <v>910</v>
      </c>
      <c r="W80" s="5" t="s">
        <v>1089</v>
      </c>
      <c r="X80" s="5" t="s">
        <v>1089</v>
      </c>
      <c r="Y80" s="4">
        <v>33</v>
      </c>
      <c r="Z80" s="4">
        <v>31</v>
      </c>
      <c r="AA80" s="4">
        <v>477</v>
      </c>
      <c r="AB80" s="4">
        <v>1</v>
      </c>
      <c r="AC80" s="4">
        <v>4</v>
      </c>
      <c r="AD80" s="4">
        <v>0</v>
      </c>
      <c r="AE80" s="4">
        <v>4</v>
      </c>
      <c r="AF80" s="4">
        <v>0</v>
      </c>
      <c r="AG80" s="4">
        <v>2</v>
      </c>
      <c r="AH80" s="4">
        <v>0</v>
      </c>
      <c r="AI80" s="4">
        <v>1</v>
      </c>
      <c r="AJ80" s="4">
        <v>0</v>
      </c>
      <c r="AK80" s="4">
        <v>0</v>
      </c>
      <c r="AL80" s="4">
        <v>0</v>
      </c>
      <c r="AM80" s="4">
        <v>1</v>
      </c>
      <c r="AN80" s="4">
        <v>0</v>
      </c>
      <c r="AO80" s="4">
        <v>0</v>
      </c>
      <c r="AP80" s="3" t="s">
        <v>58</v>
      </c>
      <c r="AQ80" s="3" t="s">
        <v>58</v>
      </c>
      <c r="AS80" s="6" t="str">
        <f>HYPERLINK("https://creighton-primo.hosted.exlibrisgroup.com/primo-explore/search?tab=default_tab&amp;search_scope=EVERYTHING&amp;vid=01CRU&amp;lang=en_US&amp;offset=0&amp;query=any,contains,991004514419702656","Catalog Record")</f>
        <v>Catalog Record</v>
      </c>
      <c r="AT80" s="6" t="str">
        <f>HYPERLINK("http://www.worldcat.org/oclc/3779245","WorldCat Record")</f>
        <v>WorldCat Record</v>
      </c>
      <c r="AU80" s="3" t="s">
        <v>1169</v>
      </c>
      <c r="AV80" s="3" t="s">
        <v>1170</v>
      </c>
      <c r="AW80" s="3" t="s">
        <v>1171</v>
      </c>
      <c r="AX80" s="3" t="s">
        <v>1171</v>
      </c>
      <c r="AY80" s="3" t="s">
        <v>1172</v>
      </c>
      <c r="AZ80" s="3" t="s">
        <v>74</v>
      </c>
      <c r="BB80" s="3" t="s">
        <v>1173</v>
      </c>
      <c r="BC80" s="3" t="s">
        <v>1174</v>
      </c>
      <c r="BD80" s="3" t="s">
        <v>1175</v>
      </c>
    </row>
    <row r="81" spans="1:56" ht="45.75" customHeight="1" x14ac:dyDescent="0.25">
      <c r="A81" s="7" t="s">
        <v>58</v>
      </c>
      <c r="B81" s="2" t="s">
        <v>1176</v>
      </c>
      <c r="C81" s="2" t="s">
        <v>1177</v>
      </c>
      <c r="D81" s="2" t="s">
        <v>1178</v>
      </c>
      <c r="F81" s="3" t="s">
        <v>58</v>
      </c>
      <c r="G81" s="3" t="s">
        <v>59</v>
      </c>
      <c r="H81" s="3" t="s">
        <v>87</v>
      </c>
      <c r="I81" s="3" t="s">
        <v>58</v>
      </c>
      <c r="J81" s="3" t="s">
        <v>60</v>
      </c>
      <c r="K81" s="2" t="s">
        <v>1179</v>
      </c>
      <c r="L81" s="2" t="s">
        <v>1180</v>
      </c>
      <c r="M81" s="3" t="s">
        <v>1088</v>
      </c>
      <c r="O81" s="3" t="s">
        <v>65</v>
      </c>
      <c r="P81" s="3" t="s">
        <v>84</v>
      </c>
      <c r="Q81" s="2" t="s">
        <v>1181</v>
      </c>
      <c r="R81" s="3" t="s">
        <v>67</v>
      </c>
      <c r="S81" s="4">
        <v>16</v>
      </c>
      <c r="T81" s="4">
        <v>16</v>
      </c>
      <c r="U81" s="5" t="s">
        <v>1182</v>
      </c>
      <c r="V81" s="5" t="s">
        <v>1182</v>
      </c>
      <c r="W81" s="5" t="s">
        <v>1183</v>
      </c>
      <c r="X81" s="5" t="s">
        <v>1183</v>
      </c>
      <c r="Y81" s="4">
        <v>548</v>
      </c>
      <c r="Z81" s="4">
        <v>467</v>
      </c>
      <c r="AA81" s="4">
        <v>474</v>
      </c>
      <c r="AB81" s="4">
        <v>5</v>
      </c>
      <c r="AC81" s="4">
        <v>5</v>
      </c>
      <c r="AD81" s="4">
        <v>27</v>
      </c>
      <c r="AE81" s="4">
        <v>27</v>
      </c>
      <c r="AF81" s="4">
        <v>10</v>
      </c>
      <c r="AG81" s="4">
        <v>10</v>
      </c>
      <c r="AH81" s="4">
        <v>5</v>
      </c>
      <c r="AI81" s="4">
        <v>5</v>
      </c>
      <c r="AJ81" s="4">
        <v>11</v>
      </c>
      <c r="AK81" s="4">
        <v>11</v>
      </c>
      <c r="AL81" s="4">
        <v>3</v>
      </c>
      <c r="AM81" s="4">
        <v>3</v>
      </c>
      <c r="AN81" s="4">
        <v>4</v>
      </c>
      <c r="AO81" s="4">
        <v>4</v>
      </c>
      <c r="AP81" s="3" t="s">
        <v>58</v>
      </c>
      <c r="AQ81" s="3" t="s">
        <v>58</v>
      </c>
      <c r="AS81" s="6" t="str">
        <f>HYPERLINK("https://creighton-primo.hosted.exlibrisgroup.com/primo-explore/search?tab=default_tab&amp;search_scope=EVERYTHING&amp;vid=01CRU&amp;lang=en_US&amp;offset=0&amp;query=any,contains,991000662829702656","Catalog Record")</f>
        <v>Catalog Record</v>
      </c>
      <c r="AT81" s="6" t="str">
        <f>HYPERLINK("http://www.worldcat.org/oclc/12262178","WorldCat Record")</f>
        <v>WorldCat Record</v>
      </c>
      <c r="AU81" s="3" t="s">
        <v>1184</v>
      </c>
      <c r="AV81" s="3" t="s">
        <v>1185</v>
      </c>
      <c r="AW81" s="3" t="s">
        <v>1186</v>
      </c>
      <c r="AX81" s="3" t="s">
        <v>1186</v>
      </c>
      <c r="AY81" s="3" t="s">
        <v>1187</v>
      </c>
      <c r="AZ81" s="3" t="s">
        <v>74</v>
      </c>
      <c r="BB81" s="3" t="s">
        <v>1188</v>
      </c>
      <c r="BC81" s="3" t="s">
        <v>1189</v>
      </c>
      <c r="BD81" s="3" t="s">
        <v>1190</v>
      </c>
    </row>
    <row r="82" spans="1:56" ht="45.75" customHeight="1" x14ac:dyDescent="0.25">
      <c r="A82" s="7" t="s">
        <v>58</v>
      </c>
      <c r="B82" s="2" t="s">
        <v>1191</v>
      </c>
      <c r="C82" s="2" t="s">
        <v>1192</v>
      </c>
      <c r="D82" s="2" t="s">
        <v>1193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L82" s="2" t="s">
        <v>1194</v>
      </c>
      <c r="M82" s="3" t="s">
        <v>557</v>
      </c>
      <c r="O82" s="3" t="s">
        <v>65</v>
      </c>
      <c r="P82" s="3" t="s">
        <v>772</v>
      </c>
      <c r="R82" s="3" t="s">
        <v>67</v>
      </c>
      <c r="S82" s="4">
        <v>19</v>
      </c>
      <c r="T82" s="4">
        <v>19</v>
      </c>
      <c r="U82" s="5" t="s">
        <v>1195</v>
      </c>
      <c r="V82" s="5" t="s">
        <v>1195</v>
      </c>
      <c r="W82" s="5" t="s">
        <v>1196</v>
      </c>
      <c r="X82" s="5" t="s">
        <v>1196</v>
      </c>
      <c r="Y82" s="4">
        <v>350</v>
      </c>
      <c r="Z82" s="4">
        <v>311</v>
      </c>
      <c r="AA82" s="4">
        <v>319</v>
      </c>
      <c r="AB82" s="4">
        <v>5</v>
      </c>
      <c r="AC82" s="4">
        <v>5</v>
      </c>
      <c r="AD82" s="4">
        <v>17</v>
      </c>
      <c r="AE82" s="4">
        <v>17</v>
      </c>
      <c r="AF82" s="4">
        <v>3</v>
      </c>
      <c r="AG82" s="4">
        <v>3</v>
      </c>
      <c r="AH82" s="4">
        <v>3</v>
      </c>
      <c r="AI82" s="4">
        <v>3</v>
      </c>
      <c r="AJ82" s="4">
        <v>6</v>
      </c>
      <c r="AK82" s="4">
        <v>6</v>
      </c>
      <c r="AL82" s="4">
        <v>4</v>
      </c>
      <c r="AM82" s="4">
        <v>4</v>
      </c>
      <c r="AN82" s="4">
        <v>3</v>
      </c>
      <c r="AO82" s="4">
        <v>3</v>
      </c>
      <c r="AP82" s="3" t="s">
        <v>58</v>
      </c>
      <c r="AQ82" s="3" t="s">
        <v>87</v>
      </c>
      <c r="AR82" s="6" t="str">
        <f>HYPERLINK("http://catalog.hathitrust.org/Record/002606278","HathiTrust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HYPERLINK("https://creighton-primo.hosted.exlibrisgroup.com/primo-explore/search?tab=default_tab&amp;search_scope=EVERYTHING&amp;vid=01CRU&amp;lang=en_US&amp;offset=0&amp;query=any,contains,991002075369702656","Catalog Record")</f>
        <v>Catalog Record</v>
      </c>
      <c r="AT82" s="6" t="str">
        <f>HYPERLINK("http://www.worldcat.org/oclc/26591251","WorldCat Record")</f>
        <v>WorldCat Record</v>
      </c>
      <c r="AU82" s="3" t="s">
        <v>1197</v>
      </c>
      <c r="AV82" s="3" t="s">
        <v>1198</v>
      </c>
      <c r="AW82" s="3" t="s">
        <v>1199</v>
      </c>
      <c r="AX82" s="3" t="s">
        <v>1199</v>
      </c>
      <c r="AY82" s="3" t="s">
        <v>1200</v>
      </c>
      <c r="AZ82" s="3" t="s">
        <v>74</v>
      </c>
      <c r="BB82" s="3" t="s">
        <v>1201</v>
      </c>
      <c r="BC82" s="3" t="s">
        <v>1202</v>
      </c>
      <c r="BD82" s="3" t="s">
        <v>1203</v>
      </c>
    </row>
    <row r="83" spans="1:56" ht="45.75" customHeight="1" x14ac:dyDescent="0.25">
      <c r="A83" s="7" t="s">
        <v>58</v>
      </c>
      <c r="B83" s="2" t="s">
        <v>1204</v>
      </c>
      <c r="C83" s="2" t="s">
        <v>1205</v>
      </c>
      <c r="D83" s="2" t="s">
        <v>1206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1207</v>
      </c>
      <c r="L83" s="2" t="s">
        <v>1208</v>
      </c>
      <c r="M83" s="3" t="s">
        <v>1209</v>
      </c>
      <c r="O83" s="3" t="s">
        <v>65</v>
      </c>
      <c r="P83" s="3" t="s">
        <v>175</v>
      </c>
      <c r="R83" s="3" t="s">
        <v>67</v>
      </c>
      <c r="S83" s="4">
        <v>4</v>
      </c>
      <c r="T83" s="4">
        <v>4</v>
      </c>
      <c r="U83" s="5" t="s">
        <v>1210</v>
      </c>
      <c r="V83" s="5" t="s">
        <v>1210</v>
      </c>
      <c r="W83" s="5" t="s">
        <v>1211</v>
      </c>
      <c r="X83" s="5" t="s">
        <v>1211</v>
      </c>
      <c r="Y83" s="4">
        <v>572</v>
      </c>
      <c r="Z83" s="4">
        <v>491</v>
      </c>
      <c r="AA83" s="4">
        <v>517</v>
      </c>
      <c r="AB83" s="4">
        <v>4</v>
      </c>
      <c r="AC83" s="4">
        <v>4</v>
      </c>
      <c r="AD83" s="4">
        <v>26</v>
      </c>
      <c r="AE83" s="4">
        <v>27</v>
      </c>
      <c r="AF83" s="4">
        <v>6</v>
      </c>
      <c r="AG83" s="4">
        <v>7</v>
      </c>
      <c r="AH83" s="4">
        <v>9</v>
      </c>
      <c r="AI83" s="4">
        <v>9</v>
      </c>
      <c r="AJ83" s="4">
        <v>10</v>
      </c>
      <c r="AK83" s="4">
        <v>10</v>
      </c>
      <c r="AL83" s="4">
        <v>3</v>
      </c>
      <c r="AM83" s="4">
        <v>3</v>
      </c>
      <c r="AN83" s="4">
        <v>3</v>
      </c>
      <c r="AO83" s="4">
        <v>3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HYPERLINK("https://creighton-primo.hosted.exlibrisgroup.com/primo-explore/search?tab=default_tab&amp;search_scope=EVERYTHING&amp;vid=01CRU&amp;lang=en_US&amp;offset=0&amp;query=any,contains,991000937579702656","Catalog Record")</f>
        <v>Catalog Record</v>
      </c>
      <c r="AT83" s="6" t="str">
        <f>HYPERLINK("http://www.worldcat.org/oclc/14376753","WorldCat Record")</f>
        <v>WorldCat Record</v>
      </c>
      <c r="AU83" s="3" t="s">
        <v>1212</v>
      </c>
      <c r="AV83" s="3" t="s">
        <v>1213</v>
      </c>
      <c r="AW83" s="3" t="s">
        <v>1214</v>
      </c>
      <c r="AX83" s="3" t="s">
        <v>1214</v>
      </c>
      <c r="AY83" s="3" t="s">
        <v>1215</v>
      </c>
      <c r="AZ83" s="3" t="s">
        <v>74</v>
      </c>
      <c r="BB83" s="3" t="s">
        <v>1216</v>
      </c>
      <c r="BC83" s="3" t="s">
        <v>1217</v>
      </c>
      <c r="BD83" s="3" t="s">
        <v>1218</v>
      </c>
    </row>
    <row r="84" spans="1:56" ht="45.75" customHeight="1" x14ac:dyDescent="0.25">
      <c r="A84" s="7" t="s">
        <v>58</v>
      </c>
      <c r="B84" s="2" t="s">
        <v>1219</v>
      </c>
      <c r="C84" s="2" t="s">
        <v>1220</v>
      </c>
      <c r="D84" s="2" t="s">
        <v>1221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1222</v>
      </c>
      <c r="L84" s="2" t="s">
        <v>1223</v>
      </c>
      <c r="M84" s="3" t="s">
        <v>713</v>
      </c>
      <c r="O84" s="3" t="s">
        <v>65</v>
      </c>
      <c r="P84" s="3" t="s">
        <v>1224</v>
      </c>
      <c r="R84" s="3" t="s">
        <v>67</v>
      </c>
      <c r="S84" s="4">
        <v>4</v>
      </c>
      <c r="T84" s="4">
        <v>4</v>
      </c>
      <c r="U84" s="5" t="s">
        <v>1225</v>
      </c>
      <c r="V84" s="5" t="s">
        <v>1225</v>
      </c>
      <c r="W84" s="5" t="s">
        <v>745</v>
      </c>
      <c r="X84" s="5" t="s">
        <v>745</v>
      </c>
      <c r="Y84" s="4">
        <v>274</v>
      </c>
      <c r="Z84" s="4">
        <v>236</v>
      </c>
      <c r="AA84" s="4">
        <v>237</v>
      </c>
      <c r="AB84" s="4">
        <v>2</v>
      </c>
      <c r="AC84" s="4">
        <v>2</v>
      </c>
      <c r="AD84" s="4">
        <v>8</v>
      </c>
      <c r="AE84" s="4">
        <v>8</v>
      </c>
      <c r="AF84" s="4">
        <v>8</v>
      </c>
      <c r="AG84" s="4">
        <v>8</v>
      </c>
      <c r="AH84" s="4">
        <v>0</v>
      </c>
      <c r="AI84" s="4">
        <v>0</v>
      </c>
      <c r="AJ84" s="4">
        <v>2</v>
      </c>
      <c r="AK84" s="4">
        <v>2</v>
      </c>
      <c r="AL84" s="4">
        <v>0</v>
      </c>
      <c r="AM84" s="4">
        <v>0</v>
      </c>
      <c r="AN84" s="4">
        <v>0</v>
      </c>
      <c r="AO84" s="4">
        <v>0</v>
      </c>
      <c r="AP84" s="3" t="s">
        <v>58</v>
      </c>
      <c r="AQ84" s="3" t="s">
        <v>87</v>
      </c>
      <c r="AR84" s="6" t="str">
        <f>HYPERLINK("http://catalog.hathitrust.org/Record/101919905","HathiTrust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HYPERLINK("https://creighton-primo.hosted.exlibrisgroup.com/primo-explore/search?tab=default_tab&amp;search_scope=EVERYTHING&amp;vid=01CRU&amp;lang=en_US&amp;offset=0&amp;query=any,contains,991005156269702656","Catalog Record")</f>
        <v>Catalog Record</v>
      </c>
      <c r="AT84" s="6" t="str">
        <f>HYPERLINK("http://www.worldcat.org/oclc/7740147","WorldCat Record")</f>
        <v>WorldCat Record</v>
      </c>
      <c r="AU84" s="3" t="s">
        <v>1226</v>
      </c>
      <c r="AV84" s="3" t="s">
        <v>1227</v>
      </c>
      <c r="AW84" s="3" t="s">
        <v>1228</v>
      </c>
      <c r="AX84" s="3" t="s">
        <v>1228</v>
      </c>
      <c r="AY84" s="3" t="s">
        <v>1229</v>
      </c>
      <c r="AZ84" s="3" t="s">
        <v>74</v>
      </c>
      <c r="BB84" s="3" t="s">
        <v>1230</v>
      </c>
      <c r="BC84" s="3" t="s">
        <v>1231</v>
      </c>
      <c r="BD84" s="3" t="s">
        <v>1232</v>
      </c>
    </row>
    <row r="85" spans="1:56" ht="45.75" customHeight="1" x14ac:dyDescent="0.25">
      <c r="A85" s="7" t="s">
        <v>58</v>
      </c>
      <c r="B85" s="2" t="s">
        <v>1233</v>
      </c>
      <c r="C85" s="2" t="s">
        <v>1234</v>
      </c>
      <c r="D85" s="2" t="s">
        <v>1235</v>
      </c>
      <c r="F85" s="3" t="s">
        <v>58</v>
      </c>
      <c r="G85" s="3" t="s">
        <v>59</v>
      </c>
      <c r="H85" s="3" t="s">
        <v>87</v>
      </c>
      <c r="I85" s="3" t="s">
        <v>58</v>
      </c>
      <c r="J85" s="3" t="s">
        <v>60</v>
      </c>
      <c r="K85" s="2" t="s">
        <v>1236</v>
      </c>
      <c r="L85" s="2" t="s">
        <v>1237</v>
      </c>
      <c r="M85" s="3" t="s">
        <v>1209</v>
      </c>
      <c r="O85" s="3" t="s">
        <v>65</v>
      </c>
      <c r="P85" s="3" t="s">
        <v>1238</v>
      </c>
      <c r="R85" s="3" t="s">
        <v>67</v>
      </c>
      <c r="S85" s="4">
        <v>6</v>
      </c>
      <c r="T85" s="4">
        <v>9</v>
      </c>
      <c r="U85" s="5" t="s">
        <v>1239</v>
      </c>
      <c r="V85" s="5" t="s">
        <v>1239</v>
      </c>
      <c r="W85" s="5" t="s">
        <v>1240</v>
      </c>
      <c r="X85" s="5" t="s">
        <v>1241</v>
      </c>
      <c r="Y85" s="4">
        <v>348</v>
      </c>
      <c r="Z85" s="4">
        <v>330</v>
      </c>
      <c r="AA85" s="4">
        <v>337</v>
      </c>
      <c r="AB85" s="4">
        <v>4</v>
      </c>
      <c r="AC85" s="4">
        <v>4</v>
      </c>
      <c r="AD85" s="4">
        <v>8</v>
      </c>
      <c r="AE85" s="4">
        <v>8</v>
      </c>
      <c r="AF85" s="4">
        <v>1</v>
      </c>
      <c r="AG85" s="4">
        <v>1</v>
      </c>
      <c r="AH85" s="4">
        <v>1</v>
      </c>
      <c r="AI85" s="4">
        <v>1</v>
      </c>
      <c r="AJ85" s="4">
        <v>5</v>
      </c>
      <c r="AK85" s="4">
        <v>5</v>
      </c>
      <c r="AL85" s="4">
        <v>2</v>
      </c>
      <c r="AM85" s="4">
        <v>2</v>
      </c>
      <c r="AN85" s="4">
        <v>0</v>
      </c>
      <c r="AO85" s="4">
        <v>0</v>
      </c>
      <c r="AP85" s="3" t="s">
        <v>58</v>
      </c>
      <c r="AQ85" s="3" t="s">
        <v>87</v>
      </c>
      <c r="AR85" s="6" t="str">
        <f>HYPERLINK("http://catalog.hathitrust.org/Record/001290976","HathiTrust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HYPERLINK("https://creighton-primo.hosted.exlibrisgroup.com/primo-explore/search?tab=default_tab&amp;search_scope=EVERYTHING&amp;vid=01CRU&amp;lang=en_US&amp;offset=0&amp;query=any,contains,991001796639702656","Catalog Record")</f>
        <v>Catalog Record</v>
      </c>
      <c r="AT85" s="6" t="str">
        <f>HYPERLINK("http://www.worldcat.org/oclc/16684349","WorldCat Record")</f>
        <v>WorldCat Record</v>
      </c>
      <c r="AU85" s="3" t="s">
        <v>1242</v>
      </c>
      <c r="AV85" s="3" t="s">
        <v>1243</v>
      </c>
      <c r="AW85" s="3" t="s">
        <v>1244</v>
      </c>
      <c r="AX85" s="3" t="s">
        <v>1244</v>
      </c>
      <c r="AY85" s="3" t="s">
        <v>1245</v>
      </c>
      <c r="AZ85" s="3" t="s">
        <v>74</v>
      </c>
      <c r="BB85" s="3" t="s">
        <v>1246</v>
      </c>
      <c r="BC85" s="3" t="s">
        <v>1247</v>
      </c>
      <c r="BD85" s="3" t="s">
        <v>1248</v>
      </c>
    </row>
    <row r="86" spans="1:56" ht="45.75" customHeight="1" x14ac:dyDescent="0.25">
      <c r="A86" s="7" t="s">
        <v>58</v>
      </c>
      <c r="B86" s="2" t="s">
        <v>1249</v>
      </c>
      <c r="C86" s="2" t="s">
        <v>1250</v>
      </c>
      <c r="D86" s="2" t="s">
        <v>1251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1252</v>
      </c>
      <c r="L86" s="2" t="s">
        <v>1253</v>
      </c>
      <c r="M86" s="3" t="s">
        <v>1254</v>
      </c>
      <c r="O86" s="3" t="s">
        <v>65</v>
      </c>
      <c r="P86" s="3" t="s">
        <v>148</v>
      </c>
      <c r="R86" s="3" t="s">
        <v>67</v>
      </c>
      <c r="S86" s="4">
        <v>9</v>
      </c>
      <c r="T86" s="4">
        <v>9</v>
      </c>
      <c r="U86" s="5" t="s">
        <v>1255</v>
      </c>
      <c r="V86" s="5" t="s">
        <v>1255</v>
      </c>
      <c r="W86" s="5" t="s">
        <v>745</v>
      </c>
      <c r="X86" s="5" t="s">
        <v>745</v>
      </c>
      <c r="Y86" s="4">
        <v>145</v>
      </c>
      <c r="Z86" s="4">
        <v>118</v>
      </c>
      <c r="AA86" s="4">
        <v>511</v>
      </c>
      <c r="AB86" s="4">
        <v>1</v>
      </c>
      <c r="AC86" s="4">
        <v>4</v>
      </c>
      <c r="AD86" s="4">
        <v>3</v>
      </c>
      <c r="AE86" s="4">
        <v>17</v>
      </c>
      <c r="AF86" s="4">
        <v>2</v>
      </c>
      <c r="AG86" s="4">
        <v>7</v>
      </c>
      <c r="AH86" s="4">
        <v>0</v>
      </c>
      <c r="AI86" s="4">
        <v>2</v>
      </c>
      <c r="AJ86" s="4">
        <v>1</v>
      </c>
      <c r="AK86" s="4">
        <v>10</v>
      </c>
      <c r="AL86" s="4">
        <v>0</v>
      </c>
      <c r="AM86" s="4">
        <v>3</v>
      </c>
      <c r="AN86" s="4">
        <v>0</v>
      </c>
      <c r="AO86" s="4">
        <v>0</v>
      </c>
      <c r="AP86" s="3" t="s">
        <v>58</v>
      </c>
      <c r="AQ86" s="3" t="s">
        <v>87</v>
      </c>
      <c r="AR86" s="6" t="str">
        <f>HYPERLINK("http://catalog.hathitrust.org/Record/102330094","HathiTrust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HYPERLINK("https://creighton-primo.hosted.exlibrisgroup.com/primo-explore/search?tab=default_tab&amp;search_scope=EVERYTHING&amp;vid=01CRU&amp;lang=en_US&amp;offset=0&amp;query=any,contains,991000320739702656","Catalog Record")</f>
        <v>Catalog Record</v>
      </c>
      <c r="AT86" s="6" t="str">
        <f>HYPERLINK("http://www.worldcat.org/oclc/10146873","WorldCat Record")</f>
        <v>WorldCat Record</v>
      </c>
      <c r="AU86" s="3" t="s">
        <v>1256</v>
      </c>
      <c r="AV86" s="3" t="s">
        <v>1257</v>
      </c>
      <c r="AW86" s="3" t="s">
        <v>1258</v>
      </c>
      <c r="AX86" s="3" t="s">
        <v>1258</v>
      </c>
      <c r="AY86" s="3" t="s">
        <v>1259</v>
      </c>
      <c r="AZ86" s="3" t="s">
        <v>74</v>
      </c>
      <c r="BB86" s="3" t="s">
        <v>1260</v>
      </c>
      <c r="BC86" s="3" t="s">
        <v>1261</v>
      </c>
      <c r="BD86" s="3" t="s">
        <v>1262</v>
      </c>
    </row>
    <row r="87" spans="1:56" ht="45.75" customHeight="1" x14ac:dyDescent="0.25">
      <c r="A87" s="7" t="s">
        <v>58</v>
      </c>
      <c r="B87" s="2" t="s">
        <v>1263</v>
      </c>
      <c r="C87" s="2" t="s">
        <v>1264</v>
      </c>
      <c r="D87" s="2" t="s">
        <v>1265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1266</v>
      </c>
      <c r="L87" s="2" t="s">
        <v>1267</v>
      </c>
      <c r="M87" s="3" t="s">
        <v>147</v>
      </c>
      <c r="N87" s="2" t="s">
        <v>543</v>
      </c>
      <c r="O87" s="3" t="s">
        <v>65</v>
      </c>
      <c r="P87" s="3" t="s">
        <v>148</v>
      </c>
      <c r="R87" s="3" t="s">
        <v>67</v>
      </c>
      <c r="S87" s="4">
        <v>3</v>
      </c>
      <c r="T87" s="4">
        <v>3</v>
      </c>
      <c r="U87" s="5" t="s">
        <v>1268</v>
      </c>
      <c r="V87" s="5" t="s">
        <v>1268</v>
      </c>
      <c r="W87" s="5" t="s">
        <v>1269</v>
      </c>
      <c r="X87" s="5" t="s">
        <v>1269</v>
      </c>
      <c r="Y87" s="4">
        <v>75</v>
      </c>
      <c r="Z87" s="4">
        <v>63</v>
      </c>
      <c r="AA87" s="4">
        <v>63</v>
      </c>
      <c r="AB87" s="4">
        <v>1</v>
      </c>
      <c r="AC87" s="4">
        <v>1</v>
      </c>
      <c r="AD87" s="4">
        <v>1</v>
      </c>
      <c r="AE87" s="4">
        <v>1</v>
      </c>
      <c r="AF87" s="4">
        <v>1</v>
      </c>
      <c r="AG87" s="4">
        <v>1</v>
      </c>
      <c r="AH87" s="4">
        <v>0</v>
      </c>
      <c r="AI87" s="4">
        <v>0</v>
      </c>
      <c r="AJ87" s="4">
        <v>1</v>
      </c>
      <c r="AK87" s="4">
        <v>1</v>
      </c>
      <c r="AL87" s="4">
        <v>0</v>
      </c>
      <c r="AM87" s="4">
        <v>0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HYPERLINK("https://creighton-primo.hosted.exlibrisgroup.com/primo-explore/search?tab=default_tab&amp;search_scope=EVERYTHING&amp;vid=01CRU&amp;lang=en_US&amp;offset=0&amp;query=any,contains,991004245809702656","Catalog Record")</f>
        <v>Catalog Record</v>
      </c>
      <c r="AT87" s="6" t="str">
        <f>HYPERLINK("http://www.worldcat.org/oclc/54006628","WorldCat Record")</f>
        <v>WorldCat Record</v>
      </c>
      <c r="AU87" s="3" t="s">
        <v>1270</v>
      </c>
      <c r="AV87" s="3" t="s">
        <v>1271</v>
      </c>
      <c r="AW87" s="3" t="s">
        <v>1272</v>
      </c>
      <c r="AX87" s="3" t="s">
        <v>1272</v>
      </c>
      <c r="AY87" s="3" t="s">
        <v>1273</v>
      </c>
      <c r="AZ87" s="3" t="s">
        <v>74</v>
      </c>
      <c r="BB87" s="3" t="s">
        <v>1274</v>
      </c>
      <c r="BC87" s="3" t="s">
        <v>1275</v>
      </c>
      <c r="BD87" s="3" t="s">
        <v>1276</v>
      </c>
    </row>
    <row r="88" spans="1:56" ht="45.75" customHeight="1" x14ac:dyDescent="0.25">
      <c r="A88" s="7" t="s">
        <v>58</v>
      </c>
      <c r="B88" s="2" t="s">
        <v>1277</v>
      </c>
      <c r="C88" s="2" t="s">
        <v>1278</v>
      </c>
      <c r="D88" s="2" t="s">
        <v>1279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1280</v>
      </c>
      <c r="L88" s="2" t="s">
        <v>1281</v>
      </c>
      <c r="M88" s="3" t="s">
        <v>1032</v>
      </c>
      <c r="O88" s="3" t="s">
        <v>65</v>
      </c>
      <c r="P88" s="3" t="s">
        <v>1282</v>
      </c>
      <c r="R88" s="3" t="s">
        <v>67</v>
      </c>
      <c r="S88" s="4">
        <v>10</v>
      </c>
      <c r="T88" s="4">
        <v>10</v>
      </c>
      <c r="U88" s="5" t="s">
        <v>1283</v>
      </c>
      <c r="V88" s="5" t="s">
        <v>1283</v>
      </c>
      <c r="W88" s="5" t="s">
        <v>1284</v>
      </c>
      <c r="X88" s="5" t="s">
        <v>1284</v>
      </c>
      <c r="Y88" s="4">
        <v>369</v>
      </c>
      <c r="Z88" s="4">
        <v>298</v>
      </c>
      <c r="AA88" s="4">
        <v>354</v>
      </c>
      <c r="AB88" s="4">
        <v>4</v>
      </c>
      <c r="AC88" s="4">
        <v>4</v>
      </c>
      <c r="AD88" s="4">
        <v>18</v>
      </c>
      <c r="AE88" s="4">
        <v>18</v>
      </c>
      <c r="AF88" s="4">
        <v>6</v>
      </c>
      <c r="AG88" s="4">
        <v>6</v>
      </c>
      <c r="AH88" s="4">
        <v>5</v>
      </c>
      <c r="AI88" s="4">
        <v>5</v>
      </c>
      <c r="AJ88" s="4">
        <v>8</v>
      </c>
      <c r="AK88" s="4">
        <v>8</v>
      </c>
      <c r="AL88" s="4">
        <v>3</v>
      </c>
      <c r="AM88" s="4">
        <v>3</v>
      </c>
      <c r="AN88" s="4">
        <v>0</v>
      </c>
      <c r="AO88" s="4">
        <v>0</v>
      </c>
      <c r="AP88" s="3" t="s">
        <v>58</v>
      </c>
      <c r="AQ88" s="3" t="s">
        <v>87</v>
      </c>
      <c r="AR88" s="6" t="str">
        <f>HYPERLINK("http://catalog.hathitrust.org/Record/003133742","HathiTrust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HYPERLINK("https://creighton-primo.hosted.exlibrisgroup.com/primo-explore/search?tab=default_tab&amp;search_scope=EVERYTHING&amp;vid=01CRU&amp;lang=en_US&amp;offset=0&amp;query=any,contains,991005424529702656","Catalog Record")</f>
        <v>Catalog Record</v>
      </c>
      <c r="AT88" s="6" t="str">
        <f>HYPERLINK("http://www.worldcat.org/oclc/35198743","WorldCat Record")</f>
        <v>WorldCat Record</v>
      </c>
      <c r="AU88" s="3" t="s">
        <v>1285</v>
      </c>
      <c r="AV88" s="3" t="s">
        <v>1286</v>
      </c>
      <c r="AW88" s="3" t="s">
        <v>1287</v>
      </c>
      <c r="AX88" s="3" t="s">
        <v>1287</v>
      </c>
      <c r="AY88" s="3" t="s">
        <v>1288</v>
      </c>
      <c r="AZ88" s="3" t="s">
        <v>74</v>
      </c>
      <c r="BB88" s="3" t="s">
        <v>1289</v>
      </c>
      <c r="BC88" s="3" t="s">
        <v>1290</v>
      </c>
      <c r="BD88" s="3" t="s">
        <v>1291</v>
      </c>
    </row>
    <row r="89" spans="1:56" ht="45.75" customHeight="1" x14ac:dyDescent="0.25">
      <c r="A89" s="7" t="s">
        <v>58</v>
      </c>
      <c r="B89" s="2" t="s">
        <v>1292</v>
      </c>
      <c r="C89" s="2" t="s">
        <v>1293</v>
      </c>
      <c r="D89" s="2" t="s">
        <v>1294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L89" s="2" t="s">
        <v>1295</v>
      </c>
      <c r="M89" s="3" t="s">
        <v>1058</v>
      </c>
      <c r="O89" s="3" t="s">
        <v>65</v>
      </c>
      <c r="P89" s="3" t="s">
        <v>84</v>
      </c>
      <c r="R89" s="3" t="s">
        <v>67</v>
      </c>
      <c r="S89" s="4">
        <v>1</v>
      </c>
      <c r="T89" s="4">
        <v>1</v>
      </c>
      <c r="U89" s="5" t="s">
        <v>1296</v>
      </c>
      <c r="V89" s="5" t="s">
        <v>1296</v>
      </c>
      <c r="W89" s="5" t="s">
        <v>745</v>
      </c>
      <c r="X89" s="5" t="s">
        <v>745</v>
      </c>
      <c r="Y89" s="4">
        <v>262</v>
      </c>
      <c r="Z89" s="4">
        <v>233</v>
      </c>
      <c r="AA89" s="4">
        <v>235</v>
      </c>
      <c r="AB89" s="4">
        <v>4</v>
      </c>
      <c r="AC89" s="4">
        <v>4</v>
      </c>
      <c r="AD89" s="4">
        <v>12</v>
      </c>
      <c r="AE89" s="4">
        <v>12</v>
      </c>
      <c r="AF89" s="4">
        <v>1</v>
      </c>
      <c r="AG89" s="4">
        <v>1</v>
      </c>
      <c r="AH89" s="4">
        <v>5</v>
      </c>
      <c r="AI89" s="4">
        <v>5</v>
      </c>
      <c r="AJ89" s="4">
        <v>6</v>
      </c>
      <c r="AK89" s="4">
        <v>6</v>
      </c>
      <c r="AL89" s="4">
        <v>3</v>
      </c>
      <c r="AM89" s="4">
        <v>3</v>
      </c>
      <c r="AN89" s="4">
        <v>0</v>
      </c>
      <c r="AO89" s="4">
        <v>0</v>
      </c>
      <c r="AP89" s="3" t="s">
        <v>58</v>
      </c>
      <c r="AQ89" s="3" t="s">
        <v>87</v>
      </c>
      <c r="AR89" s="6" t="str">
        <f>HYPERLINK("http://catalog.hathitrust.org/Record/001078979","HathiTrust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HYPERLINK("https://creighton-primo.hosted.exlibrisgroup.com/primo-explore/search?tab=default_tab&amp;search_scope=EVERYTHING&amp;vid=01CRU&amp;lang=en_US&amp;offset=0&amp;query=any,contains,991001289719702656","Catalog Record")</f>
        <v>Catalog Record</v>
      </c>
      <c r="AT89" s="6" t="str">
        <f>HYPERLINK("http://www.worldcat.org/oclc/17982770","WorldCat Record")</f>
        <v>WorldCat Record</v>
      </c>
      <c r="AU89" s="3" t="s">
        <v>1297</v>
      </c>
      <c r="AV89" s="3" t="s">
        <v>1298</v>
      </c>
      <c r="AW89" s="3" t="s">
        <v>1299</v>
      </c>
      <c r="AX89" s="3" t="s">
        <v>1299</v>
      </c>
      <c r="AY89" s="3" t="s">
        <v>1300</v>
      </c>
      <c r="AZ89" s="3" t="s">
        <v>74</v>
      </c>
      <c r="BB89" s="3" t="s">
        <v>1301</v>
      </c>
      <c r="BC89" s="3" t="s">
        <v>1302</v>
      </c>
      <c r="BD89" s="3" t="s">
        <v>1303</v>
      </c>
    </row>
    <row r="90" spans="1:56" ht="45.75" customHeight="1" x14ac:dyDescent="0.25">
      <c r="A90" s="7" t="s">
        <v>58</v>
      </c>
      <c r="B90" s="2" t="s">
        <v>1304</v>
      </c>
      <c r="C90" s="2" t="s">
        <v>1305</v>
      </c>
      <c r="D90" s="2" t="s">
        <v>1306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1307</v>
      </c>
      <c r="L90" s="2" t="s">
        <v>1308</v>
      </c>
      <c r="M90" s="3" t="s">
        <v>557</v>
      </c>
      <c r="O90" s="3" t="s">
        <v>65</v>
      </c>
      <c r="P90" s="3" t="s">
        <v>1309</v>
      </c>
      <c r="R90" s="3" t="s">
        <v>67</v>
      </c>
      <c r="S90" s="4">
        <v>7</v>
      </c>
      <c r="T90" s="4">
        <v>7</v>
      </c>
      <c r="U90" s="5" t="s">
        <v>1239</v>
      </c>
      <c r="V90" s="5" t="s">
        <v>1239</v>
      </c>
      <c r="W90" s="5" t="s">
        <v>1310</v>
      </c>
      <c r="X90" s="5" t="s">
        <v>1310</v>
      </c>
      <c r="Y90" s="4">
        <v>619</v>
      </c>
      <c r="Z90" s="4">
        <v>535</v>
      </c>
      <c r="AA90" s="4">
        <v>1266</v>
      </c>
      <c r="AB90" s="4">
        <v>4</v>
      </c>
      <c r="AC90" s="4">
        <v>6</v>
      </c>
      <c r="AD90" s="4">
        <v>24</v>
      </c>
      <c r="AE90" s="4">
        <v>34</v>
      </c>
      <c r="AF90" s="4">
        <v>6</v>
      </c>
      <c r="AG90" s="4">
        <v>13</v>
      </c>
      <c r="AH90" s="4">
        <v>7</v>
      </c>
      <c r="AI90" s="4">
        <v>8</v>
      </c>
      <c r="AJ90" s="4">
        <v>13</v>
      </c>
      <c r="AK90" s="4">
        <v>16</v>
      </c>
      <c r="AL90" s="4">
        <v>3</v>
      </c>
      <c r="AM90" s="4">
        <v>4</v>
      </c>
      <c r="AN90" s="4">
        <v>1</v>
      </c>
      <c r="AO90" s="4">
        <v>1</v>
      </c>
      <c r="AP90" s="3" t="s">
        <v>58</v>
      </c>
      <c r="AQ90" s="3" t="s">
        <v>58</v>
      </c>
      <c r="AS90" s="6" t="str">
        <f>HYPERLINK("https://creighton-primo.hosted.exlibrisgroup.com/primo-explore/search?tab=default_tab&amp;search_scope=EVERYTHING&amp;vid=01CRU&amp;lang=en_US&amp;offset=0&amp;query=any,contains,991002116859702656","Catalog Record")</f>
        <v>Catalog Record</v>
      </c>
      <c r="AT90" s="6" t="str">
        <f>HYPERLINK("http://www.worldcat.org/oclc/27143769","WorldCat Record")</f>
        <v>WorldCat Record</v>
      </c>
      <c r="AU90" s="3" t="s">
        <v>1311</v>
      </c>
      <c r="AV90" s="3" t="s">
        <v>1312</v>
      </c>
      <c r="AW90" s="3" t="s">
        <v>1313</v>
      </c>
      <c r="AX90" s="3" t="s">
        <v>1313</v>
      </c>
      <c r="AY90" s="3" t="s">
        <v>1314</v>
      </c>
      <c r="AZ90" s="3" t="s">
        <v>74</v>
      </c>
      <c r="BB90" s="3" t="s">
        <v>1315</v>
      </c>
      <c r="BC90" s="3" t="s">
        <v>1316</v>
      </c>
      <c r="BD90" s="3" t="s">
        <v>1317</v>
      </c>
    </row>
    <row r="91" spans="1:56" ht="45.75" customHeight="1" x14ac:dyDescent="0.25">
      <c r="A91" s="7" t="s">
        <v>58</v>
      </c>
      <c r="B91" s="2" t="s">
        <v>1318</v>
      </c>
      <c r="C91" s="2" t="s">
        <v>1319</v>
      </c>
      <c r="D91" s="2" t="s">
        <v>1320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1321</v>
      </c>
      <c r="L91" s="2" t="s">
        <v>1322</v>
      </c>
      <c r="M91" s="3" t="s">
        <v>419</v>
      </c>
      <c r="O91" s="3" t="s">
        <v>65</v>
      </c>
      <c r="P91" s="3" t="s">
        <v>1323</v>
      </c>
      <c r="R91" s="3" t="s">
        <v>67</v>
      </c>
      <c r="S91" s="4">
        <v>4</v>
      </c>
      <c r="T91" s="4">
        <v>4</v>
      </c>
      <c r="U91" s="5" t="s">
        <v>1324</v>
      </c>
      <c r="V91" s="5" t="s">
        <v>1324</v>
      </c>
      <c r="W91" s="5" t="s">
        <v>1325</v>
      </c>
      <c r="X91" s="5" t="s">
        <v>1325</v>
      </c>
      <c r="Y91" s="4">
        <v>514</v>
      </c>
      <c r="Z91" s="4">
        <v>431</v>
      </c>
      <c r="AA91" s="4">
        <v>491</v>
      </c>
      <c r="AB91" s="4">
        <v>1</v>
      </c>
      <c r="AC91" s="4">
        <v>1</v>
      </c>
      <c r="AD91" s="4">
        <v>11</v>
      </c>
      <c r="AE91" s="4">
        <v>13</v>
      </c>
      <c r="AF91" s="4">
        <v>4</v>
      </c>
      <c r="AG91" s="4">
        <v>4</v>
      </c>
      <c r="AH91" s="4">
        <v>2</v>
      </c>
      <c r="AI91" s="4">
        <v>2</v>
      </c>
      <c r="AJ91" s="4">
        <v>4</v>
      </c>
      <c r="AK91" s="4">
        <v>6</v>
      </c>
      <c r="AL91" s="4">
        <v>0</v>
      </c>
      <c r="AM91" s="4">
        <v>0</v>
      </c>
      <c r="AN91" s="4">
        <v>2</v>
      </c>
      <c r="AO91" s="4">
        <v>2</v>
      </c>
      <c r="AP91" s="3" t="s">
        <v>58</v>
      </c>
      <c r="AQ91" s="3" t="s">
        <v>58</v>
      </c>
      <c r="AS91" s="6" t="str">
        <f>HYPERLINK("https://creighton-primo.hosted.exlibrisgroup.com/primo-explore/search?tab=default_tab&amp;search_scope=EVERYTHING&amp;vid=01CRU&amp;lang=en_US&amp;offset=0&amp;query=any,contains,991003663439702656","Catalog Record")</f>
        <v>Catalog Record</v>
      </c>
      <c r="AT91" s="6" t="str">
        <f>HYPERLINK("http://www.worldcat.org/oclc/45281213","WorldCat Record")</f>
        <v>WorldCat Record</v>
      </c>
      <c r="AU91" s="3" t="s">
        <v>1326</v>
      </c>
      <c r="AV91" s="3" t="s">
        <v>1327</v>
      </c>
      <c r="AW91" s="3" t="s">
        <v>1328</v>
      </c>
      <c r="AX91" s="3" t="s">
        <v>1328</v>
      </c>
      <c r="AY91" s="3" t="s">
        <v>1329</v>
      </c>
      <c r="AZ91" s="3" t="s">
        <v>74</v>
      </c>
      <c r="BB91" s="3" t="s">
        <v>1330</v>
      </c>
      <c r="BC91" s="3" t="s">
        <v>1331</v>
      </c>
      <c r="BD91" s="3" t="s">
        <v>1332</v>
      </c>
    </row>
    <row r="92" spans="1:56" ht="45.75" customHeight="1" x14ac:dyDescent="0.25">
      <c r="A92" s="7" t="s">
        <v>58</v>
      </c>
      <c r="B92" s="2" t="s">
        <v>1333</v>
      </c>
      <c r="C92" s="2" t="s">
        <v>1334</v>
      </c>
      <c r="D92" s="2" t="s">
        <v>1335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1336</v>
      </c>
      <c r="L92" s="2" t="s">
        <v>1337</v>
      </c>
      <c r="M92" s="3" t="s">
        <v>1338</v>
      </c>
      <c r="N92" s="2" t="s">
        <v>1339</v>
      </c>
      <c r="O92" s="3" t="s">
        <v>65</v>
      </c>
      <c r="P92" s="3" t="s">
        <v>1340</v>
      </c>
      <c r="R92" s="3" t="s">
        <v>67</v>
      </c>
      <c r="S92" s="4">
        <v>6</v>
      </c>
      <c r="T92" s="4">
        <v>6</v>
      </c>
      <c r="U92" s="5" t="s">
        <v>1341</v>
      </c>
      <c r="V92" s="5" t="s">
        <v>1341</v>
      </c>
      <c r="W92" s="5" t="s">
        <v>1342</v>
      </c>
      <c r="X92" s="5" t="s">
        <v>1342</v>
      </c>
      <c r="Y92" s="4">
        <v>140</v>
      </c>
      <c r="Z92" s="4">
        <v>119</v>
      </c>
      <c r="AA92" s="4">
        <v>300</v>
      </c>
      <c r="AB92" s="4">
        <v>2</v>
      </c>
      <c r="AC92" s="4">
        <v>3</v>
      </c>
      <c r="AD92" s="4">
        <v>4</v>
      </c>
      <c r="AE92" s="4">
        <v>11</v>
      </c>
      <c r="AF92" s="4">
        <v>2</v>
      </c>
      <c r="AG92" s="4">
        <v>4</v>
      </c>
      <c r="AH92" s="4">
        <v>0</v>
      </c>
      <c r="AI92" s="4">
        <v>1</v>
      </c>
      <c r="AJ92" s="4">
        <v>1</v>
      </c>
      <c r="AK92" s="4">
        <v>5</v>
      </c>
      <c r="AL92" s="4">
        <v>1</v>
      </c>
      <c r="AM92" s="4">
        <v>2</v>
      </c>
      <c r="AN92" s="4">
        <v>0</v>
      </c>
      <c r="AO92" s="4">
        <v>0</v>
      </c>
      <c r="AP92" s="3" t="s">
        <v>58</v>
      </c>
      <c r="AQ92" s="3" t="s">
        <v>87</v>
      </c>
      <c r="AR92" s="6" t="str">
        <f>HYPERLINK("http://catalog.hathitrust.org/Record/009669298","HathiTrust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HYPERLINK("https://creighton-primo.hosted.exlibrisgroup.com/primo-explore/search?tab=default_tab&amp;search_scope=EVERYTHING&amp;vid=01CRU&amp;lang=en_US&amp;offset=0&amp;query=any,contains,991002859769702656","Catalog Record")</f>
        <v>Catalog Record</v>
      </c>
      <c r="AT92" s="6" t="str">
        <f>HYPERLINK("http://www.worldcat.org/oclc/492190","WorldCat Record")</f>
        <v>WorldCat Record</v>
      </c>
      <c r="AU92" s="3" t="s">
        <v>1343</v>
      </c>
      <c r="AV92" s="3" t="s">
        <v>1344</v>
      </c>
      <c r="AW92" s="3" t="s">
        <v>1345</v>
      </c>
      <c r="AX92" s="3" t="s">
        <v>1345</v>
      </c>
      <c r="AY92" s="3" t="s">
        <v>1346</v>
      </c>
      <c r="AZ92" s="3" t="s">
        <v>74</v>
      </c>
      <c r="BC92" s="3" t="s">
        <v>1347</v>
      </c>
      <c r="BD92" s="3" t="s">
        <v>1348</v>
      </c>
    </row>
    <row r="93" spans="1:56" ht="45.75" customHeight="1" x14ac:dyDescent="0.25">
      <c r="A93" s="7" t="s">
        <v>58</v>
      </c>
      <c r="B93" s="2" t="s">
        <v>1349</v>
      </c>
      <c r="C93" s="2" t="s">
        <v>1350</v>
      </c>
      <c r="D93" s="2" t="s">
        <v>1351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L93" s="2" t="s">
        <v>1352</v>
      </c>
      <c r="M93" s="3" t="s">
        <v>713</v>
      </c>
      <c r="O93" s="3" t="s">
        <v>65</v>
      </c>
      <c r="P93" s="3" t="s">
        <v>190</v>
      </c>
      <c r="R93" s="3" t="s">
        <v>67</v>
      </c>
      <c r="S93" s="4">
        <v>7</v>
      </c>
      <c r="T93" s="4">
        <v>7</v>
      </c>
      <c r="U93" s="5" t="s">
        <v>1353</v>
      </c>
      <c r="V93" s="5" t="s">
        <v>1353</v>
      </c>
      <c r="W93" s="5" t="s">
        <v>1354</v>
      </c>
      <c r="X93" s="5" t="s">
        <v>1354</v>
      </c>
      <c r="Y93" s="4">
        <v>233</v>
      </c>
      <c r="Z93" s="4">
        <v>187</v>
      </c>
      <c r="AA93" s="4">
        <v>188</v>
      </c>
      <c r="AB93" s="4">
        <v>3</v>
      </c>
      <c r="AC93" s="4">
        <v>3</v>
      </c>
      <c r="AD93" s="4">
        <v>6</v>
      </c>
      <c r="AE93" s="4">
        <v>6</v>
      </c>
      <c r="AF93" s="4">
        <v>0</v>
      </c>
      <c r="AG93" s="4">
        <v>0</v>
      </c>
      <c r="AH93" s="4">
        <v>2</v>
      </c>
      <c r="AI93" s="4">
        <v>2</v>
      </c>
      <c r="AJ93" s="4">
        <v>3</v>
      </c>
      <c r="AK93" s="4">
        <v>3</v>
      </c>
      <c r="AL93" s="4">
        <v>2</v>
      </c>
      <c r="AM93" s="4">
        <v>2</v>
      </c>
      <c r="AN93" s="4">
        <v>0</v>
      </c>
      <c r="AO93" s="4">
        <v>0</v>
      </c>
      <c r="AP93" s="3" t="s">
        <v>58</v>
      </c>
      <c r="AQ93" s="3" t="s">
        <v>87</v>
      </c>
      <c r="AR93" s="6" t="str">
        <f>HYPERLINK("http://catalog.hathitrust.org/Record/101908673","HathiTrust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HYPERLINK("https://creighton-primo.hosted.exlibrisgroup.com/primo-explore/search?tab=default_tab&amp;search_scope=EVERYTHING&amp;vid=01CRU&amp;lang=en_US&amp;offset=0&amp;query=any,contains,991005115769702656","Catalog Record")</f>
        <v>Catalog Record</v>
      </c>
      <c r="AT93" s="6" t="str">
        <f>HYPERLINK("http://www.worldcat.org/oclc/7462187","WorldCat Record")</f>
        <v>WorldCat Record</v>
      </c>
      <c r="AU93" s="3" t="s">
        <v>1355</v>
      </c>
      <c r="AV93" s="3" t="s">
        <v>1356</v>
      </c>
      <c r="AW93" s="3" t="s">
        <v>1357</v>
      </c>
      <c r="AX93" s="3" t="s">
        <v>1357</v>
      </c>
      <c r="AY93" s="3" t="s">
        <v>1358</v>
      </c>
      <c r="AZ93" s="3" t="s">
        <v>74</v>
      </c>
      <c r="BB93" s="3" t="s">
        <v>1359</v>
      </c>
      <c r="BC93" s="3" t="s">
        <v>1360</v>
      </c>
      <c r="BD93" s="3" t="s">
        <v>1361</v>
      </c>
    </row>
    <row r="94" spans="1:56" ht="45.75" customHeight="1" x14ac:dyDescent="0.25">
      <c r="A94" s="7" t="s">
        <v>58</v>
      </c>
      <c r="B94" s="2" t="s">
        <v>1362</v>
      </c>
      <c r="C94" s="2" t="s">
        <v>1363</v>
      </c>
      <c r="D94" s="2" t="s">
        <v>1364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1365</v>
      </c>
      <c r="L94" s="2" t="s">
        <v>1366</v>
      </c>
      <c r="M94" s="3" t="s">
        <v>1367</v>
      </c>
      <c r="O94" s="3" t="s">
        <v>65</v>
      </c>
      <c r="P94" s="3" t="s">
        <v>190</v>
      </c>
      <c r="R94" s="3" t="s">
        <v>67</v>
      </c>
      <c r="S94" s="4">
        <v>6</v>
      </c>
      <c r="T94" s="4">
        <v>6</v>
      </c>
      <c r="U94" s="5" t="s">
        <v>1368</v>
      </c>
      <c r="V94" s="5" t="s">
        <v>1368</v>
      </c>
      <c r="W94" s="5" t="s">
        <v>1369</v>
      </c>
      <c r="X94" s="5" t="s">
        <v>1369</v>
      </c>
      <c r="Y94" s="4">
        <v>225</v>
      </c>
      <c r="Z94" s="4">
        <v>202</v>
      </c>
      <c r="AA94" s="4">
        <v>204</v>
      </c>
      <c r="AB94" s="4">
        <v>1</v>
      </c>
      <c r="AC94" s="4">
        <v>1</v>
      </c>
      <c r="AD94" s="4">
        <v>9</v>
      </c>
      <c r="AE94" s="4">
        <v>9</v>
      </c>
      <c r="AF94" s="4">
        <v>3</v>
      </c>
      <c r="AG94" s="4">
        <v>3</v>
      </c>
      <c r="AH94" s="4">
        <v>2</v>
      </c>
      <c r="AI94" s="4">
        <v>2</v>
      </c>
      <c r="AJ94" s="4">
        <v>5</v>
      </c>
      <c r="AK94" s="4">
        <v>5</v>
      </c>
      <c r="AL94" s="4">
        <v>0</v>
      </c>
      <c r="AM94" s="4">
        <v>0</v>
      </c>
      <c r="AN94" s="4">
        <v>0</v>
      </c>
      <c r="AO94" s="4">
        <v>0</v>
      </c>
      <c r="AP94" s="3" t="s">
        <v>58</v>
      </c>
      <c r="AQ94" s="3" t="s">
        <v>87</v>
      </c>
      <c r="AR94" s="6" t="str">
        <f>HYPERLINK("http://catalog.hathitrust.org/Record/001132993","HathiTrust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HYPERLINK("https://creighton-primo.hosted.exlibrisgroup.com/primo-explore/search?tab=default_tab&amp;search_scope=EVERYTHING&amp;vid=01CRU&amp;lang=en_US&amp;offset=0&amp;query=any,contains,991002072539702656","Catalog Record")</f>
        <v>Catalog Record</v>
      </c>
      <c r="AT94" s="6" t="str">
        <f>HYPERLINK("http://www.worldcat.org/oclc/263627","WorldCat Record")</f>
        <v>WorldCat Record</v>
      </c>
      <c r="AU94" s="3" t="s">
        <v>1370</v>
      </c>
      <c r="AV94" s="3" t="s">
        <v>1371</v>
      </c>
      <c r="AW94" s="3" t="s">
        <v>1372</v>
      </c>
      <c r="AX94" s="3" t="s">
        <v>1372</v>
      </c>
      <c r="AY94" s="3" t="s">
        <v>1373</v>
      </c>
      <c r="AZ94" s="3" t="s">
        <v>74</v>
      </c>
      <c r="BC94" s="3" t="s">
        <v>1374</v>
      </c>
      <c r="BD94" s="3" t="s">
        <v>1375</v>
      </c>
    </row>
    <row r="95" spans="1:56" ht="45.75" customHeight="1" x14ac:dyDescent="0.25">
      <c r="A95" s="7" t="s">
        <v>58</v>
      </c>
      <c r="B95" s="2" t="s">
        <v>1376</v>
      </c>
      <c r="C95" s="2" t="s">
        <v>1377</v>
      </c>
      <c r="D95" s="2" t="s">
        <v>1378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L95" s="2" t="s">
        <v>1379</v>
      </c>
      <c r="M95" s="3" t="s">
        <v>116</v>
      </c>
      <c r="O95" s="3" t="s">
        <v>65</v>
      </c>
      <c r="P95" s="3" t="s">
        <v>772</v>
      </c>
      <c r="R95" s="3" t="s">
        <v>67</v>
      </c>
      <c r="S95" s="4">
        <v>2</v>
      </c>
      <c r="T95" s="4">
        <v>2</v>
      </c>
      <c r="U95" s="5" t="s">
        <v>1380</v>
      </c>
      <c r="V95" s="5" t="s">
        <v>1380</v>
      </c>
      <c r="W95" s="5" t="s">
        <v>1381</v>
      </c>
      <c r="X95" s="5" t="s">
        <v>1381</v>
      </c>
      <c r="Y95" s="4">
        <v>275</v>
      </c>
      <c r="Z95" s="4">
        <v>229</v>
      </c>
      <c r="AA95" s="4">
        <v>252</v>
      </c>
      <c r="AB95" s="4">
        <v>3</v>
      </c>
      <c r="AC95" s="4">
        <v>3</v>
      </c>
      <c r="AD95" s="4">
        <v>13</v>
      </c>
      <c r="AE95" s="4">
        <v>14</v>
      </c>
      <c r="AF95" s="4">
        <v>4</v>
      </c>
      <c r="AG95" s="4">
        <v>5</v>
      </c>
      <c r="AH95" s="4">
        <v>4</v>
      </c>
      <c r="AI95" s="4">
        <v>5</v>
      </c>
      <c r="AJ95" s="4">
        <v>9</v>
      </c>
      <c r="AK95" s="4">
        <v>9</v>
      </c>
      <c r="AL95" s="4">
        <v>2</v>
      </c>
      <c r="AM95" s="4">
        <v>2</v>
      </c>
      <c r="AN95" s="4">
        <v>0</v>
      </c>
      <c r="AO95" s="4">
        <v>0</v>
      </c>
      <c r="AP95" s="3" t="s">
        <v>58</v>
      </c>
      <c r="AQ95" s="3" t="s">
        <v>87</v>
      </c>
      <c r="AR95" s="6" t="str">
        <f>HYPERLINK("http://catalog.hathitrust.org/Record/003977198","HathiTrust Record")</f>
        <v>HathiTrust Record</v>
      </c>
      <c r="AS95" s="6" t="str">
        <f>HYPERLINK("https://creighton-primo.hosted.exlibrisgroup.com/primo-explore/search?tab=default_tab&amp;search_scope=EVERYTHING&amp;vid=01CRU&amp;lang=en_US&amp;offset=0&amp;query=any,contains,991002860109702656","Catalog Record")</f>
        <v>Catalog Record</v>
      </c>
      <c r="AT95" s="6" t="str">
        <f>HYPERLINK("http://www.worldcat.org/oclc/37695146","WorldCat Record")</f>
        <v>WorldCat Record</v>
      </c>
      <c r="AU95" s="3" t="s">
        <v>1382</v>
      </c>
      <c r="AV95" s="3" t="s">
        <v>1383</v>
      </c>
      <c r="AW95" s="3" t="s">
        <v>1384</v>
      </c>
      <c r="AX95" s="3" t="s">
        <v>1384</v>
      </c>
      <c r="AY95" s="3" t="s">
        <v>1385</v>
      </c>
      <c r="AZ95" s="3" t="s">
        <v>74</v>
      </c>
      <c r="BB95" s="3" t="s">
        <v>1386</v>
      </c>
      <c r="BC95" s="3" t="s">
        <v>1387</v>
      </c>
      <c r="BD95" s="3" t="s">
        <v>1388</v>
      </c>
    </row>
    <row r="96" spans="1:56" ht="45.75" customHeight="1" x14ac:dyDescent="0.25">
      <c r="A96" s="7" t="s">
        <v>58</v>
      </c>
      <c r="B96" s="2" t="s">
        <v>1389</v>
      </c>
      <c r="C96" s="2" t="s">
        <v>1390</v>
      </c>
      <c r="D96" s="2" t="s">
        <v>1391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1392</v>
      </c>
      <c r="L96" s="2" t="s">
        <v>1393</v>
      </c>
      <c r="M96" s="3" t="s">
        <v>923</v>
      </c>
      <c r="O96" s="3" t="s">
        <v>65</v>
      </c>
      <c r="P96" s="3" t="s">
        <v>772</v>
      </c>
      <c r="R96" s="3" t="s">
        <v>67</v>
      </c>
      <c r="S96" s="4">
        <v>17</v>
      </c>
      <c r="T96" s="4">
        <v>17</v>
      </c>
      <c r="U96" s="5" t="s">
        <v>1394</v>
      </c>
      <c r="V96" s="5" t="s">
        <v>1394</v>
      </c>
      <c r="W96" s="5" t="s">
        <v>1130</v>
      </c>
      <c r="X96" s="5" t="s">
        <v>1130</v>
      </c>
      <c r="Y96" s="4">
        <v>303</v>
      </c>
      <c r="Z96" s="4">
        <v>251</v>
      </c>
      <c r="AA96" s="4">
        <v>252</v>
      </c>
      <c r="AB96" s="4">
        <v>3</v>
      </c>
      <c r="AC96" s="4">
        <v>3</v>
      </c>
      <c r="AD96" s="4">
        <v>6</v>
      </c>
      <c r="AE96" s="4">
        <v>6</v>
      </c>
      <c r="AF96" s="4">
        <v>3</v>
      </c>
      <c r="AG96" s="4">
        <v>3</v>
      </c>
      <c r="AH96" s="4">
        <v>0</v>
      </c>
      <c r="AI96" s="4">
        <v>0</v>
      </c>
      <c r="AJ96" s="4">
        <v>3</v>
      </c>
      <c r="AK96" s="4">
        <v>3</v>
      </c>
      <c r="AL96" s="4">
        <v>2</v>
      </c>
      <c r="AM96" s="4">
        <v>2</v>
      </c>
      <c r="AN96" s="4">
        <v>0</v>
      </c>
      <c r="AO96" s="4">
        <v>0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HYPERLINK("https://creighton-primo.hosted.exlibrisgroup.com/primo-explore/search?tab=default_tab&amp;search_scope=EVERYTHING&amp;vid=01CRU&amp;lang=en_US&amp;offset=0&amp;query=any,contains,991005164119702656","Catalog Record")</f>
        <v>Catalog Record</v>
      </c>
      <c r="AT96" s="6" t="str">
        <f>HYPERLINK("http://www.worldcat.org/oclc/7813054","WorldCat Record")</f>
        <v>WorldCat Record</v>
      </c>
      <c r="AU96" s="3" t="s">
        <v>1395</v>
      </c>
      <c r="AV96" s="3" t="s">
        <v>1396</v>
      </c>
      <c r="AW96" s="3" t="s">
        <v>1397</v>
      </c>
      <c r="AX96" s="3" t="s">
        <v>1397</v>
      </c>
      <c r="AY96" s="3" t="s">
        <v>1398</v>
      </c>
      <c r="AZ96" s="3" t="s">
        <v>74</v>
      </c>
      <c r="BB96" s="3" t="s">
        <v>1399</v>
      </c>
      <c r="BC96" s="3" t="s">
        <v>1400</v>
      </c>
      <c r="BD96" s="3" t="s">
        <v>1401</v>
      </c>
    </row>
    <row r="97" spans="1:56" ht="45.75" customHeight="1" x14ac:dyDescent="0.25">
      <c r="A97" s="7" t="s">
        <v>58</v>
      </c>
      <c r="B97" s="2" t="s">
        <v>1402</v>
      </c>
      <c r="C97" s="2" t="s">
        <v>1403</v>
      </c>
      <c r="D97" s="2" t="s">
        <v>1404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1405</v>
      </c>
      <c r="L97" s="2" t="s">
        <v>1406</v>
      </c>
      <c r="M97" s="3" t="s">
        <v>937</v>
      </c>
      <c r="O97" s="3" t="s">
        <v>65</v>
      </c>
      <c r="P97" s="3" t="s">
        <v>363</v>
      </c>
      <c r="R97" s="3" t="s">
        <v>67</v>
      </c>
      <c r="S97" s="4">
        <v>8</v>
      </c>
      <c r="T97" s="4">
        <v>8</v>
      </c>
      <c r="U97" s="5" t="s">
        <v>1394</v>
      </c>
      <c r="V97" s="5" t="s">
        <v>1394</v>
      </c>
      <c r="W97" s="5" t="s">
        <v>1407</v>
      </c>
      <c r="X97" s="5" t="s">
        <v>1407</v>
      </c>
      <c r="Y97" s="4">
        <v>214</v>
      </c>
      <c r="Z97" s="4">
        <v>192</v>
      </c>
      <c r="AA97" s="4">
        <v>202</v>
      </c>
      <c r="AB97" s="4">
        <v>2</v>
      </c>
      <c r="AC97" s="4">
        <v>2</v>
      </c>
      <c r="AD97" s="4">
        <v>7</v>
      </c>
      <c r="AE97" s="4">
        <v>7</v>
      </c>
      <c r="AF97" s="4">
        <v>3</v>
      </c>
      <c r="AG97" s="4">
        <v>3</v>
      </c>
      <c r="AH97" s="4">
        <v>0</v>
      </c>
      <c r="AI97" s="4">
        <v>0</v>
      </c>
      <c r="AJ97" s="4">
        <v>4</v>
      </c>
      <c r="AK97" s="4">
        <v>4</v>
      </c>
      <c r="AL97" s="4">
        <v>1</v>
      </c>
      <c r="AM97" s="4">
        <v>1</v>
      </c>
      <c r="AN97" s="4">
        <v>0</v>
      </c>
      <c r="AO97" s="4">
        <v>0</v>
      </c>
      <c r="AP97" s="3" t="s">
        <v>87</v>
      </c>
      <c r="AQ97" s="3" t="s">
        <v>58</v>
      </c>
      <c r="AR97" s="6" t="str">
        <f>HYPERLINK("http://catalog.hathitrust.org/Record/100805720","HathiTrust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HYPERLINK("https://creighton-primo.hosted.exlibrisgroup.com/primo-explore/search?tab=default_tab&amp;search_scope=EVERYTHING&amp;vid=01CRU&amp;lang=en_US&amp;offset=0&amp;query=any,contains,991004468179702656","Catalog Record")</f>
        <v>Catalog Record</v>
      </c>
      <c r="AT97" s="6" t="str">
        <f>HYPERLINK("http://www.worldcat.org/oclc/3582292","WorldCat Record")</f>
        <v>WorldCat Record</v>
      </c>
      <c r="AU97" s="3" t="s">
        <v>1408</v>
      </c>
      <c r="AV97" s="3" t="s">
        <v>1409</v>
      </c>
      <c r="AW97" s="3" t="s">
        <v>1410</v>
      </c>
      <c r="AX97" s="3" t="s">
        <v>1410</v>
      </c>
      <c r="AY97" s="3" t="s">
        <v>1411</v>
      </c>
      <c r="AZ97" s="3" t="s">
        <v>74</v>
      </c>
      <c r="BC97" s="3" t="s">
        <v>1412</v>
      </c>
      <c r="BD97" s="3" t="s">
        <v>1413</v>
      </c>
    </row>
    <row r="98" spans="1:56" ht="45.75" customHeight="1" x14ac:dyDescent="0.25">
      <c r="A98" s="7" t="s">
        <v>58</v>
      </c>
      <c r="B98" s="2" t="s">
        <v>1414</v>
      </c>
      <c r="C98" s="2" t="s">
        <v>1415</v>
      </c>
      <c r="D98" s="2" t="s">
        <v>1416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1417</v>
      </c>
      <c r="L98" s="2" t="s">
        <v>1418</v>
      </c>
      <c r="M98" s="3" t="s">
        <v>1419</v>
      </c>
      <c r="O98" s="3" t="s">
        <v>65</v>
      </c>
      <c r="P98" s="3" t="s">
        <v>772</v>
      </c>
      <c r="R98" s="3" t="s">
        <v>67</v>
      </c>
      <c r="S98" s="4">
        <v>9</v>
      </c>
      <c r="T98" s="4">
        <v>9</v>
      </c>
      <c r="U98" s="5" t="s">
        <v>1341</v>
      </c>
      <c r="V98" s="5" t="s">
        <v>1341</v>
      </c>
      <c r="W98" s="5" t="s">
        <v>745</v>
      </c>
      <c r="X98" s="5" t="s">
        <v>745</v>
      </c>
      <c r="Y98" s="4">
        <v>385</v>
      </c>
      <c r="Z98" s="4">
        <v>322</v>
      </c>
      <c r="AA98" s="4">
        <v>328</v>
      </c>
      <c r="AB98" s="4">
        <v>3</v>
      </c>
      <c r="AC98" s="4">
        <v>3</v>
      </c>
      <c r="AD98" s="4">
        <v>12</v>
      </c>
      <c r="AE98" s="4">
        <v>12</v>
      </c>
      <c r="AF98" s="4">
        <v>6</v>
      </c>
      <c r="AG98" s="4">
        <v>6</v>
      </c>
      <c r="AH98" s="4">
        <v>1</v>
      </c>
      <c r="AI98" s="4">
        <v>1</v>
      </c>
      <c r="AJ98" s="4">
        <v>5</v>
      </c>
      <c r="AK98" s="4">
        <v>5</v>
      </c>
      <c r="AL98" s="4">
        <v>2</v>
      </c>
      <c r="AM98" s="4">
        <v>2</v>
      </c>
      <c r="AN98" s="4">
        <v>0</v>
      </c>
      <c r="AO98" s="4">
        <v>0</v>
      </c>
      <c r="AP98" s="3" t="s">
        <v>58</v>
      </c>
      <c r="AQ98" s="3" t="s">
        <v>87</v>
      </c>
      <c r="AR98" s="6" t="str">
        <f>HYPERLINK("http://catalog.hathitrust.org/Record/000093421","HathiTrust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HYPERLINK("https://creighton-primo.hosted.exlibrisgroup.com/primo-explore/search?tab=default_tab&amp;search_scope=EVERYTHING&amp;vid=01CRU&amp;lang=en_US&amp;offset=0&amp;query=any,contains,991004492059702656","Catalog Record")</f>
        <v>Catalog Record</v>
      </c>
      <c r="AT98" s="6" t="str">
        <f>HYPERLINK("http://www.worldcat.org/oclc/3669339","WorldCat Record")</f>
        <v>WorldCat Record</v>
      </c>
      <c r="AU98" s="3" t="s">
        <v>1420</v>
      </c>
      <c r="AV98" s="3" t="s">
        <v>1421</v>
      </c>
      <c r="AW98" s="3" t="s">
        <v>1422</v>
      </c>
      <c r="AX98" s="3" t="s">
        <v>1422</v>
      </c>
      <c r="AY98" s="3" t="s">
        <v>1423</v>
      </c>
      <c r="AZ98" s="3" t="s">
        <v>74</v>
      </c>
      <c r="BB98" s="3" t="s">
        <v>1424</v>
      </c>
      <c r="BC98" s="3" t="s">
        <v>1425</v>
      </c>
      <c r="BD98" s="3" t="s">
        <v>1426</v>
      </c>
    </row>
    <row r="99" spans="1:56" ht="45.75" customHeight="1" x14ac:dyDescent="0.25">
      <c r="A99" s="7" t="s">
        <v>58</v>
      </c>
      <c r="B99" s="2" t="s">
        <v>1427</v>
      </c>
      <c r="C99" s="2" t="s">
        <v>1428</v>
      </c>
      <c r="D99" s="2" t="s">
        <v>1429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1430</v>
      </c>
      <c r="L99" s="2" t="s">
        <v>1431</v>
      </c>
      <c r="M99" s="3" t="s">
        <v>116</v>
      </c>
      <c r="O99" s="3" t="s">
        <v>65</v>
      </c>
      <c r="P99" s="3" t="s">
        <v>84</v>
      </c>
      <c r="R99" s="3" t="s">
        <v>67</v>
      </c>
      <c r="S99" s="4">
        <v>4</v>
      </c>
      <c r="T99" s="4">
        <v>4</v>
      </c>
      <c r="U99" s="5" t="s">
        <v>1432</v>
      </c>
      <c r="V99" s="5" t="s">
        <v>1432</v>
      </c>
      <c r="W99" s="5" t="s">
        <v>1433</v>
      </c>
      <c r="X99" s="5" t="s">
        <v>1433</v>
      </c>
      <c r="Y99" s="4">
        <v>694</v>
      </c>
      <c r="Z99" s="4">
        <v>656</v>
      </c>
      <c r="AA99" s="4">
        <v>891</v>
      </c>
      <c r="AB99" s="4">
        <v>8</v>
      </c>
      <c r="AC99" s="4">
        <v>8</v>
      </c>
      <c r="AD99" s="4">
        <v>13</v>
      </c>
      <c r="AE99" s="4">
        <v>21</v>
      </c>
      <c r="AF99" s="4">
        <v>2</v>
      </c>
      <c r="AG99" s="4">
        <v>9</v>
      </c>
      <c r="AH99" s="4">
        <v>3</v>
      </c>
      <c r="AI99" s="4">
        <v>3</v>
      </c>
      <c r="AJ99" s="4">
        <v>7</v>
      </c>
      <c r="AK99" s="4">
        <v>11</v>
      </c>
      <c r="AL99" s="4">
        <v>3</v>
      </c>
      <c r="AM99" s="4">
        <v>3</v>
      </c>
      <c r="AN99" s="4">
        <v>0</v>
      </c>
      <c r="AO99" s="4">
        <v>0</v>
      </c>
      <c r="AP99" s="3" t="s">
        <v>58</v>
      </c>
      <c r="AQ99" s="3" t="s">
        <v>87</v>
      </c>
      <c r="AR99" s="6" t="str">
        <f>HYPERLINK("http://catalog.hathitrust.org/Record/003968710","HathiTrust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HYPERLINK("https://creighton-primo.hosted.exlibrisgroup.com/primo-explore/search?tab=default_tab&amp;search_scope=EVERYTHING&amp;vid=01CRU&amp;lang=en_US&amp;offset=0&amp;query=any,contains,991002851079702656","Catalog Record")</f>
        <v>Catalog Record</v>
      </c>
      <c r="AT99" s="6" t="str">
        <f>HYPERLINK("http://www.worldcat.org/oclc/37567302","WorldCat Record")</f>
        <v>WorldCat Record</v>
      </c>
      <c r="AU99" s="3" t="s">
        <v>1434</v>
      </c>
      <c r="AV99" s="3" t="s">
        <v>1435</v>
      </c>
      <c r="AW99" s="3" t="s">
        <v>1436</v>
      </c>
      <c r="AX99" s="3" t="s">
        <v>1436</v>
      </c>
      <c r="AY99" s="3" t="s">
        <v>1437</v>
      </c>
      <c r="AZ99" s="3" t="s">
        <v>74</v>
      </c>
      <c r="BB99" s="3" t="s">
        <v>1438</v>
      </c>
      <c r="BC99" s="3" t="s">
        <v>1439</v>
      </c>
      <c r="BD99" s="3" t="s">
        <v>1440</v>
      </c>
    </row>
    <row r="100" spans="1:56" ht="45.75" customHeight="1" x14ac:dyDescent="0.25">
      <c r="A100" s="7" t="s">
        <v>58</v>
      </c>
      <c r="B100" s="2" t="s">
        <v>1441</v>
      </c>
      <c r="C100" s="2" t="s">
        <v>1442</v>
      </c>
      <c r="D100" s="2" t="s">
        <v>1443</v>
      </c>
      <c r="E100" s="3" t="s">
        <v>1444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1445</v>
      </c>
      <c r="L100" s="2" t="s">
        <v>1446</v>
      </c>
      <c r="M100" s="3" t="s">
        <v>1338</v>
      </c>
      <c r="O100" s="3" t="s">
        <v>65</v>
      </c>
      <c r="P100" s="3" t="s">
        <v>1340</v>
      </c>
      <c r="Q100" s="2" t="s">
        <v>1447</v>
      </c>
      <c r="R100" s="3" t="s">
        <v>67</v>
      </c>
      <c r="S100" s="4">
        <v>1</v>
      </c>
      <c r="T100" s="4">
        <v>1</v>
      </c>
      <c r="U100" s="5" t="s">
        <v>1448</v>
      </c>
      <c r="V100" s="5" t="s">
        <v>1448</v>
      </c>
      <c r="W100" s="5" t="s">
        <v>1449</v>
      </c>
      <c r="X100" s="5" t="s">
        <v>1449</v>
      </c>
      <c r="Y100" s="4">
        <v>217</v>
      </c>
      <c r="Z100" s="4">
        <v>201</v>
      </c>
      <c r="AA100" s="4">
        <v>417</v>
      </c>
      <c r="AB100" s="4">
        <v>3</v>
      </c>
      <c r="AC100" s="4">
        <v>4</v>
      </c>
      <c r="AD100" s="4">
        <v>8</v>
      </c>
      <c r="AE100" s="4">
        <v>15</v>
      </c>
      <c r="AF100" s="4">
        <v>3</v>
      </c>
      <c r="AG100" s="4">
        <v>6</v>
      </c>
      <c r="AH100" s="4">
        <v>3</v>
      </c>
      <c r="AI100" s="4">
        <v>5</v>
      </c>
      <c r="AJ100" s="4">
        <v>1</v>
      </c>
      <c r="AK100" s="4">
        <v>4</v>
      </c>
      <c r="AL100" s="4">
        <v>2</v>
      </c>
      <c r="AM100" s="4">
        <v>2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HYPERLINK("https://creighton-primo.hosted.exlibrisgroup.com/primo-explore/search?tab=default_tab&amp;search_scope=EVERYTHING&amp;vid=01CRU&amp;lang=en_US&amp;offset=0&amp;query=any,contains,991002894849702656","Catalog Record")</f>
        <v>Catalog Record</v>
      </c>
      <c r="AT100" s="6" t="str">
        <f>HYPERLINK("http://www.worldcat.org/oclc/513664","WorldCat Record")</f>
        <v>WorldCat Record</v>
      </c>
      <c r="AU100" s="3" t="s">
        <v>1450</v>
      </c>
      <c r="AV100" s="3" t="s">
        <v>1451</v>
      </c>
      <c r="AW100" s="3" t="s">
        <v>1452</v>
      </c>
      <c r="AX100" s="3" t="s">
        <v>1452</v>
      </c>
      <c r="AY100" s="3" t="s">
        <v>1453</v>
      </c>
      <c r="AZ100" s="3" t="s">
        <v>74</v>
      </c>
      <c r="BC100" s="3" t="s">
        <v>1454</v>
      </c>
      <c r="BD100" s="3" t="s">
        <v>1455</v>
      </c>
    </row>
    <row r="101" spans="1:56" ht="45.75" customHeight="1" x14ac:dyDescent="0.25">
      <c r="A101" s="7" t="s">
        <v>58</v>
      </c>
      <c r="B101" s="2" t="s">
        <v>1456</v>
      </c>
      <c r="C101" s="2" t="s">
        <v>1457</v>
      </c>
      <c r="D101" s="2" t="s">
        <v>1458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L101" s="2" t="s">
        <v>1459</v>
      </c>
      <c r="M101" s="3" t="s">
        <v>290</v>
      </c>
      <c r="O101" s="3" t="s">
        <v>65</v>
      </c>
      <c r="P101" s="3" t="s">
        <v>84</v>
      </c>
      <c r="R101" s="3" t="s">
        <v>67</v>
      </c>
      <c r="S101" s="4">
        <v>7</v>
      </c>
      <c r="T101" s="4">
        <v>7</v>
      </c>
      <c r="U101" s="5" t="s">
        <v>1460</v>
      </c>
      <c r="V101" s="5" t="s">
        <v>1460</v>
      </c>
      <c r="W101" s="5" t="s">
        <v>910</v>
      </c>
      <c r="X101" s="5" t="s">
        <v>910</v>
      </c>
      <c r="Y101" s="4">
        <v>286</v>
      </c>
      <c r="Z101" s="4">
        <v>185</v>
      </c>
      <c r="AA101" s="4">
        <v>213</v>
      </c>
      <c r="AB101" s="4">
        <v>1</v>
      </c>
      <c r="AC101" s="4">
        <v>1</v>
      </c>
      <c r="AD101" s="4">
        <v>12</v>
      </c>
      <c r="AE101" s="4">
        <v>12</v>
      </c>
      <c r="AF101" s="4">
        <v>5</v>
      </c>
      <c r="AG101" s="4">
        <v>5</v>
      </c>
      <c r="AH101" s="4">
        <v>4</v>
      </c>
      <c r="AI101" s="4">
        <v>4</v>
      </c>
      <c r="AJ101" s="4">
        <v>8</v>
      </c>
      <c r="AK101" s="4">
        <v>8</v>
      </c>
      <c r="AL101" s="4">
        <v>0</v>
      </c>
      <c r="AM101" s="4">
        <v>0</v>
      </c>
      <c r="AN101" s="4">
        <v>0</v>
      </c>
      <c r="AO101" s="4">
        <v>0</v>
      </c>
      <c r="AP101" s="3" t="s">
        <v>58</v>
      </c>
      <c r="AQ101" s="3" t="s">
        <v>58</v>
      </c>
      <c r="AS101" s="6" t="str">
        <f>HYPERLINK("https://creighton-primo.hosted.exlibrisgroup.com/primo-explore/search?tab=default_tab&amp;search_scope=EVERYTHING&amp;vid=01CRU&amp;lang=en_US&amp;offset=0&amp;query=any,contains,991003760489702656","Catalog Record")</f>
        <v>Catalog Record</v>
      </c>
      <c r="AT101" s="6" t="str">
        <f>HYPERLINK("http://www.worldcat.org/oclc/45087426","WorldCat Record")</f>
        <v>WorldCat Record</v>
      </c>
      <c r="AU101" s="3" t="s">
        <v>1461</v>
      </c>
      <c r="AV101" s="3" t="s">
        <v>1462</v>
      </c>
      <c r="AW101" s="3" t="s">
        <v>1463</v>
      </c>
      <c r="AX101" s="3" t="s">
        <v>1463</v>
      </c>
      <c r="AY101" s="3" t="s">
        <v>1464</v>
      </c>
      <c r="AZ101" s="3" t="s">
        <v>74</v>
      </c>
      <c r="BB101" s="3" t="s">
        <v>1465</v>
      </c>
      <c r="BC101" s="3" t="s">
        <v>1466</v>
      </c>
      <c r="BD101" s="3" t="s">
        <v>1467</v>
      </c>
    </row>
    <row r="102" spans="1:56" ht="45.75" customHeight="1" x14ac:dyDescent="0.25">
      <c r="A102" s="7" t="s">
        <v>58</v>
      </c>
      <c r="B102" s="2" t="s">
        <v>1468</v>
      </c>
      <c r="C102" s="2" t="s">
        <v>1469</v>
      </c>
      <c r="D102" s="2" t="s">
        <v>1470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L102" s="2" t="s">
        <v>1471</v>
      </c>
      <c r="M102" s="3" t="s">
        <v>189</v>
      </c>
      <c r="O102" s="3" t="s">
        <v>65</v>
      </c>
      <c r="P102" s="3" t="s">
        <v>66</v>
      </c>
      <c r="R102" s="3" t="s">
        <v>67</v>
      </c>
      <c r="S102" s="4">
        <v>1</v>
      </c>
      <c r="T102" s="4">
        <v>1</v>
      </c>
      <c r="U102" s="5" t="s">
        <v>1472</v>
      </c>
      <c r="V102" s="5" t="s">
        <v>1472</v>
      </c>
      <c r="W102" s="5" t="s">
        <v>1472</v>
      </c>
      <c r="X102" s="5" t="s">
        <v>1472</v>
      </c>
      <c r="Y102" s="4">
        <v>335</v>
      </c>
      <c r="Z102" s="4">
        <v>285</v>
      </c>
      <c r="AA102" s="4">
        <v>324</v>
      </c>
      <c r="AB102" s="4">
        <v>4</v>
      </c>
      <c r="AC102" s="4">
        <v>4</v>
      </c>
      <c r="AD102" s="4">
        <v>8</v>
      </c>
      <c r="AE102" s="4">
        <v>8</v>
      </c>
      <c r="AF102" s="4">
        <v>0</v>
      </c>
      <c r="AG102" s="4">
        <v>0</v>
      </c>
      <c r="AH102" s="4">
        <v>1</v>
      </c>
      <c r="AI102" s="4">
        <v>1</v>
      </c>
      <c r="AJ102" s="4">
        <v>5</v>
      </c>
      <c r="AK102" s="4">
        <v>5</v>
      </c>
      <c r="AL102" s="4">
        <v>3</v>
      </c>
      <c r="AM102" s="4">
        <v>3</v>
      </c>
      <c r="AN102" s="4">
        <v>0</v>
      </c>
      <c r="AO102" s="4">
        <v>0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HYPERLINK("https://creighton-primo.hosted.exlibrisgroup.com/primo-explore/search?tab=default_tab&amp;search_scope=EVERYTHING&amp;vid=01CRU&amp;lang=en_US&amp;offset=0&amp;query=any,contains,991005388509702656","Catalog Record")</f>
        <v>Catalog Record</v>
      </c>
      <c r="AT102" s="6" t="str">
        <f>HYPERLINK("http://www.worldcat.org/oclc/262892122","WorldCat Record")</f>
        <v>WorldCat Record</v>
      </c>
      <c r="AU102" s="3" t="s">
        <v>1473</v>
      </c>
      <c r="AV102" s="3" t="s">
        <v>1474</v>
      </c>
      <c r="AW102" s="3" t="s">
        <v>1475</v>
      </c>
      <c r="AX102" s="3" t="s">
        <v>1475</v>
      </c>
      <c r="AY102" s="3" t="s">
        <v>1476</v>
      </c>
      <c r="AZ102" s="3" t="s">
        <v>74</v>
      </c>
      <c r="BB102" s="3" t="s">
        <v>1477</v>
      </c>
      <c r="BC102" s="3" t="s">
        <v>1478</v>
      </c>
      <c r="BD102" s="3" t="s">
        <v>1479</v>
      </c>
    </row>
    <row r="103" spans="1:56" ht="45.75" customHeight="1" x14ac:dyDescent="0.25">
      <c r="A103" s="7" t="s">
        <v>58</v>
      </c>
      <c r="B103" s="2" t="s">
        <v>1480</v>
      </c>
      <c r="C103" s="2" t="s">
        <v>1481</v>
      </c>
      <c r="D103" s="2" t="s">
        <v>1482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1483</v>
      </c>
      <c r="L103" s="2" t="s">
        <v>1484</v>
      </c>
      <c r="M103" s="3" t="s">
        <v>1485</v>
      </c>
      <c r="O103" s="3" t="s">
        <v>65</v>
      </c>
      <c r="P103" s="3" t="s">
        <v>84</v>
      </c>
      <c r="R103" s="3" t="s">
        <v>67</v>
      </c>
      <c r="S103" s="4">
        <v>3</v>
      </c>
      <c r="T103" s="4">
        <v>3</v>
      </c>
      <c r="U103" s="5" t="s">
        <v>1486</v>
      </c>
      <c r="V103" s="5" t="s">
        <v>1486</v>
      </c>
      <c r="W103" s="5" t="s">
        <v>1487</v>
      </c>
      <c r="X103" s="5" t="s">
        <v>1487</v>
      </c>
      <c r="Y103" s="4">
        <v>267</v>
      </c>
      <c r="Z103" s="4">
        <v>242</v>
      </c>
      <c r="AA103" s="4">
        <v>262</v>
      </c>
      <c r="AB103" s="4">
        <v>2</v>
      </c>
      <c r="AC103" s="4">
        <v>2</v>
      </c>
      <c r="AD103" s="4">
        <v>8</v>
      </c>
      <c r="AE103" s="4">
        <v>9</v>
      </c>
      <c r="AF103" s="4">
        <v>4</v>
      </c>
      <c r="AG103" s="4">
        <v>4</v>
      </c>
      <c r="AH103" s="4">
        <v>1</v>
      </c>
      <c r="AI103" s="4">
        <v>1</v>
      </c>
      <c r="AJ103" s="4">
        <v>3</v>
      </c>
      <c r="AK103" s="4">
        <v>4</v>
      </c>
      <c r="AL103" s="4">
        <v>1</v>
      </c>
      <c r="AM103" s="4">
        <v>1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HYPERLINK("https://creighton-primo.hosted.exlibrisgroup.com/primo-explore/search?tab=default_tab&amp;search_scope=EVERYTHING&amp;vid=01CRU&amp;lang=en_US&amp;offset=0&amp;query=any,contains,991004112219702656","Catalog Record")</f>
        <v>Catalog Record</v>
      </c>
      <c r="AT103" s="6" t="str">
        <f>HYPERLINK("http://www.worldcat.org/oclc/2401404","WorldCat Record")</f>
        <v>WorldCat Record</v>
      </c>
      <c r="AU103" s="3" t="s">
        <v>1488</v>
      </c>
      <c r="AV103" s="3" t="s">
        <v>1489</v>
      </c>
      <c r="AW103" s="3" t="s">
        <v>1490</v>
      </c>
      <c r="AX103" s="3" t="s">
        <v>1490</v>
      </c>
      <c r="AY103" s="3" t="s">
        <v>1491</v>
      </c>
      <c r="AZ103" s="3" t="s">
        <v>74</v>
      </c>
      <c r="BB103" s="3" t="s">
        <v>1492</v>
      </c>
      <c r="BC103" s="3" t="s">
        <v>1493</v>
      </c>
      <c r="BD103" s="3" t="s">
        <v>1494</v>
      </c>
    </row>
    <row r="104" spans="1:56" ht="45.75" customHeight="1" x14ac:dyDescent="0.25">
      <c r="A104" s="7" t="s">
        <v>58</v>
      </c>
      <c r="B104" s="2" t="s">
        <v>1495</v>
      </c>
      <c r="C104" s="2" t="s">
        <v>1496</v>
      </c>
      <c r="D104" s="2" t="s">
        <v>1497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1498</v>
      </c>
      <c r="L104" s="2" t="s">
        <v>1499</v>
      </c>
      <c r="M104" s="3" t="s">
        <v>1500</v>
      </c>
      <c r="O104" s="3" t="s">
        <v>65</v>
      </c>
      <c r="P104" s="3" t="s">
        <v>132</v>
      </c>
      <c r="R104" s="3" t="s">
        <v>67</v>
      </c>
      <c r="S104" s="4">
        <v>9</v>
      </c>
      <c r="T104" s="4">
        <v>9</v>
      </c>
      <c r="U104" s="5" t="s">
        <v>1501</v>
      </c>
      <c r="V104" s="5" t="s">
        <v>1501</v>
      </c>
      <c r="W104" s="5" t="s">
        <v>1046</v>
      </c>
      <c r="X104" s="5" t="s">
        <v>1046</v>
      </c>
      <c r="Y104" s="4">
        <v>624</v>
      </c>
      <c r="Z104" s="4">
        <v>533</v>
      </c>
      <c r="AA104" s="4">
        <v>534</v>
      </c>
      <c r="AB104" s="4">
        <v>3</v>
      </c>
      <c r="AC104" s="4">
        <v>3</v>
      </c>
      <c r="AD104" s="4">
        <v>13</v>
      </c>
      <c r="AE104" s="4">
        <v>13</v>
      </c>
      <c r="AF104" s="4">
        <v>2</v>
      </c>
      <c r="AG104" s="4">
        <v>2</v>
      </c>
      <c r="AH104" s="4">
        <v>4</v>
      </c>
      <c r="AI104" s="4">
        <v>4</v>
      </c>
      <c r="AJ104" s="4">
        <v>9</v>
      </c>
      <c r="AK104" s="4">
        <v>9</v>
      </c>
      <c r="AL104" s="4">
        <v>1</v>
      </c>
      <c r="AM104" s="4">
        <v>1</v>
      </c>
      <c r="AN104" s="4">
        <v>0</v>
      </c>
      <c r="AO104" s="4">
        <v>0</v>
      </c>
      <c r="AP104" s="3" t="s">
        <v>58</v>
      </c>
      <c r="AQ104" s="3" t="s">
        <v>58</v>
      </c>
      <c r="AS104" s="6" t="str">
        <f>HYPERLINK("https://creighton-primo.hosted.exlibrisgroup.com/primo-explore/search?tab=default_tab&amp;search_scope=EVERYTHING&amp;vid=01CRU&amp;lang=en_US&amp;offset=0&amp;query=any,contains,991004909929702656","Catalog Record")</f>
        <v>Catalog Record</v>
      </c>
      <c r="AT104" s="6" t="str">
        <f>HYPERLINK("http://www.worldcat.org/oclc/5989450","WorldCat Record")</f>
        <v>WorldCat Record</v>
      </c>
      <c r="AU104" s="3" t="s">
        <v>1502</v>
      </c>
      <c r="AV104" s="3" t="s">
        <v>1503</v>
      </c>
      <c r="AW104" s="3" t="s">
        <v>1504</v>
      </c>
      <c r="AX104" s="3" t="s">
        <v>1504</v>
      </c>
      <c r="AY104" s="3" t="s">
        <v>1505</v>
      </c>
      <c r="AZ104" s="3" t="s">
        <v>74</v>
      </c>
      <c r="BB104" s="3" t="s">
        <v>1506</v>
      </c>
      <c r="BC104" s="3" t="s">
        <v>1507</v>
      </c>
      <c r="BD104" s="3" t="s">
        <v>1508</v>
      </c>
    </row>
    <row r="105" spans="1:56" ht="45.75" customHeight="1" x14ac:dyDescent="0.25">
      <c r="A105" s="7" t="s">
        <v>58</v>
      </c>
      <c r="B105" s="2" t="s">
        <v>1509</v>
      </c>
      <c r="C105" s="2" t="s">
        <v>1510</v>
      </c>
      <c r="D105" s="2" t="s">
        <v>1511</v>
      </c>
      <c r="E105" s="3" t="s">
        <v>1512</v>
      </c>
      <c r="F105" s="3" t="s">
        <v>87</v>
      </c>
      <c r="G105" s="3" t="s">
        <v>59</v>
      </c>
      <c r="H105" s="3" t="s">
        <v>58</v>
      </c>
      <c r="I105" s="3" t="s">
        <v>58</v>
      </c>
      <c r="J105" s="3" t="s">
        <v>60</v>
      </c>
      <c r="L105" s="2" t="s">
        <v>1513</v>
      </c>
      <c r="M105" s="3" t="s">
        <v>557</v>
      </c>
      <c r="O105" s="3" t="s">
        <v>65</v>
      </c>
      <c r="P105" s="3" t="s">
        <v>336</v>
      </c>
      <c r="R105" s="3" t="s">
        <v>67</v>
      </c>
      <c r="S105" s="4">
        <v>11</v>
      </c>
      <c r="T105" s="4">
        <v>11</v>
      </c>
      <c r="U105" s="5" t="s">
        <v>1514</v>
      </c>
      <c r="V105" s="5" t="s">
        <v>1514</v>
      </c>
      <c r="W105" s="5" t="s">
        <v>1381</v>
      </c>
      <c r="X105" s="5" t="s">
        <v>1381</v>
      </c>
      <c r="Y105" s="4">
        <v>299</v>
      </c>
      <c r="Z105" s="4">
        <v>265</v>
      </c>
      <c r="AA105" s="4">
        <v>823</v>
      </c>
      <c r="AB105" s="4">
        <v>2</v>
      </c>
      <c r="AC105" s="4">
        <v>2</v>
      </c>
      <c r="AD105" s="4">
        <v>9</v>
      </c>
      <c r="AE105" s="4">
        <v>12</v>
      </c>
      <c r="AF105" s="4">
        <v>4</v>
      </c>
      <c r="AG105" s="4">
        <v>6</v>
      </c>
      <c r="AH105" s="4">
        <v>2</v>
      </c>
      <c r="AI105" s="4">
        <v>3</v>
      </c>
      <c r="AJ105" s="4">
        <v>5</v>
      </c>
      <c r="AK105" s="4">
        <v>6</v>
      </c>
      <c r="AL105" s="4">
        <v>1</v>
      </c>
      <c r="AM105" s="4">
        <v>1</v>
      </c>
      <c r="AN105" s="4">
        <v>0</v>
      </c>
      <c r="AO105" s="4">
        <v>0</v>
      </c>
      <c r="AP105" s="3" t="s">
        <v>58</v>
      </c>
      <c r="AQ105" s="3" t="s">
        <v>58</v>
      </c>
      <c r="AS105" s="6" t="str">
        <f>HYPERLINK("https://creighton-primo.hosted.exlibrisgroup.com/primo-explore/search?tab=default_tab&amp;search_scope=EVERYTHING&amp;vid=01CRU&amp;lang=en_US&amp;offset=0&amp;query=any,contains,991001992199702656","Catalog Record")</f>
        <v>Catalog Record</v>
      </c>
      <c r="AT105" s="6" t="str">
        <f>HYPERLINK("http://www.worldcat.org/oclc/25315969","WorldCat Record")</f>
        <v>WorldCat Record</v>
      </c>
      <c r="AU105" s="3" t="s">
        <v>1515</v>
      </c>
      <c r="AV105" s="3" t="s">
        <v>1516</v>
      </c>
      <c r="AW105" s="3" t="s">
        <v>1517</v>
      </c>
      <c r="AX105" s="3" t="s">
        <v>1517</v>
      </c>
      <c r="AY105" s="3" t="s">
        <v>1518</v>
      </c>
      <c r="AZ105" s="3" t="s">
        <v>74</v>
      </c>
      <c r="BB105" s="3" t="s">
        <v>1519</v>
      </c>
      <c r="BC105" s="3" t="s">
        <v>1520</v>
      </c>
      <c r="BD105" s="3" t="s">
        <v>1521</v>
      </c>
    </row>
    <row r="106" spans="1:56" ht="45.75" customHeight="1" x14ac:dyDescent="0.25">
      <c r="A106" s="7" t="s">
        <v>58</v>
      </c>
      <c r="B106" s="2" t="s">
        <v>1522</v>
      </c>
      <c r="C106" s="2" t="s">
        <v>1523</v>
      </c>
      <c r="D106" s="2" t="s">
        <v>1524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1525</v>
      </c>
      <c r="L106" s="2" t="s">
        <v>1526</v>
      </c>
      <c r="M106" s="3" t="s">
        <v>923</v>
      </c>
      <c r="O106" s="3" t="s">
        <v>1527</v>
      </c>
      <c r="P106" s="3" t="s">
        <v>1528</v>
      </c>
      <c r="Q106" s="2" t="s">
        <v>1529</v>
      </c>
      <c r="R106" s="3" t="s">
        <v>67</v>
      </c>
      <c r="S106" s="4">
        <v>1</v>
      </c>
      <c r="T106" s="4">
        <v>1</v>
      </c>
      <c r="U106" s="5" t="s">
        <v>1530</v>
      </c>
      <c r="V106" s="5" t="s">
        <v>1530</v>
      </c>
      <c r="W106" s="5" t="s">
        <v>1531</v>
      </c>
      <c r="X106" s="5" t="s">
        <v>1531</v>
      </c>
      <c r="Y106" s="4">
        <v>14</v>
      </c>
      <c r="Z106" s="4">
        <v>8</v>
      </c>
      <c r="AA106" s="4">
        <v>9</v>
      </c>
      <c r="AB106" s="4">
        <v>1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3" t="s">
        <v>58</v>
      </c>
      <c r="AQ106" s="3" t="s">
        <v>58</v>
      </c>
      <c r="AS106" s="6" t="str">
        <f>HYPERLINK("https://creighton-primo.hosted.exlibrisgroup.com/primo-explore/search?tab=default_tab&amp;search_scope=EVERYTHING&amp;vid=01CRU&amp;lang=en_US&amp;offset=0&amp;query=any,contains,991003848759702656","Catalog Record")</f>
        <v>Catalog Record</v>
      </c>
      <c r="AT106" s="6" t="str">
        <f>HYPERLINK("http://www.worldcat.org/oclc/24338291","WorldCat Record")</f>
        <v>WorldCat Record</v>
      </c>
      <c r="AU106" s="3" t="s">
        <v>1532</v>
      </c>
      <c r="AV106" s="3" t="s">
        <v>1533</v>
      </c>
      <c r="AW106" s="3" t="s">
        <v>1534</v>
      </c>
      <c r="AX106" s="3" t="s">
        <v>1534</v>
      </c>
      <c r="AY106" s="3" t="s">
        <v>1535</v>
      </c>
      <c r="AZ106" s="3" t="s">
        <v>74</v>
      </c>
      <c r="BB106" s="3" t="s">
        <v>1536</v>
      </c>
      <c r="BC106" s="3" t="s">
        <v>1537</v>
      </c>
      <c r="BD106" s="3" t="s">
        <v>1538</v>
      </c>
    </row>
    <row r="107" spans="1:56" ht="45.75" customHeight="1" x14ac:dyDescent="0.25">
      <c r="A107" s="7" t="s">
        <v>58</v>
      </c>
      <c r="B107" s="2" t="s">
        <v>1539</v>
      </c>
      <c r="C107" s="2" t="s">
        <v>1540</v>
      </c>
      <c r="D107" s="2" t="s">
        <v>1541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1542</v>
      </c>
      <c r="L107" s="2" t="s">
        <v>1543</v>
      </c>
      <c r="M107" s="3" t="s">
        <v>1544</v>
      </c>
      <c r="N107" s="2" t="s">
        <v>1545</v>
      </c>
      <c r="O107" s="3" t="s">
        <v>65</v>
      </c>
      <c r="P107" s="3" t="s">
        <v>175</v>
      </c>
      <c r="R107" s="3" t="s">
        <v>67</v>
      </c>
      <c r="S107" s="4">
        <v>7</v>
      </c>
      <c r="T107" s="4">
        <v>7</v>
      </c>
      <c r="U107" s="5" t="s">
        <v>1546</v>
      </c>
      <c r="V107" s="5" t="s">
        <v>1546</v>
      </c>
      <c r="W107" s="5" t="s">
        <v>1487</v>
      </c>
      <c r="X107" s="5" t="s">
        <v>1487</v>
      </c>
      <c r="Y107" s="4">
        <v>136</v>
      </c>
      <c r="Z107" s="4">
        <v>93</v>
      </c>
      <c r="AA107" s="4">
        <v>336</v>
      </c>
      <c r="AB107" s="4">
        <v>1</v>
      </c>
      <c r="AC107" s="4">
        <v>2</v>
      </c>
      <c r="AD107" s="4">
        <v>3</v>
      </c>
      <c r="AE107" s="4">
        <v>10</v>
      </c>
      <c r="AF107" s="4">
        <v>1</v>
      </c>
      <c r="AG107" s="4">
        <v>2</v>
      </c>
      <c r="AH107" s="4">
        <v>0</v>
      </c>
      <c r="AI107" s="4">
        <v>4</v>
      </c>
      <c r="AJ107" s="4">
        <v>2</v>
      </c>
      <c r="AK107" s="4">
        <v>5</v>
      </c>
      <c r="AL107" s="4">
        <v>0</v>
      </c>
      <c r="AM107" s="4">
        <v>1</v>
      </c>
      <c r="AN107" s="4">
        <v>0</v>
      </c>
      <c r="AO107" s="4">
        <v>0</v>
      </c>
      <c r="AP107" s="3" t="s">
        <v>58</v>
      </c>
      <c r="AQ107" s="3" t="s">
        <v>58</v>
      </c>
      <c r="AS107" s="6" t="str">
        <f>HYPERLINK("https://creighton-primo.hosted.exlibrisgroup.com/primo-explore/search?tab=default_tab&amp;search_scope=EVERYTHING&amp;vid=01CRU&amp;lang=en_US&amp;offset=0&amp;query=any,contains,991004203059702656","Catalog Record")</f>
        <v>Catalog Record</v>
      </c>
      <c r="AT107" s="6" t="str">
        <f>HYPERLINK("http://www.worldcat.org/oclc/2656552","WorldCat Record")</f>
        <v>WorldCat Record</v>
      </c>
      <c r="AU107" s="3" t="s">
        <v>1547</v>
      </c>
      <c r="AV107" s="3" t="s">
        <v>1548</v>
      </c>
      <c r="AW107" s="3" t="s">
        <v>1549</v>
      </c>
      <c r="AX107" s="3" t="s">
        <v>1549</v>
      </c>
      <c r="AY107" s="3" t="s">
        <v>1550</v>
      </c>
      <c r="AZ107" s="3" t="s">
        <v>74</v>
      </c>
      <c r="BB107" s="3" t="s">
        <v>1551</v>
      </c>
      <c r="BC107" s="3" t="s">
        <v>1552</v>
      </c>
      <c r="BD107" s="3" t="s">
        <v>1553</v>
      </c>
    </row>
    <row r="108" spans="1:56" ht="45.75" customHeight="1" x14ac:dyDescent="0.25">
      <c r="A108" s="7" t="s">
        <v>58</v>
      </c>
      <c r="B108" s="2" t="s">
        <v>1554</v>
      </c>
      <c r="C108" s="2" t="s">
        <v>1555</v>
      </c>
      <c r="D108" s="2" t="s">
        <v>1556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L108" s="2" t="s">
        <v>1557</v>
      </c>
      <c r="M108" s="3" t="s">
        <v>1485</v>
      </c>
      <c r="O108" s="3" t="s">
        <v>65</v>
      </c>
      <c r="P108" s="3" t="s">
        <v>772</v>
      </c>
      <c r="R108" s="3" t="s">
        <v>67</v>
      </c>
      <c r="S108" s="4">
        <v>4</v>
      </c>
      <c r="T108" s="4">
        <v>4</v>
      </c>
      <c r="U108" s="5" t="s">
        <v>1501</v>
      </c>
      <c r="V108" s="5" t="s">
        <v>1501</v>
      </c>
      <c r="W108" s="5" t="s">
        <v>1558</v>
      </c>
      <c r="X108" s="5" t="s">
        <v>1558</v>
      </c>
      <c r="Y108" s="4">
        <v>465</v>
      </c>
      <c r="Z108" s="4">
        <v>387</v>
      </c>
      <c r="AA108" s="4">
        <v>392</v>
      </c>
      <c r="AB108" s="4">
        <v>5</v>
      </c>
      <c r="AC108" s="4">
        <v>5</v>
      </c>
      <c r="AD108" s="4">
        <v>13</v>
      </c>
      <c r="AE108" s="4">
        <v>13</v>
      </c>
      <c r="AF108" s="4">
        <v>4</v>
      </c>
      <c r="AG108" s="4">
        <v>4</v>
      </c>
      <c r="AH108" s="4">
        <v>4</v>
      </c>
      <c r="AI108" s="4">
        <v>4</v>
      </c>
      <c r="AJ108" s="4">
        <v>6</v>
      </c>
      <c r="AK108" s="4">
        <v>6</v>
      </c>
      <c r="AL108" s="4">
        <v>3</v>
      </c>
      <c r="AM108" s="4">
        <v>3</v>
      </c>
      <c r="AN108" s="4">
        <v>0</v>
      </c>
      <c r="AO108" s="4">
        <v>0</v>
      </c>
      <c r="AP108" s="3" t="s">
        <v>58</v>
      </c>
      <c r="AQ108" s="3" t="s">
        <v>58</v>
      </c>
      <c r="AS108" s="6" t="str">
        <f>HYPERLINK("https://creighton-primo.hosted.exlibrisgroup.com/primo-explore/search?tab=default_tab&amp;search_scope=EVERYTHING&amp;vid=01CRU&amp;lang=en_US&amp;offset=0&amp;query=any,contains,991004019669702656","Catalog Record")</f>
        <v>Catalog Record</v>
      </c>
      <c r="AT108" s="6" t="str">
        <f>HYPERLINK("http://www.worldcat.org/oclc/2119595","WorldCat Record")</f>
        <v>WorldCat Record</v>
      </c>
      <c r="AU108" s="3" t="s">
        <v>1559</v>
      </c>
      <c r="AV108" s="3" t="s">
        <v>1560</v>
      </c>
      <c r="AW108" s="3" t="s">
        <v>1561</v>
      </c>
      <c r="AX108" s="3" t="s">
        <v>1561</v>
      </c>
      <c r="AY108" s="3" t="s">
        <v>1562</v>
      </c>
      <c r="AZ108" s="3" t="s">
        <v>74</v>
      </c>
      <c r="BB108" s="3" t="s">
        <v>1563</v>
      </c>
      <c r="BC108" s="3" t="s">
        <v>1564</v>
      </c>
      <c r="BD108" s="3" t="s">
        <v>1565</v>
      </c>
    </row>
    <row r="109" spans="1:56" ht="45.75" customHeight="1" x14ac:dyDescent="0.25">
      <c r="A109" s="7" t="s">
        <v>58</v>
      </c>
      <c r="B109" s="2" t="s">
        <v>1566</v>
      </c>
      <c r="C109" s="2" t="s">
        <v>1567</v>
      </c>
      <c r="D109" s="2" t="s">
        <v>1568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L109" s="2" t="s">
        <v>1569</v>
      </c>
      <c r="M109" s="3" t="s">
        <v>1419</v>
      </c>
      <c r="O109" s="3" t="s">
        <v>65</v>
      </c>
      <c r="P109" s="3" t="s">
        <v>84</v>
      </c>
      <c r="Q109" s="2" t="s">
        <v>1570</v>
      </c>
      <c r="R109" s="3" t="s">
        <v>67</v>
      </c>
      <c r="S109" s="4">
        <v>8</v>
      </c>
      <c r="T109" s="4">
        <v>8</v>
      </c>
      <c r="U109" s="5" t="s">
        <v>1501</v>
      </c>
      <c r="V109" s="5" t="s">
        <v>1501</v>
      </c>
      <c r="W109" s="5" t="s">
        <v>1571</v>
      </c>
      <c r="X109" s="5" t="s">
        <v>1571</v>
      </c>
      <c r="Y109" s="4">
        <v>637</v>
      </c>
      <c r="Z109" s="4">
        <v>494</v>
      </c>
      <c r="AA109" s="4">
        <v>516</v>
      </c>
      <c r="AB109" s="4">
        <v>5</v>
      </c>
      <c r="AC109" s="4">
        <v>5</v>
      </c>
      <c r="AD109" s="4">
        <v>21</v>
      </c>
      <c r="AE109" s="4">
        <v>23</v>
      </c>
      <c r="AF109" s="4">
        <v>9</v>
      </c>
      <c r="AG109" s="4">
        <v>10</v>
      </c>
      <c r="AH109" s="4">
        <v>5</v>
      </c>
      <c r="AI109" s="4">
        <v>6</v>
      </c>
      <c r="AJ109" s="4">
        <v>9</v>
      </c>
      <c r="AK109" s="4">
        <v>9</v>
      </c>
      <c r="AL109" s="4">
        <v>3</v>
      </c>
      <c r="AM109" s="4">
        <v>3</v>
      </c>
      <c r="AN109" s="4">
        <v>0</v>
      </c>
      <c r="AO109" s="4">
        <v>0</v>
      </c>
      <c r="AP109" s="3" t="s">
        <v>58</v>
      </c>
      <c r="AQ109" s="3" t="s">
        <v>87</v>
      </c>
      <c r="AR109" s="6" t="str">
        <f>HYPERLINK("http://catalog.hathitrust.org/Record/000692468","HathiTrust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HYPERLINK("https://creighton-primo.hosted.exlibrisgroup.com/primo-explore/search?tab=default_tab&amp;search_scope=EVERYTHING&amp;vid=01CRU&amp;lang=en_US&amp;offset=0&amp;query=any,contains,991004664179702656","Catalog Record")</f>
        <v>Catalog Record</v>
      </c>
      <c r="AT109" s="6" t="str">
        <f>HYPERLINK("http://www.worldcat.org/oclc/4499810","WorldCat Record")</f>
        <v>WorldCat Record</v>
      </c>
      <c r="AU109" s="3" t="s">
        <v>1572</v>
      </c>
      <c r="AV109" s="3" t="s">
        <v>1573</v>
      </c>
      <c r="AW109" s="3" t="s">
        <v>1574</v>
      </c>
      <c r="AX109" s="3" t="s">
        <v>1574</v>
      </c>
      <c r="AY109" s="3" t="s">
        <v>1575</v>
      </c>
      <c r="AZ109" s="3" t="s">
        <v>74</v>
      </c>
      <c r="BB109" s="3" t="s">
        <v>1576</v>
      </c>
      <c r="BC109" s="3" t="s">
        <v>1577</v>
      </c>
      <c r="BD109" s="3" t="s">
        <v>1578</v>
      </c>
    </row>
    <row r="110" spans="1:56" ht="45.75" customHeight="1" x14ac:dyDescent="0.25">
      <c r="A110" s="7" t="s">
        <v>58</v>
      </c>
      <c r="B110" s="2" t="s">
        <v>1579</v>
      </c>
      <c r="C110" s="2" t="s">
        <v>1580</v>
      </c>
      <c r="D110" s="2" t="s">
        <v>1581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L110" s="2" t="s">
        <v>1582</v>
      </c>
      <c r="M110" s="3" t="s">
        <v>1254</v>
      </c>
      <c r="O110" s="3" t="s">
        <v>65</v>
      </c>
      <c r="P110" s="3" t="s">
        <v>132</v>
      </c>
      <c r="R110" s="3" t="s">
        <v>67</v>
      </c>
      <c r="S110" s="4">
        <v>5</v>
      </c>
      <c r="T110" s="4">
        <v>5</v>
      </c>
      <c r="U110" s="5" t="s">
        <v>1583</v>
      </c>
      <c r="V110" s="5" t="s">
        <v>1583</v>
      </c>
      <c r="W110" s="5" t="s">
        <v>1571</v>
      </c>
      <c r="X110" s="5" t="s">
        <v>1571</v>
      </c>
      <c r="Y110" s="4">
        <v>283</v>
      </c>
      <c r="Z110" s="4">
        <v>242</v>
      </c>
      <c r="AA110" s="4">
        <v>242</v>
      </c>
      <c r="AB110" s="4">
        <v>4</v>
      </c>
      <c r="AC110" s="4">
        <v>4</v>
      </c>
      <c r="AD110" s="4">
        <v>9</v>
      </c>
      <c r="AE110" s="4">
        <v>9</v>
      </c>
      <c r="AF110" s="4">
        <v>2</v>
      </c>
      <c r="AG110" s="4">
        <v>2</v>
      </c>
      <c r="AH110" s="4">
        <v>2</v>
      </c>
      <c r="AI110" s="4">
        <v>2</v>
      </c>
      <c r="AJ110" s="4">
        <v>3</v>
      </c>
      <c r="AK110" s="4">
        <v>3</v>
      </c>
      <c r="AL110" s="4">
        <v>3</v>
      </c>
      <c r="AM110" s="4">
        <v>3</v>
      </c>
      <c r="AN110" s="4">
        <v>0</v>
      </c>
      <c r="AO110" s="4">
        <v>0</v>
      </c>
      <c r="AP110" s="3" t="s">
        <v>58</v>
      </c>
      <c r="AQ110" s="3" t="s">
        <v>58</v>
      </c>
      <c r="AS110" s="6" t="str">
        <f>HYPERLINK("https://creighton-primo.hosted.exlibrisgroup.com/primo-explore/search?tab=default_tab&amp;search_scope=EVERYTHING&amp;vid=01CRU&amp;lang=en_US&amp;offset=0&amp;query=any,contains,991000430109702656","Catalog Record")</f>
        <v>Catalog Record</v>
      </c>
      <c r="AT110" s="6" t="str">
        <f>HYPERLINK("http://www.worldcat.org/oclc/10778300","WorldCat Record")</f>
        <v>WorldCat Record</v>
      </c>
      <c r="AU110" s="3" t="s">
        <v>1584</v>
      </c>
      <c r="AV110" s="3" t="s">
        <v>1585</v>
      </c>
      <c r="AW110" s="3" t="s">
        <v>1586</v>
      </c>
      <c r="AX110" s="3" t="s">
        <v>1586</v>
      </c>
      <c r="AY110" s="3" t="s">
        <v>1587</v>
      </c>
      <c r="AZ110" s="3" t="s">
        <v>74</v>
      </c>
      <c r="BB110" s="3" t="s">
        <v>1588</v>
      </c>
      <c r="BC110" s="3" t="s">
        <v>1589</v>
      </c>
      <c r="BD110" s="3" t="s">
        <v>1590</v>
      </c>
    </row>
    <row r="111" spans="1:56" ht="45.75" customHeight="1" x14ac:dyDescent="0.25">
      <c r="A111" s="7" t="s">
        <v>58</v>
      </c>
      <c r="B111" s="2" t="s">
        <v>1591</v>
      </c>
      <c r="C111" s="2" t="s">
        <v>1592</v>
      </c>
      <c r="D111" s="2" t="s">
        <v>1593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1594</v>
      </c>
      <c r="L111" s="2" t="s">
        <v>1595</v>
      </c>
      <c r="M111" s="3" t="s">
        <v>923</v>
      </c>
      <c r="O111" s="3" t="s">
        <v>65</v>
      </c>
      <c r="P111" s="3" t="s">
        <v>190</v>
      </c>
      <c r="R111" s="3" t="s">
        <v>67</v>
      </c>
      <c r="S111" s="4">
        <v>5</v>
      </c>
      <c r="T111" s="4">
        <v>5</v>
      </c>
      <c r="U111" s="5" t="s">
        <v>1596</v>
      </c>
      <c r="V111" s="5" t="s">
        <v>1596</v>
      </c>
      <c r="W111" s="5" t="s">
        <v>1571</v>
      </c>
      <c r="X111" s="5" t="s">
        <v>1571</v>
      </c>
      <c r="Y111" s="4">
        <v>264</v>
      </c>
      <c r="Z111" s="4">
        <v>229</v>
      </c>
      <c r="AA111" s="4">
        <v>230</v>
      </c>
      <c r="AB111" s="4">
        <v>3</v>
      </c>
      <c r="AC111" s="4">
        <v>3</v>
      </c>
      <c r="AD111" s="4">
        <v>6</v>
      </c>
      <c r="AE111" s="4">
        <v>6</v>
      </c>
      <c r="AF111" s="4">
        <v>1</v>
      </c>
      <c r="AG111" s="4">
        <v>1</v>
      </c>
      <c r="AH111" s="4">
        <v>0</v>
      </c>
      <c r="AI111" s="4">
        <v>0</v>
      </c>
      <c r="AJ111" s="4">
        <v>3</v>
      </c>
      <c r="AK111" s="4">
        <v>3</v>
      </c>
      <c r="AL111" s="4">
        <v>2</v>
      </c>
      <c r="AM111" s="4">
        <v>2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HYPERLINK("https://creighton-primo.hosted.exlibrisgroup.com/primo-explore/search?tab=default_tab&amp;search_scope=EVERYTHING&amp;vid=01CRU&amp;lang=en_US&amp;offset=0&amp;query=any,contains,991005133629702656","Catalog Record")</f>
        <v>Catalog Record</v>
      </c>
      <c r="AT111" s="6" t="str">
        <f>HYPERLINK("http://www.worldcat.org/oclc/7574673","WorldCat Record")</f>
        <v>WorldCat Record</v>
      </c>
      <c r="AU111" s="3" t="s">
        <v>1597</v>
      </c>
      <c r="AV111" s="3" t="s">
        <v>1598</v>
      </c>
      <c r="AW111" s="3" t="s">
        <v>1599</v>
      </c>
      <c r="AX111" s="3" t="s">
        <v>1599</v>
      </c>
      <c r="AY111" s="3" t="s">
        <v>1600</v>
      </c>
      <c r="AZ111" s="3" t="s">
        <v>74</v>
      </c>
      <c r="BB111" s="3" t="s">
        <v>1601</v>
      </c>
      <c r="BC111" s="3" t="s">
        <v>1602</v>
      </c>
      <c r="BD111" s="3" t="s">
        <v>1603</v>
      </c>
    </row>
    <row r="112" spans="1:56" ht="45.75" customHeight="1" x14ac:dyDescent="0.25">
      <c r="A112" s="7" t="s">
        <v>58</v>
      </c>
      <c r="B112" s="2" t="s">
        <v>1604</v>
      </c>
      <c r="C112" s="2" t="s">
        <v>1605</v>
      </c>
      <c r="D112" s="2" t="s">
        <v>1606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1607</v>
      </c>
      <c r="L112" s="2" t="s">
        <v>1608</v>
      </c>
      <c r="M112" s="3" t="s">
        <v>189</v>
      </c>
      <c r="O112" s="3" t="s">
        <v>65</v>
      </c>
      <c r="P112" s="3" t="s">
        <v>175</v>
      </c>
      <c r="Q112" s="2" t="s">
        <v>1609</v>
      </c>
      <c r="R112" s="3" t="s">
        <v>67</v>
      </c>
      <c r="S112" s="4">
        <v>1</v>
      </c>
      <c r="T112" s="4">
        <v>1</v>
      </c>
      <c r="U112" s="5" t="s">
        <v>1610</v>
      </c>
      <c r="V112" s="5" t="s">
        <v>1610</v>
      </c>
      <c r="W112" s="5" t="s">
        <v>1610</v>
      </c>
      <c r="X112" s="5" t="s">
        <v>1610</v>
      </c>
      <c r="Y112" s="4">
        <v>463</v>
      </c>
      <c r="Z112" s="4">
        <v>401</v>
      </c>
      <c r="AA112" s="4">
        <v>472</v>
      </c>
      <c r="AB112" s="4">
        <v>1</v>
      </c>
      <c r="AC112" s="4">
        <v>1</v>
      </c>
      <c r="AD112" s="4">
        <v>19</v>
      </c>
      <c r="AE112" s="4">
        <v>22</v>
      </c>
      <c r="AF112" s="4">
        <v>11</v>
      </c>
      <c r="AG112" s="4">
        <v>12</v>
      </c>
      <c r="AH112" s="4">
        <v>3</v>
      </c>
      <c r="AI112" s="4">
        <v>6</v>
      </c>
      <c r="AJ112" s="4">
        <v>12</v>
      </c>
      <c r="AK112" s="4">
        <v>13</v>
      </c>
      <c r="AL112" s="4">
        <v>0</v>
      </c>
      <c r="AM112" s="4">
        <v>0</v>
      </c>
      <c r="AN112" s="4">
        <v>0</v>
      </c>
      <c r="AO112" s="4">
        <v>0</v>
      </c>
      <c r="AP112" s="3" t="s">
        <v>58</v>
      </c>
      <c r="AQ112" s="3" t="s">
        <v>58</v>
      </c>
      <c r="AS112" s="6" t="str">
        <f>HYPERLINK("https://creighton-primo.hosted.exlibrisgroup.com/primo-explore/search?tab=default_tab&amp;search_scope=EVERYTHING&amp;vid=01CRU&amp;lang=en_US&amp;offset=0&amp;query=any,contains,991005334619702656","Catalog Record")</f>
        <v>Catalog Record</v>
      </c>
      <c r="AT112" s="6" t="str">
        <f>HYPERLINK("http://www.worldcat.org/oclc/243777623","WorldCat Record")</f>
        <v>WorldCat Record</v>
      </c>
      <c r="AU112" s="3" t="s">
        <v>1611</v>
      </c>
      <c r="AV112" s="3" t="s">
        <v>1612</v>
      </c>
      <c r="AW112" s="3" t="s">
        <v>1613</v>
      </c>
      <c r="AX112" s="3" t="s">
        <v>1613</v>
      </c>
      <c r="AY112" s="3" t="s">
        <v>1614</v>
      </c>
      <c r="AZ112" s="3" t="s">
        <v>74</v>
      </c>
      <c r="BB112" s="3" t="s">
        <v>1615</v>
      </c>
      <c r="BC112" s="3" t="s">
        <v>1616</v>
      </c>
      <c r="BD112" s="3" t="s">
        <v>1617</v>
      </c>
    </row>
    <row r="113" spans="1:56" ht="45.75" customHeight="1" x14ac:dyDescent="0.25">
      <c r="A113" s="7" t="s">
        <v>58</v>
      </c>
      <c r="B113" s="2" t="s">
        <v>1618</v>
      </c>
      <c r="C113" s="2" t="s">
        <v>1619</v>
      </c>
      <c r="D113" s="2" t="s">
        <v>1620</v>
      </c>
      <c r="F113" s="3" t="s">
        <v>58</v>
      </c>
      <c r="G113" s="3" t="s">
        <v>59</v>
      </c>
      <c r="H113" s="3" t="s">
        <v>87</v>
      </c>
      <c r="I113" s="3" t="s">
        <v>58</v>
      </c>
      <c r="J113" s="3" t="s">
        <v>60</v>
      </c>
      <c r="K113" s="2" t="s">
        <v>1621</v>
      </c>
      <c r="L113" s="2" t="s">
        <v>1622</v>
      </c>
      <c r="M113" s="3" t="s">
        <v>1623</v>
      </c>
      <c r="N113" s="2" t="s">
        <v>1624</v>
      </c>
      <c r="O113" s="3" t="s">
        <v>65</v>
      </c>
      <c r="P113" s="3" t="s">
        <v>84</v>
      </c>
      <c r="R113" s="3" t="s">
        <v>67</v>
      </c>
      <c r="S113" s="4">
        <v>2</v>
      </c>
      <c r="T113" s="4">
        <v>7</v>
      </c>
      <c r="U113" s="5" t="s">
        <v>1625</v>
      </c>
      <c r="V113" s="5" t="s">
        <v>1625</v>
      </c>
      <c r="W113" s="5" t="s">
        <v>1626</v>
      </c>
      <c r="X113" s="5" t="s">
        <v>1626</v>
      </c>
      <c r="Y113" s="4">
        <v>660</v>
      </c>
      <c r="Z113" s="4">
        <v>527</v>
      </c>
      <c r="AA113" s="4">
        <v>633</v>
      </c>
      <c r="AB113" s="4">
        <v>8</v>
      </c>
      <c r="AC113" s="4">
        <v>9</v>
      </c>
      <c r="AD113" s="4">
        <v>22</v>
      </c>
      <c r="AE113" s="4">
        <v>28</v>
      </c>
      <c r="AF113" s="4">
        <v>9</v>
      </c>
      <c r="AG113" s="4">
        <v>10</v>
      </c>
      <c r="AH113" s="4">
        <v>2</v>
      </c>
      <c r="AI113" s="4">
        <v>4</v>
      </c>
      <c r="AJ113" s="4">
        <v>11</v>
      </c>
      <c r="AK113" s="4">
        <v>16</v>
      </c>
      <c r="AL113" s="4">
        <v>4</v>
      </c>
      <c r="AM113" s="4">
        <v>5</v>
      </c>
      <c r="AN113" s="4">
        <v>0</v>
      </c>
      <c r="AO113" s="4">
        <v>0</v>
      </c>
      <c r="AP113" s="3" t="s">
        <v>58</v>
      </c>
      <c r="AQ113" s="3" t="s">
        <v>87</v>
      </c>
      <c r="AR113" s="6" t="str">
        <f>HYPERLINK("http://catalog.hathitrust.org/Record/001569362","HathiTrust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HYPERLINK("https://creighton-primo.hosted.exlibrisgroup.com/primo-explore/search?tab=default_tab&amp;search_scope=EVERYTHING&amp;vid=01CRU&amp;lang=en_US&amp;offset=0&amp;query=any,contains,991001781299702656","Catalog Record")</f>
        <v>Catalog Record</v>
      </c>
      <c r="AT113" s="6" t="str">
        <f>HYPERLINK("http://www.worldcat.org/oclc/711238","WorldCat Record")</f>
        <v>WorldCat Record</v>
      </c>
      <c r="AU113" s="3" t="s">
        <v>1627</v>
      </c>
      <c r="AV113" s="3" t="s">
        <v>1628</v>
      </c>
      <c r="AW113" s="3" t="s">
        <v>1629</v>
      </c>
      <c r="AX113" s="3" t="s">
        <v>1629</v>
      </c>
      <c r="AY113" s="3" t="s">
        <v>1630</v>
      </c>
      <c r="AZ113" s="3" t="s">
        <v>74</v>
      </c>
      <c r="BB113" s="3" t="s">
        <v>1631</v>
      </c>
      <c r="BC113" s="3" t="s">
        <v>1632</v>
      </c>
      <c r="BD113" s="3" t="s">
        <v>1633</v>
      </c>
    </row>
    <row r="114" spans="1:56" ht="45.75" customHeight="1" x14ac:dyDescent="0.25">
      <c r="A114" s="7" t="s">
        <v>58</v>
      </c>
      <c r="B114" s="2" t="s">
        <v>1634</v>
      </c>
      <c r="C114" s="2" t="s">
        <v>1635</v>
      </c>
      <c r="D114" s="2" t="s">
        <v>1636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1621</v>
      </c>
      <c r="L114" s="2" t="s">
        <v>1637</v>
      </c>
      <c r="M114" s="3" t="s">
        <v>1638</v>
      </c>
      <c r="O114" s="3" t="s">
        <v>65</v>
      </c>
      <c r="P114" s="3" t="s">
        <v>190</v>
      </c>
      <c r="Q114" s="2" t="s">
        <v>1639</v>
      </c>
      <c r="R114" s="3" t="s">
        <v>67</v>
      </c>
      <c r="S114" s="4">
        <v>4</v>
      </c>
      <c r="T114" s="4">
        <v>4</v>
      </c>
      <c r="U114" s="5" t="s">
        <v>1583</v>
      </c>
      <c r="V114" s="5" t="s">
        <v>1583</v>
      </c>
      <c r="W114" s="5" t="s">
        <v>1640</v>
      </c>
      <c r="X114" s="5" t="s">
        <v>1640</v>
      </c>
      <c r="Y114" s="4">
        <v>464</v>
      </c>
      <c r="Z114" s="4">
        <v>417</v>
      </c>
      <c r="AA114" s="4">
        <v>450</v>
      </c>
      <c r="AB114" s="4">
        <v>7</v>
      </c>
      <c r="AC114" s="4">
        <v>7</v>
      </c>
      <c r="AD114" s="4">
        <v>19</v>
      </c>
      <c r="AE114" s="4">
        <v>19</v>
      </c>
      <c r="AF114" s="4">
        <v>6</v>
      </c>
      <c r="AG114" s="4">
        <v>6</v>
      </c>
      <c r="AH114" s="4">
        <v>4</v>
      </c>
      <c r="AI114" s="4">
        <v>4</v>
      </c>
      <c r="AJ114" s="4">
        <v>7</v>
      </c>
      <c r="AK114" s="4">
        <v>7</v>
      </c>
      <c r="AL114" s="4">
        <v>4</v>
      </c>
      <c r="AM114" s="4">
        <v>4</v>
      </c>
      <c r="AN114" s="4">
        <v>0</v>
      </c>
      <c r="AO114" s="4">
        <v>0</v>
      </c>
      <c r="AP114" s="3" t="s">
        <v>58</v>
      </c>
      <c r="AQ114" s="3" t="s">
        <v>87</v>
      </c>
      <c r="AR114" s="6" t="str">
        <f>HYPERLINK("http://catalog.hathitrust.org/Record/000852624","HathiTrust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HYPERLINK("https://creighton-primo.hosted.exlibrisgroup.com/primo-explore/search?tab=default_tab&amp;search_scope=EVERYTHING&amp;vid=01CRU&amp;lang=en_US&amp;offset=0&amp;query=any,contains,991001174799702656","Catalog Record")</f>
        <v>Catalog Record</v>
      </c>
      <c r="AT114" s="6" t="str">
        <f>HYPERLINK("http://www.worldcat.org/oclc/188763","WorldCat Record")</f>
        <v>WorldCat Record</v>
      </c>
      <c r="AU114" s="3" t="s">
        <v>1641</v>
      </c>
      <c r="AV114" s="3" t="s">
        <v>1642</v>
      </c>
      <c r="AW114" s="3" t="s">
        <v>1643</v>
      </c>
      <c r="AX114" s="3" t="s">
        <v>1643</v>
      </c>
      <c r="AY114" s="3" t="s">
        <v>1644</v>
      </c>
      <c r="AZ114" s="3" t="s">
        <v>74</v>
      </c>
      <c r="BC114" s="3" t="s">
        <v>1645</v>
      </c>
      <c r="BD114" s="3" t="s">
        <v>1646</v>
      </c>
    </row>
    <row r="115" spans="1:56" ht="45.75" customHeight="1" x14ac:dyDescent="0.25">
      <c r="A115" s="7" t="s">
        <v>58</v>
      </c>
      <c r="B115" s="2" t="s">
        <v>1647</v>
      </c>
      <c r="C115" s="2" t="s">
        <v>1648</v>
      </c>
      <c r="D115" s="2" t="s">
        <v>1649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L115" s="2" t="s">
        <v>1557</v>
      </c>
      <c r="M115" s="3" t="s">
        <v>1485</v>
      </c>
      <c r="O115" s="3" t="s">
        <v>65</v>
      </c>
      <c r="P115" s="3" t="s">
        <v>772</v>
      </c>
      <c r="R115" s="3" t="s">
        <v>67</v>
      </c>
      <c r="S115" s="4">
        <v>1</v>
      </c>
      <c r="T115" s="4">
        <v>1</v>
      </c>
      <c r="U115" s="5" t="s">
        <v>1486</v>
      </c>
      <c r="V115" s="5" t="s">
        <v>1486</v>
      </c>
      <c r="W115" s="5" t="s">
        <v>1487</v>
      </c>
      <c r="X115" s="5" t="s">
        <v>1487</v>
      </c>
      <c r="Y115" s="4">
        <v>527</v>
      </c>
      <c r="Z115" s="4">
        <v>443</v>
      </c>
      <c r="AA115" s="4">
        <v>446</v>
      </c>
      <c r="AB115" s="4">
        <v>6</v>
      </c>
      <c r="AC115" s="4">
        <v>6</v>
      </c>
      <c r="AD115" s="4">
        <v>21</v>
      </c>
      <c r="AE115" s="4">
        <v>21</v>
      </c>
      <c r="AF115" s="4">
        <v>9</v>
      </c>
      <c r="AG115" s="4">
        <v>9</v>
      </c>
      <c r="AH115" s="4">
        <v>4</v>
      </c>
      <c r="AI115" s="4">
        <v>4</v>
      </c>
      <c r="AJ115" s="4">
        <v>11</v>
      </c>
      <c r="AK115" s="4">
        <v>11</v>
      </c>
      <c r="AL115" s="4">
        <v>4</v>
      </c>
      <c r="AM115" s="4">
        <v>4</v>
      </c>
      <c r="AN115" s="4">
        <v>0</v>
      </c>
      <c r="AO115" s="4">
        <v>0</v>
      </c>
      <c r="AP115" s="3" t="s">
        <v>58</v>
      </c>
      <c r="AQ115" s="3" t="s">
        <v>87</v>
      </c>
      <c r="AR115" s="6" t="str">
        <f>HYPERLINK("http://catalog.hathitrust.org/Record/000700966","HathiTrust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HYPERLINK("https://creighton-primo.hosted.exlibrisgroup.com/primo-explore/search?tab=default_tab&amp;search_scope=EVERYTHING&amp;vid=01CRU&amp;lang=en_US&amp;offset=0&amp;query=any,contains,991004000519702656","Catalog Record")</f>
        <v>Catalog Record</v>
      </c>
      <c r="AT115" s="6" t="str">
        <f>HYPERLINK("http://www.worldcat.org/oclc/2072851","WorldCat Record")</f>
        <v>WorldCat Record</v>
      </c>
      <c r="AU115" s="3" t="s">
        <v>1650</v>
      </c>
      <c r="AV115" s="3" t="s">
        <v>1651</v>
      </c>
      <c r="AW115" s="3" t="s">
        <v>1652</v>
      </c>
      <c r="AX115" s="3" t="s">
        <v>1652</v>
      </c>
      <c r="AY115" s="3" t="s">
        <v>1653</v>
      </c>
      <c r="AZ115" s="3" t="s">
        <v>74</v>
      </c>
      <c r="BB115" s="3" t="s">
        <v>1654</v>
      </c>
      <c r="BC115" s="3" t="s">
        <v>1655</v>
      </c>
      <c r="BD115" s="3" t="s">
        <v>1656</v>
      </c>
    </row>
    <row r="116" spans="1:56" ht="45.75" customHeight="1" x14ac:dyDescent="0.25">
      <c r="A116" s="7" t="s">
        <v>58</v>
      </c>
      <c r="B116" s="2" t="s">
        <v>1657</v>
      </c>
      <c r="C116" s="2" t="s">
        <v>1658</v>
      </c>
      <c r="D116" s="2" t="s">
        <v>1659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1660</v>
      </c>
      <c r="L116" s="2" t="s">
        <v>1661</v>
      </c>
      <c r="M116" s="3" t="s">
        <v>1662</v>
      </c>
      <c r="O116" s="3" t="s">
        <v>65</v>
      </c>
      <c r="P116" s="3" t="s">
        <v>190</v>
      </c>
      <c r="R116" s="3" t="s">
        <v>67</v>
      </c>
      <c r="S116" s="4">
        <v>3</v>
      </c>
      <c r="T116" s="4">
        <v>3</v>
      </c>
      <c r="U116" s="5" t="s">
        <v>1663</v>
      </c>
      <c r="V116" s="5" t="s">
        <v>1663</v>
      </c>
      <c r="W116" s="5" t="s">
        <v>1487</v>
      </c>
      <c r="X116" s="5" t="s">
        <v>1487</v>
      </c>
      <c r="Y116" s="4">
        <v>286</v>
      </c>
      <c r="Z116" s="4">
        <v>256</v>
      </c>
      <c r="AA116" s="4">
        <v>259</v>
      </c>
      <c r="AB116" s="4">
        <v>2</v>
      </c>
      <c r="AC116" s="4">
        <v>2</v>
      </c>
      <c r="AD116" s="4">
        <v>12</v>
      </c>
      <c r="AE116" s="4">
        <v>12</v>
      </c>
      <c r="AF116" s="4">
        <v>6</v>
      </c>
      <c r="AG116" s="4">
        <v>6</v>
      </c>
      <c r="AH116" s="4">
        <v>2</v>
      </c>
      <c r="AI116" s="4">
        <v>2</v>
      </c>
      <c r="AJ116" s="4">
        <v>7</v>
      </c>
      <c r="AK116" s="4">
        <v>7</v>
      </c>
      <c r="AL116" s="4">
        <v>1</v>
      </c>
      <c r="AM116" s="4">
        <v>1</v>
      </c>
      <c r="AN116" s="4">
        <v>0</v>
      </c>
      <c r="AO116" s="4">
        <v>0</v>
      </c>
      <c r="AP116" s="3" t="s">
        <v>58</v>
      </c>
      <c r="AQ116" s="3" t="s">
        <v>87</v>
      </c>
      <c r="AR116" s="6" t="str">
        <f>HYPERLINK("http://catalog.hathitrust.org/Record/001133108","HathiTrust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HYPERLINK("https://creighton-primo.hosted.exlibrisgroup.com/primo-explore/search?tab=default_tab&amp;search_scope=EVERYTHING&amp;vid=01CRU&amp;lang=en_US&amp;offset=0&amp;query=any,contains,991002078589702656","Catalog Record")</f>
        <v>Catalog Record</v>
      </c>
      <c r="AT116" s="6" t="str">
        <f>HYPERLINK("http://www.worldcat.org/oclc/264132","WorldCat Record")</f>
        <v>WorldCat Record</v>
      </c>
      <c r="AU116" s="3" t="s">
        <v>1664</v>
      </c>
      <c r="AV116" s="3" t="s">
        <v>1665</v>
      </c>
      <c r="AW116" s="3" t="s">
        <v>1666</v>
      </c>
      <c r="AX116" s="3" t="s">
        <v>1666</v>
      </c>
      <c r="AY116" s="3" t="s">
        <v>1667</v>
      </c>
      <c r="AZ116" s="3" t="s">
        <v>74</v>
      </c>
      <c r="BC116" s="3" t="s">
        <v>1668</v>
      </c>
      <c r="BD116" s="3" t="s">
        <v>1669</v>
      </c>
    </row>
    <row r="117" spans="1:56" ht="45.75" customHeight="1" x14ac:dyDescent="0.25">
      <c r="A117" s="7" t="s">
        <v>58</v>
      </c>
      <c r="B117" s="2" t="s">
        <v>1670</v>
      </c>
      <c r="C117" s="2" t="s">
        <v>1671</v>
      </c>
      <c r="D117" s="2" t="s">
        <v>1672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L117" s="2" t="s">
        <v>1673</v>
      </c>
      <c r="M117" s="3" t="s">
        <v>1674</v>
      </c>
      <c r="O117" s="3" t="s">
        <v>65</v>
      </c>
      <c r="P117" s="3" t="s">
        <v>190</v>
      </c>
      <c r="R117" s="3" t="s">
        <v>67</v>
      </c>
      <c r="S117" s="4">
        <v>4</v>
      </c>
      <c r="T117" s="4">
        <v>4</v>
      </c>
      <c r="U117" s="5" t="s">
        <v>1675</v>
      </c>
      <c r="V117" s="5" t="s">
        <v>1675</v>
      </c>
      <c r="W117" s="5" t="s">
        <v>1676</v>
      </c>
      <c r="X117" s="5" t="s">
        <v>1676</v>
      </c>
      <c r="Y117" s="4">
        <v>284</v>
      </c>
      <c r="Z117" s="4">
        <v>254</v>
      </c>
      <c r="AA117" s="4">
        <v>257</v>
      </c>
      <c r="AB117" s="4">
        <v>3</v>
      </c>
      <c r="AC117" s="4">
        <v>3</v>
      </c>
      <c r="AD117" s="4">
        <v>9</v>
      </c>
      <c r="AE117" s="4">
        <v>9</v>
      </c>
      <c r="AF117" s="4">
        <v>2</v>
      </c>
      <c r="AG117" s="4">
        <v>2</v>
      </c>
      <c r="AH117" s="4">
        <v>2</v>
      </c>
      <c r="AI117" s="4">
        <v>2</v>
      </c>
      <c r="AJ117" s="4">
        <v>4</v>
      </c>
      <c r="AK117" s="4">
        <v>4</v>
      </c>
      <c r="AL117" s="4">
        <v>2</v>
      </c>
      <c r="AM117" s="4">
        <v>2</v>
      </c>
      <c r="AN117" s="4">
        <v>0</v>
      </c>
      <c r="AO117" s="4">
        <v>0</v>
      </c>
      <c r="AP117" s="3" t="s">
        <v>58</v>
      </c>
      <c r="AQ117" s="3" t="s">
        <v>87</v>
      </c>
      <c r="AR117" s="6" t="str">
        <f>HYPERLINK("http://catalog.hathitrust.org/Record/004401404","HathiTrust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HYPERLINK("https://creighton-primo.hosted.exlibrisgroup.com/primo-explore/search?tab=default_tab&amp;search_scope=EVERYTHING&amp;vid=01CRU&amp;lang=en_US&amp;offset=0&amp;query=any,contains,991000184309702656","Catalog Record")</f>
        <v>Catalog Record</v>
      </c>
      <c r="AT117" s="6" t="str">
        <f>HYPERLINK("http://www.worldcat.org/oclc/62574","WorldCat Record")</f>
        <v>WorldCat Record</v>
      </c>
      <c r="AU117" s="3" t="s">
        <v>1677</v>
      </c>
      <c r="AV117" s="3" t="s">
        <v>1678</v>
      </c>
      <c r="AW117" s="3" t="s">
        <v>1679</v>
      </c>
      <c r="AX117" s="3" t="s">
        <v>1679</v>
      </c>
      <c r="AY117" s="3" t="s">
        <v>1680</v>
      </c>
      <c r="AZ117" s="3" t="s">
        <v>74</v>
      </c>
      <c r="BC117" s="3" t="s">
        <v>1681</v>
      </c>
      <c r="BD117" s="3" t="s">
        <v>1682</v>
      </c>
    </row>
    <row r="118" spans="1:56" ht="45.75" customHeight="1" x14ac:dyDescent="0.25">
      <c r="A118" s="7" t="s">
        <v>58</v>
      </c>
      <c r="B118" s="2" t="s">
        <v>1683</v>
      </c>
      <c r="C118" s="2" t="s">
        <v>1684</v>
      </c>
      <c r="D118" s="2" t="s">
        <v>1685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1686</v>
      </c>
      <c r="L118" s="2" t="s">
        <v>1687</v>
      </c>
      <c r="M118" s="3" t="s">
        <v>1209</v>
      </c>
      <c r="O118" s="3" t="s">
        <v>65</v>
      </c>
      <c r="P118" s="3" t="s">
        <v>148</v>
      </c>
      <c r="R118" s="3" t="s">
        <v>67</v>
      </c>
      <c r="S118" s="4">
        <v>14</v>
      </c>
      <c r="T118" s="4">
        <v>14</v>
      </c>
      <c r="U118" s="5" t="s">
        <v>1688</v>
      </c>
      <c r="V118" s="5" t="s">
        <v>1688</v>
      </c>
      <c r="W118" s="5" t="s">
        <v>715</v>
      </c>
      <c r="X118" s="5" t="s">
        <v>715</v>
      </c>
      <c r="Y118" s="4">
        <v>274</v>
      </c>
      <c r="Z118" s="4">
        <v>229</v>
      </c>
      <c r="AA118" s="4">
        <v>237</v>
      </c>
      <c r="AB118" s="4">
        <v>3</v>
      </c>
      <c r="AC118" s="4">
        <v>3</v>
      </c>
      <c r="AD118" s="4">
        <v>8</v>
      </c>
      <c r="AE118" s="4">
        <v>8</v>
      </c>
      <c r="AF118" s="4">
        <v>4</v>
      </c>
      <c r="AG118" s="4">
        <v>4</v>
      </c>
      <c r="AH118" s="4">
        <v>1</v>
      </c>
      <c r="AI118" s="4">
        <v>1</v>
      </c>
      <c r="AJ118" s="4">
        <v>4</v>
      </c>
      <c r="AK118" s="4">
        <v>4</v>
      </c>
      <c r="AL118" s="4">
        <v>2</v>
      </c>
      <c r="AM118" s="4">
        <v>2</v>
      </c>
      <c r="AN118" s="4">
        <v>0</v>
      </c>
      <c r="AO118" s="4">
        <v>0</v>
      </c>
      <c r="AP118" s="3" t="s">
        <v>58</v>
      </c>
      <c r="AQ118" s="3" t="s">
        <v>58</v>
      </c>
      <c r="AS118" s="6" t="str">
        <f>HYPERLINK("https://creighton-primo.hosted.exlibrisgroup.com/primo-explore/search?tab=default_tab&amp;search_scope=EVERYTHING&amp;vid=01CRU&amp;lang=en_US&amp;offset=0&amp;query=any,contains,991001063679702656","Catalog Record")</f>
        <v>Catalog Record</v>
      </c>
      <c r="AT118" s="6" t="str">
        <f>HYPERLINK("http://www.worldcat.org/oclc/15791967","WorldCat Record")</f>
        <v>WorldCat Record</v>
      </c>
      <c r="AU118" s="3" t="s">
        <v>1689</v>
      </c>
      <c r="AV118" s="3" t="s">
        <v>1690</v>
      </c>
      <c r="AW118" s="3" t="s">
        <v>1691</v>
      </c>
      <c r="AX118" s="3" t="s">
        <v>1691</v>
      </c>
      <c r="AY118" s="3" t="s">
        <v>1692</v>
      </c>
      <c r="AZ118" s="3" t="s">
        <v>74</v>
      </c>
      <c r="BB118" s="3" t="s">
        <v>1693</v>
      </c>
      <c r="BC118" s="3" t="s">
        <v>1694</v>
      </c>
      <c r="BD118" s="3" t="s">
        <v>1695</v>
      </c>
    </row>
    <row r="119" spans="1:56" ht="45.75" customHeight="1" x14ac:dyDescent="0.25">
      <c r="A119" s="7" t="s">
        <v>58</v>
      </c>
      <c r="B119" s="2" t="s">
        <v>1696</v>
      </c>
      <c r="C119" s="2" t="s">
        <v>1697</v>
      </c>
      <c r="D119" s="2" t="s">
        <v>1698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1699</v>
      </c>
      <c r="L119" s="2" t="s">
        <v>1700</v>
      </c>
      <c r="M119" s="3" t="s">
        <v>573</v>
      </c>
      <c r="N119" s="2" t="s">
        <v>390</v>
      </c>
      <c r="O119" s="3" t="s">
        <v>65</v>
      </c>
      <c r="P119" s="3" t="s">
        <v>175</v>
      </c>
      <c r="Q119" s="2" t="s">
        <v>1701</v>
      </c>
      <c r="R119" s="3" t="s">
        <v>67</v>
      </c>
      <c r="S119" s="4">
        <v>4</v>
      </c>
      <c r="T119" s="4">
        <v>4</v>
      </c>
      <c r="U119" s="5" t="s">
        <v>1702</v>
      </c>
      <c r="V119" s="5" t="s">
        <v>1702</v>
      </c>
      <c r="W119" s="5" t="s">
        <v>1703</v>
      </c>
      <c r="X119" s="5" t="s">
        <v>1703</v>
      </c>
      <c r="Y119" s="4">
        <v>201</v>
      </c>
      <c r="Z119" s="4">
        <v>81</v>
      </c>
      <c r="AA119" s="4">
        <v>127</v>
      </c>
      <c r="AB119" s="4">
        <v>1</v>
      </c>
      <c r="AC119" s="4">
        <v>1</v>
      </c>
      <c r="AD119" s="4">
        <v>3</v>
      </c>
      <c r="AE119" s="4">
        <v>4</v>
      </c>
      <c r="AF119" s="4">
        <v>0</v>
      </c>
      <c r="AG119" s="4">
        <v>1</v>
      </c>
      <c r="AH119" s="4">
        <v>1</v>
      </c>
      <c r="AI119" s="4">
        <v>1</v>
      </c>
      <c r="AJ119" s="4">
        <v>3</v>
      </c>
      <c r="AK119" s="4">
        <v>4</v>
      </c>
      <c r="AL119" s="4">
        <v>0</v>
      </c>
      <c r="AM119" s="4">
        <v>0</v>
      </c>
      <c r="AN119" s="4">
        <v>0</v>
      </c>
      <c r="AO119" s="4">
        <v>0</v>
      </c>
      <c r="AP119" s="3" t="s">
        <v>58</v>
      </c>
      <c r="AQ119" s="3" t="s">
        <v>58</v>
      </c>
      <c r="AS119" s="6" t="str">
        <f>HYPERLINK("https://creighton-primo.hosted.exlibrisgroup.com/primo-explore/search?tab=default_tab&amp;search_scope=EVERYTHING&amp;vid=01CRU&amp;lang=en_US&amp;offset=0&amp;query=any,contains,991004190409702656","Catalog Record")</f>
        <v>Catalog Record</v>
      </c>
      <c r="AT119" s="6" t="str">
        <f>HYPERLINK("http://www.worldcat.org/oclc/50725169","WorldCat Record")</f>
        <v>WorldCat Record</v>
      </c>
      <c r="AU119" s="3" t="s">
        <v>1704</v>
      </c>
      <c r="AV119" s="3" t="s">
        <v>1705</v>
      </c>
      <c r="AW119" s="3" t="s">
        <v>1706</v>
      </c>
      <c r="AX119" s="3" t="s">
        <v>1706</v>
      </c>
      <c r="AY119" s="3" t="s">
        <v>1707</v>
      </c>
      <c r="AZ119" s="3" t="s">
        <v>74</v>
      </c>
      <c r="BB119" s="3" t="s">
        <v>1708</v>
      </c>
      <c r="BC119" s="3" t="s">
        <v>1709</v>
      </c>
      <c r="BD119" s="3" t="s">
        <v>1710</v>
      </c>
    </row>
    <row r="120" spans="1:56" ht="45.75" customHeight="1" x14ac:dyDescent="0.25">
      <c r="A120" s="7" t="s">
        <v>58</v>
      </c>
      <c r="B120" s="2" t="s">
        <v>1711</v>
      </c>
      <c r="C120" s="2" t="s">
        <v>1712</v>
      </c>
      <c r="D120" s="2" t="s">
        <v>1713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L120" s="2" t="s">
        <v>1714</v>
      </c>
      <c r="M120" s="3" t="s">
        <v>1058</v>
      </c>
      <c r="O120" s="3" t="s">
        <v>65</v>
      </c>
      <c r="P120" s="3" t="s">
        <v>175</v>
      </c>
      <c r="R120" s="3" t="s">
        <v>67</v>
      </c>
      <c r="S120" s="4">
        <v>7</v>
      </c>
      <c r="T120" s="4">
        <v>7</v>
      </c>
      <c r="U120" s="5" t="s">
        <v>1715</v>
      </c>
      <c r="V120" s="5" t="s">
        <v>1715</v>
      </c>
      <c r="W120" s="5" t="s">
        <v>1716</v>
      </c>
      <c r="X120" s="5" t="s">
        <v>1716</v>
      </c>
      <c r="Y120" s="4">
        <v>141</v>
      </c>
      <c r="Z120" s="4">
        <v>54</v>
      </c>
      <c r="AA120" s="4">
        <v>55</v>
      </c>
      <c r="AB120" s="4">
        <v>1</v>
      </c>
      <c r="AC120" s="4">
        <v>1</v>
      </c>
      <c r="AD120" s="4">
        <v>1</v>
      </c>
      <c r="AE120" s="4">
        <v>1</v>
      </c>
      <c r="AF120" s="4">
        <v>1</v>
      </c>
      <c r="AG120" s="4">
        <v>1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3" t="s">
        <v>58</v>
      </c>
      <c r="AQ120" s="3" t="s">
        <v>87</v>
      </c>
      <c r="AR120" s="6" t="str">
        <f>HYPERLINK("http://catalog.hathitrust.org/Record/009135707","HathiTrust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HYPERLINK("https://creighton-primo.hosted.exlibrisgroup.com/primo-explore/search?tab=default_tab&amp;search_scope=EVERYTHING&amp;vid=01CRU&amp;lang=en_US&amp;offset=0&amp;query=any,contains,991001350229702656","Catalog Record")</f>
        <v>Catalog Record</v>
      </c>
      <c r="AT120" s="6" t="str">
        <f>HYPERLINK("http://www.worldcat.org/oclc/18441452","WorldCat Record")</f>
        <v>WorldCat Record</v>
      </c>
      <c r="AU120" s="3" t="s">
        <v>1717</v>
      </c>
      <c r="AV120" s="3" t="s">
        <v>1718</v>
      </c>
      <c r="AW120" s="3" t="s">
        <v>1719</v>
      </c>
      <c r="AX120" s="3" t="s">
        <v>1719</v>
      </c>
      <c r="AY120" s="3" t="s">
        <v>1720</v>
      </c>
      <c r="AZ120" s="3" t="s">
        <v>74</v>
      </c>
      <c r="BB120" s="3" t="s">
        <v>1721</v>
      </c>
      <c r="BC120" s="3" t="s">
        <v>1722</v>
      </c>
      <c r="BD120" s="3" t="s">
        <v>1723</v>
      </c>
    </row>
    <row r="121" spans="1:56" ht="45.75" customHeight="1" x14ac:dyDescent="0.25">
      <c r="A121" s="7" t="s">
        <v>58</v>
      </c>
      <c r="B121" s="2" t="s">
        <v>1724</v>
      </c>
      <c r="C121" s="2" t="s">
        <v>1725</v>
      </c>
      <c r="D121" s="2" t="s">
        <v>1726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1727</v>
      </c>
      <c r="L121" s="2" t="s">
        <v>1728</v>
      </c>
      <c r="M121" s="3" t="s">
        <v>83</v>
      </c>
      <c r="O121" s="3" t="s">
        <v>65</v>
      </c>
      <c r="P121" s="3" t="s">
        <v>175</v>
      </c>
      <c r="R121" s="3" t="s">
        <v>67</v>
      </c>
      <c r="S121" s="4">
        <v>2</v>
      </c>
      <c r="T121" s="4">
        <v>2</v>
      </c>
      <c r="U121" s="5" t="s">
        <v>1729</v>
      </c>
      <c r="V121" s="5" t="s">
        <v>1729</v>
      </c>
      <c r="W121" s="5" t="s">
        <v>1730</v>
      </c>
      <c r="X121" s="5" t="s">
        <v>1730</v>
      </c>
      <c r="Y121" s="4">
        <v>143</v>
      </c>
      <c r="Z121" s="4">
        <v>107</v>
      </c>
      <c r="AA121" s="4">
        <v>135</v>
      </c>
      <c r="AB121" s="4">
        <v>4</v>
      </c>
      <c r="AC121" s="4">
        <v>4</v>
      </c>
      <c r="AD121" s="4">
        <v>8</v>
      </c>
      <c r="AE121" s="4">
        <v>9</v>
      </c>
      <c r="AF121" s="4">
        <v>1</v>
      </c>
      <c r="AG121" s="4">
        <v>1</v>
      </c>
      <c r="AH121" s="4">
        <v>1</v>
      </c>
      <c r="AI121" s="4">
        <v>1</v>
      </c>
      <c r="AJ121" s="4">
        <v>4</v>
      </c>
      <c r="AK121" s="4">
        <v>5</v>
      </c>
      <c r="AL121" s="4">
        <v>3</v>
      </c>
      <c r="AM121" s="4">
        <v>3</v>
      </c>
      <c r="AN121" s="4">
        <v>0</v>
      </c>
      <c r="AO121" s="4">
        <v>0</v>
      </c>
      <c r="AP121" s="3" t="s">
        <v>58</v>
      </c>
      <c r="AQ121" s="3" t="s">
        <v>87</v>
      </c>
      <c r="AR121" s="6" t="str">
        <f>HYPERLINK("http://catalog.hathitrust.org/Record/000849493","HathiTrust Record")</f>
        <v>HathiTrust Record</v>
      </c>
      <c r="AS121" s="6" t="str">
        <f>HYPERLINK("https://creighton-primo.hosted.exlibrisgroup.com/primo-explore/search?tab=default_tab&amp;search_scope=EVERYTHING&amp;vid=01CRU&amp;lang=en_US&amp;offset=0&amp;query=any,contains,991000880579702656","Catalog Record")</f>
        <v>Catalog Record</v>
      </c>
      <c r="AT121" s="6" t="str">
        <f>HYPERLINK("http://www.worldcat.org/oclc/13823575","WorldCat Record")</f>
        <v>WorldCat Record</v>
      </c>
      <c r="AU121" s="3" t="s">
        <v>1731</v>
      </c>
      <c r="AV121" s="3" t="s">
        <v>1732</v>
      </c>
      <c r="AW121" s="3" t="s">
        <v>1733</v>
      </c>
      <c r="AX121" s="3" t="s">
        <v>1733</v>
      </c>
      <c r="AY121" s="3" t="s">
        <v>1734</v>
      </c>
      <c r="AZ121" s="3" t="s">
        <v>74</v>
      </c>
      <c r="BB121" s="3" t="s">
        <v>1735</v>
      </c>
      <c r="BC121" s="3" t="s">
        <v>1736</v>
      </c>
      <c r="BD121" s="3" t="s">
        <v>1737</v>
      </c>
    </row>
    <row r="122" spans="1:56" ht="45.75" customHeight="1" x14ac:dyDescent="0.25">
      <c r="A122" s="7" t="s">
        <v>58</v>
      </c>
      <c r="B122" s="2" t="s">
        <v>1738</v>
      </c>
      <c r="C122" s="2" t="s">
        <v>1739</v>
      </c>
      <c r="D122" s="2" t="s">
        <v>1740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1741</v>
      </c>
      <c r="L122" s="2" t="s">
        <v>1742</v>
      </c>
      <c r="M122" s="3" t="s">
        <v>1088</v>
      </c>
      <c r="O122" s="3" t="s">
        <v>65</v>
      </c>
      <c r="P122" s="3" t="s">
        <v>175</v>
      </c>
      <c r="R122" s="3" t="s">
        <v>67</v>
      </c>
      <c r="S122" s="4">
        <v>3</v>
      </c>
      <c r="T122" s="4">
        <v>3</v>
      </c>
      <c r="U122" s="5" t="s">
        <v>1743</v>
      </c>
      <c r="V122" s="5" t="s">
        <v>1743</v>
      </c>
      <c r="W122" s="5" t="s">
        <v>103</v>
      </c>
      <c r="X122" s="5" t="s">
        <v>103</v>
      </c>
      <c r="Y122" s="4">
        <v>263</v>
      </c>
      <c r="Z122" s="4">
        <v>128</v>
      </c>
      <c r="AA122" s="4">
        <v>135</v>
      </c>
      <c r="AB122" s="4">
        <v>1</v>
      </c>
      <c r="AC122" s="4">
        <v>1</v>
      </c>
      <c r="AD122" s="4">
        <v>3</v>
      </c>
      <c r="AE122" s="4">
        <v>3</v>
      </c>
      <c r="AF122" s="4">
        <v>0</v>
      </c>
      <c r="AG122" s="4">
        <v>0</v>
      </c>
      <c r="AH122" s="4">
        <v>1</v>
      </c>
      <c r="AI122" s="4">
        <v>1</v>
      </c>
      <c r="AJ122" s="4">
        <v>3</v>
      </c>
      <c r="AK122" s="4">
        <v>3</v>
      </c>
      <c r="AL122" s="4">
        <v>0</v>
      </c>
      <c r="AM122" s="4">
        <v>0</v>
      </c>
      <c r="AN122" s="4">
        <v>0</v>
      </c>
      <c r="AO122" s="4">
        <v>0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HYPERLINK("https://creighton-primo.hosted.exlibrisgroup.com/primo-explore/search?tab=default_tab&amp;search_scope=EVERYTHING&amp;vid=01CRU&amp;lang=en_US&amp;offset=0&amp;query=any,contains,991000617009702656","Catalog Record")</f>
        <v>Catalog Record</v>
      </c>
      <c r="AT122" s="6" t="str">
        <f>HYPERLINK("http://www.worldcat.org/oclc/13269242","WorldCat Record")</f>
        <v>WorldCat Record</v>
      </c>
      <c r="AU122" s="3" t="s">
        <v>1744</v>
      </c>
      <c r="AV122" s="3" t="s">
        <v>1745</v>
      </c>
      <c r="AW122" s="3" t="s">
        <v>1746</v>
      </c>
      <c r="AX122" s="3" t="s">
        <v>1746</v>
      </c>
      <c r="AY122" s="3" t="s">
        <v>1747</v>
      </c>
      <c r="AZ122" s="3" t="s">
        <v>74</v>
      </c>
      <c r="BB122" s="3" t="s">
        <v>1748</v>
      </c>
      <c r="BC122" s="3" t="s">
        <v>1749</v>
      </c>
      <c r="BD122" s="3" t="s">
        <v>1750</v>
      </c>
    </row>
    <row r="123" spans="1:56" ht="45.75" customHeight="1" x14ac:dyDescent="0.25">
      <c r="A123" s="7" t="s">
        <v>58</v>
      </c>
      <c r="B123" s="2" t="s">
        <v>1751</v>
      </c>
      <c r="C123" s="2" t="s">
        <v>1752</v>
      </c>
      <c r="D123" s="2" t="s">
        <v>1753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1754</v>
      </c>
      <c r="L123" s="2" t="s">
        <v>1755</v>
      </c>
      <c r="M123" s="3" t="s">
        <v>1623</v>
      </c>
      <c r="O123" s="3" t="s">
        <v>65</v>
      </c>
      <c r="P123" s="3" t="s">
        <v>336</v>
      </c>
      <c r="Q123" s="2" t="s">
        <v>1756</v>
      </c>
      <c r="R123" s="3" t="s">
        <v>67</v>
      </c>
      <c r="S123" s="4">
        <v>5</v>
      </c>
      <c r="T123" s="4">
        <v>5</v>
      </c>
      <c r="U123" s="5" t="s">
        <v>1757</v>
      </c>
      <c r="V123" s="5" t="s">
        <v>1757</v>
      </c>
      <c r="W123" s="5" t="s">
        <v>1758</v>
      </c>
      <c r="X123" s="5" t="s">
        <v>1758</v>
      </c>
      <c r="Y123" s="4">
        <v>601</v>
      </c>
      <c r="Z123" s="4">
        <v>532</v>
      </c>
      <c r="AA123" s="4">
        <v>534</v>
      </c>
      <c r="AB123" s="4">
        <v>7</v>
      </c>
      <c r="AC123" s="4">
        <v>7</v>
      </c>
      <c r="AD123" s="4">
        <v>25</v>
      </c>
      <c r="AE123" s="4">
        <v>25</v>
      </c>
      <c r="AF123" s="4">
        <v>11</v>
      </c>
      <c r="AG123" s="4">
        <v>11</v>
      </c>
      <c r="AH123" s="4">
        <v>4</v>
      </c>
      <c r="AI123" s="4">
        <v>4</v>
      </c>
      <c r="AJ123" s="4">
        <v>11</v>
      </c>
      <c r="AK123" s="4">
        <v>11</v>
      </c>
      <c r="AL123" s="4">
        <v>5</v>
      </c>
      <c r="AM123" s="4">
        <v>5</v>
      </c>
      <c r="AN123" s="4">
        <v>0</v>
      </c>
      <c r="AO123" s="4">
        <v>0</v>
      </c>
      <c r="AP123" s="3" t="s">
        <v>58</v>
      </c>
      <c r="AQ123" s="3" t="s">
        <v>87</v>
      </c>
      <c r="AR123" s="6" t="str">
        <f>HYPERLINK("http://catalog.hathitrust.org/Record/001120091","HathiTrust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HYPERLINK("https://creighton-primo.hosted.exlibrisgroup.com/primo-explore/search?tab=default_tab&amp;search_scope=EVERYTHING&amp;vid=01CRU&amp;lang=en_US&amp;offset=0&amp;query=any,contains,991005253269702656","Catalog Record")</f>
        <v>Catalog Record</v>
      </c>
      <c r="AT123" s="6" t="str">
        <f>HYPERLINK("http://www.worldcat.org/oclc/174158","WorldCat Record")</f>
        <v>WorldCat Record</v>
      </c>
      <c r="AU123" s="3" t="s">
        <v>1759</v>
      </c>
      <c r="AV123" s="3" t="s">
        <v>1760</v>
      </c>
      <c r="AW123" s="3" t="s">
        <v>1761</v>
      </c>
      <c r="AX123" s="3" t="s">
        <v>1761</v>
      </c>
      <c r="AY123" s="3" t="s">
        <v>1762</v>
      </c>
      <c r="AZ123" s="3" t="s">
        <v>74</v>
      </c>
      <c r="BC123" s="3" t="s">
        <v>1763</v>
      </c>
      <c r="BD123" s="3" t="s">
        <v>1764</v>
      </c>
    </row>
    <row r="124" spans="1:56" ht="45.75" customHeight="1" x14ac:dyDescent="0.25">
      <c r="A124" s="7" t="s">
        <v>58</v>
      </c>
      <c r="B124" s="2" t="s">
        <v>1765</v>
      </c>
      <c r="C124" s="2" t="s">
        <v>1766</v>
      </c>
      <c r="D124" s="2" t="s">
        <v>1767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1768</v>
      </c>
      <c r="L124" s="2" t="s">
        <v>1769</v>
      </c>
      <c r="M124" s="3" t="s">
        <v>1500</v>
      </c>
      <c r="O124" s="3" t="s">
        <v>65</v>
      </c>
      <c r="P124" s="3" t="s">
        <v>1224</v>
      </c>
      <c r="R124" s="3" t="s">
        <v>67</v>
      </c>
      <c r="S124" s="4">
        <v>2</v>
      </c>
      <c r="T124" s="4">
        <v>2</v>
      </c>
      <c r="U124" s="5" t="s">
        <v>1688</v>
      </c>
      <c r="V124" s="5" t="s">
        <v>1688</v>
      </c>
      <c r="W124" s="5" t="s">
        <v>925</v>
      </c>
      <c r="X124" s="5" t="s">
        <v>925</v>
      </c>
      <c r="Y124" s="4">
        <v>256</v>
      </c>
      <c r="Z124" s="4">
        <v>209</v>
      </c>
      <c r="AA124" s="4">
        <v>209</v>
      </c>
      <c r="AB124" s="4">
        <v>1</v>
      </c>
      <c r="AC124" s="4">
        <v>1</v>
      </c>
      <c r="AD124" s="4">
        <v>4</v>
      </c>
      <c r="AE124" s="4">
        <v>4</v>
      </c>
      <c r="AF124" s="4">
        <v>3</v>
      </c>
      <c r="AG124" s="4">
        <v>3</v>
      </c>
      <c r="AH124" s="4">
        <v>0</v>
      </c>
      <c r="AI124" s="4">
        <v>0</v>
      </c>
      <c r="AJ124" s="4">
        <v>1</v>
      </c>
      <c r="AK124" s="4">
        <v>1</v>
      </c>
      <c r="AL124" s="4">
        <v>0</v>
      </c>
      <c r="AM124" s="4">
        <v>0</v>
      </c>
      <c r="AN124" s="4">
        <v>0</v>
      </c>
      <c r="AO124" s="4">
        <v>0</v>
      </c>
      <c r="AP124" s="3" t="s">
        <v>58</v>
      </c>
      <c r="AQ124" s="3" t="s">
        <v>58</v>
      </c>
      <c r="AS124" s="6" t="str">
        <f>HYPERLINK("https://creighton-primo.hosted.exlibrisgroup.com/primo-explore/search?tab=default_tab&amp;search_scope=EVERYTHING&amp;vid=01CRU&amp;lang=en_US&amp;offset=0&amp;query=any,contains,991004972619702656","Catalog Record")</f>
        <v>Catalog Record</v>
      </c>
      <c r="AT124" s="6" t="str">
        <f>HYPERLINK("http://www.worldcat.org/oclc/6372605","WorldCat Record")</f>
        <v>WorldCat Record</v>
      </c>
      <c r="AU124" s="3" t="s">
        <v>1770</v>
      </c>
      <c r="AV124" s="3" t="s">
        <v>1771</v>
      </c>
      <c r="AW124" s="3" t="s">
        <v>1772</v>
      </c>
      <c r="AX124" s="3" t="s">
        <v>1772</v>
      </c>
      <c r="AY124" s="3" t="s">
        <v>1773</v>
      </c>
      <c r="AZ124" s="3" t="s">
        <v>74</v>
      </c>
      <c r="BB124" s="3" t="s">
        <v>1774</v>
      </c>
      <c r="BC124" s="3" t="s">
        <v>1775</v>
      </c>
      <c r="BD124" s="3" t="s">
        <v>1776</v>
      </c>
    </row>
    <row r="125" spans="1:56" ht="45.75" customHeight="1" x14ac:dyDescent="0.25">
      <c r="A125" s="7" t="s">
        <v>58</v>
      </c>
      <c r="B125" s="2" t="s">
        <v>1777</v>
      </c>
      <c r="C125" s="2" t="s">
        <v>1778</v>
      </c>
      <c r="D125" s="2" t="s">
        <v>1779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1780</v>
      </c>
      <c r="L125" s="2" t="s">
        <v>1781</v>
      </c>
      <c r="M125" s="3" t="s">
        <v>419</v>
      </c>
      <c r="O125" s="3" t="s">
        <v>65</v>
      </c>
      <c r="P125" s="3" t="s">
        <v>66</v>
      </c>
      <c r="R125" s="3" t="s">
        <v>67</v>
      </c>
      <c r="S125" s="4">
        <v>3</v>
      </c>
      <c r="T125" s="4">
        <v>3</v>
      </c>
      <c r="U125" s="5" t="s">
        <v>1782</v>
      </c>
      <c r="V125" s="5" t="s">
        <v>1782</v>
      </c>
      <c r="W125" s="5" t="s">
        <v>1783</v>
      </c>
      <c r="X125" s="5" t="s">
        <v>1783</v>
      </c>
      <c r="Y125" s="4">
        <v>512</v>
      </c>
      <c r="Z125" s="4">
        <v>481</v>
      </c>
      <c r="AA125" s="4">
        <v>812</v>
      </c>
      <c r="AB125" s="4">
        <v>4</v>
      </c>
      <c r="AC125" s="4">
        <v>32</v>
      </c>
      <c r="AD125" s="4">
        <v>20</v>
      </c>
      <c r="AE125" s="4">
        <v>34</v>
      </c>
      <c r="AF125" s="4">
        <v>8</v>
      </c>
      <c r="AG125" s="4">
        <v>11</v>
      </c>
      <c r="AH125" s="4">
        <v>5</v>
      </c>
      <c r="AI125" s="4">
        <v>6</v>
      </c>
      <c r="AJ125" s="4">
        <v>10</v>
      </c>
      <c r="AK125" s="4">
        <v>11</v>
      </c>
      <c r="AL125" s="4">
        <v>3</v>
      </c>
      <c r="AM125" s="4">
        <v>13</v>
      </c>
      <c r="AN125" s="4">
        <v>0</v>
      </c>
      <c r="AO125" s="4">
        <v>0</v>
      </c>
      <c r="AP125" s="3" t="s">
        <v>58</v>
      </c>
      <c r="AQ125" s="3" t="s">
        <v>58</v>
      </c>
      <c r="AS125" s="6" t="str">
        <f>HYPERLINK("https://creighton-primo.hosted.exlibrisgroup.com/primo-explore/search?tab=default_tab&amp;search_scope=EVERYTHING&amp;vid=01CRU&amp;lang=en_US&amp;offset=0&amp;query=any,contains,991003784749702656","Catalog Record")</f>
        <v>Catalog Record</v>
      </c>
      <c r="AT125" s="6" t="str">
        <f>HYPERLINK("http://www.worldcat.org/oclc/44046710","WorldCat Record")</f>
        <v>WorldCat Record</v>
      </c>
      <c r="AU125" s="3" t="s">
        <v>1784</v>
      </c>
      <c r="AV125" s="3" t="s">
        <v>1785</v>
      </c>
      <c r="AW125" s="3" t="s">
        <v>1786</v>
      </c>
      <c r="AX125" s="3" t="s">
        <v>1786</v>
      </c>
      <c r="AY125" s="3" t="s">
        <v>1787</v>
      </c>
      <c r="AZ125" s="3" t="s">
        <v>74</v>
      </c>
      <c r="BB125" s="3" t="s">
        <v>1788</v>
      </c>
      <c r="BC125" s="3" t="s">
        <v>1789</v>
      </c>
      <c r="BD125" s="3" t="s">
        <v>1790</v>
      </c>
    </row>
    <row r="126" spans="1:56" ht="45.75" customHeight="1" x14ac:dyDescent="0.25">
      <c r="A126" s="7" t="s">
        <v>58</v>
      </c>
      <c r="B126" s="2" t="s">
        <v>1791</v>
      </c>
      <c r="C126" s="2" t="s">
        <v>1792</v>
      </c>
      <c r="D126" s="2" t="s">
        <v>1793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1794</v>
      </c>
      <c r="L126" s="2" t="s">
        <v>1795</v>
      </c>
      <c r="M126" s="3" t="s">
        <v>1209</v>
      </c>
      <c r="O126" s="3" t="s">
        <v>65</v>
      </c>
      <c r="P126" s="3" t="s">
        <v>66</v>
      </c>
      <c r="R126" s="3" t="s">
        <v>67</v>
      </c>
      <c r="S126" s="4">
        <v>6</v>
      </c>
      <c r="T126" s="4">
        <v>6</v>
      </c>
      <c r="U126" s="5" t="s">
        <v>1796</v>
      </c>
      <c r="V126" s="5" t="s">
        <v>1796</v>
      </c>
      <c r="W126" s="5" t="s">
        <v>1797</v>
      </c>
      <c r="X126" s="5" t="s">
        <v>1797</v>
      </c>
      <c r="Y126" s="4">
        <v>837</v>
      </c>
      <c r="Z126" s="4">
        <v>764</v>
      </c>
      <c r="AA126" s="4">
        <v>880</v>
      </c>
      <c r="AB126" s="4">
        <v>8</v>
      </c>
      <c r="AC126" s="4">
        <v>8</v>
      </c>
      <c r="AD126" s="4">
        <v>22</v>
      </c>
      <c r="AE126" s="4">
        <v>27</v>
      </c>
      <c r="AF126" s="4">
        <v>10</v>
      </c>
      <c r="AG126" s="4">
        <v>14</v>
      </c>
      <c r="AH126" s="4">
        <v>2</v>
      </c>
      <c r="AI126" s="4">
        <v>4</v>
      </c>
      <c r="AJ126" s="4">
        <v>10</v>
      </c>
      <c r="AK126" s="4">
        <v>12</v>
      </c>
      <c r="AL126" s="4">
        <v>6</v>
      </c>
      <c r="AM126" s="4">
        <v>6</v>
      </c>
      <c r="AN126" s="4">
        <v>0</v>
      </c>
      <c r="AO126" s="4">
        <v>0</v>
      </c>
      <c r="AP126" s="3" t="s">
        <v>58</v>
      </c>
      <c r="AQ126" s="3" t="s">
        <v>58</v>
      </c>
      <c r="AS126" s="6" t="str">
        <f>HYPERLINK("https://creighton-primo.hosted.exlibrisgroup.com/primo-explore/search?tab=default_tab&amp;search_scope=EVERYTHING&amp;vid=01CRU&amp;lang=en_US&amp;offset=0&amp;query=any,contains,991001055589702656","Catalog Record")</f>
        <v>Catalog Record</v>
      </c>
      <c r="AT126" s="6" t="str">
        <f>HYPERLINK("http://www.worldcat.org/oclc/15695894","WorldCat Record")</f>
        <v>WorldCat Record</v>
      </c>
      <c r="AU126" s="3" t="s">
        <v>1798</v>
      </c>
      <c r="AV126" s="3" t="s">
        <v>1799</v>
      </c>
      <c r="AW126" s="3" t="s">
        <v>1800</v>
      </c>
      <c r="AX126" s="3" t="s">
        <v>1800</v>
      </c>
      <c r="AY126" s="3" t="s">
        <v>1801</v>
      </c>
      <c r="AZ126" s="3" t="s">
        <v>74</v>
      </c>
      <c r="BB126" s="3" t="s">
        <v>1802</v>
      </c>
      <c r="BC126" s="3" t="s">
        <v>1803</v>
      </c>
      <c r="BD126" s="3" t="s">
        <v>1804</v>
      </c>
    </row>
    <row r="127" spans="1:56" ht="45.75" customHeight="1" x14ac:dyDescent="0.25">
      <c r="A127" s="7" t="s">
        <v>58</v>
      </c>
      <c r="B127" s="2" t="s">
        <v>1805</v>
      </c>
      <c r="C127" s="2" t="s">
        <v>1806</v>
      </c>
      <c r="D127" s="2" t="s">
        <v>1807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1808</v>
      </c>
      <c r="L127" s="2" t="s">
        <v>1809</v>
      </c>
      <c r="M127" s="3" t="s">
        <v>1810</v>
      </c>
      <c r="O127" s="3" t="s">
        <v>65</v>
      </c>
      <c r="P127" s="3" t="s">
        <v>1811</v>
      </c>
      <c r="R127" s="3" t="s">
        <v>67</v>
      </c>
      <c r="S127" s="4">
        <v>18</v>
      </c>
      <c r="T127" s="4">
        <v>18</v>
      </c>
      <c r="U127" s="5" t="s">
        <v>1812</v>
      </c>
      <c r="V127" s="5" t="s">
        <v>1812</v>
      </c>
      <c r="W127" s="5" t="s">
        <v>1813</v>
      </c>
      <c r="X127" s="5" t="s">
        <v>1813</v>
      </c>
      <c r="Y127" s="4">
        <v>25</v>
      </c>
      <c r="Z127" s="4">
        <v>23</v>
      </c>
      <c r="AA127" s="4">
        <v>23</v>
      </c>
      <c r="AB127" s="4">
        <v>1</v>
      </c>
      <c r="AC127" s="4">
        <v>1</v>
      </c>
      <c r="AD127" s="4">
        <v>4</v>
      </c>
      <c r="AE127" s="4">
        <v>4</v>
      </c>
      <c r="AF127" s="4">
        <v>1</v>
      </c>
      <c r="AG127" s="4">
        <v>1</v>
      </c>
      <c r="AH127" s="4">
        <v>1</v>
      </c>
      <c r="AI127" s="4">
        <v>1</v>
      </c>
      <c r="AJ127" s="4">
        <v>2</v>
      </c>
      <c r="AK127" s="4">
        <v>2</v>
      </c>
      <c r="AL127" s="4">
        <v>0</v>
      </c>
      <c r="AM127" s="4">
        <v>0</v>
      </c>
      <c r="AN127" s="4">
        <v>0</v>
      </c>
      <c r="AO127" s="4">
        <v>0</v>
      </c>
      <c r="AP127" s="3" t="s">
        <v>58</v>
      </c>
      <c r="AQ127" s="3" t="s">
        <v>58</v>
      </c>
      <c r="AS127" s="6" t="str">
        <f>HYPERLINK("https://creighton-primo.hosted.exlibrisgroup.com/primo-explore/search?tab=default_tab&amp;search_scope=EVERYTHING&amp;vid=01CRU&amp;lang=en_US&amp;offset=0&amp;query=any,contains,991004577309702656","Catalog Record")</f>
        <v>Catalog Record</v>
      </c>
      <c r="AT127" s="6" t="str">
        <f>HYPERLINK("http://www.worldcat.org/oclc/4048304","WorldCat Record")</f>
        <v>WorldCat Record</v>
      </c>
      <c r="AU127" s="3" t="s">
        <v>1814</v>
      </c>
      <c r="AV127" s="3" t="s">
        <v>1815</v>
      </c>
      <c r="AW127" s="3" t="s">
        <v>1816</v>
      </c>
      <c r="AX127" s="3" t="s">
        <v>1816</v>
      </c>
      <c r="AY127" s="3" t="s">
        <v>1817</v>
      </c>
      <c r="AZ127" s="3" t="s">
        <v>74</v>
      </c>
      <c r="BC127" s="3" t="s">
        <v>1818</v>
      </c>
      <c r="BD127" s="3" t="s">
        <v>1819</v>
      </c>
    </row>
    <row r="128" spans="1:56" ht="45.75" customHeight="1" x14ac:dyDescent="0.25">
      <c r="A128" s="7" t="s">
        <v>58</v>
      </c>
      <c r="B128" s="2" t="s">
        <v>1820</v>
      </c>
      <c r="C128" s="2" t="s">
        <v>1821</v>
      </c>
      <c r="D128" s="2" t="s">
        <v>1822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1823</v>
      </c>
      <c r="L128" s="2" t="s">
        <v>1824</v>
      </c>
      <c r="M128" s="3" t="s">
        <v>1419</v>
      </c>
      <c r="O128" s="3" t="s">
        <v>65</v>
      </c>
      <c r="P128" s="3" t="s">
        <v>772</v>
      </c>
      <c r="Q128" s="2" t="s">
        <v>1825</v>
      </c>
      <c r="R128" s="3" t="s">
        <v>67</v>
      </c>
      <c r="S128" s="4">
        <v>7</v>
      </c>
      <c r="T128" s="4">
        <v>7</v>
      </c>
      <c r="U128" s="5" t="s">
        <v>1826</v>
      </c>
      <c r="V128" s="5" t="s">
        <v>1826</v>
      </c>
      <c r="W128" s="5" t="s">
        <v>1827</v>
      </c>
      <c r="X128" s="5" t="s">
        <v>1827</v>
      </c>
      <c r="Y128" s="4">
        <v>606</v>
      </c>
      <c r="Z128" s="4">
        <v>543</v>
      </c>
      <c r="AA128" s="4">
        <v>545</v>
      </c>
      <c r="AB128" s="4">
        <v>3</v>
      </c>
      <c r="AC128" s="4">
        <v>3</v>
      </c>
      <c r="AD128" s="4">
        <v>16</v>
      </c>
      <c r="AE128" s="4">
        <v>16</v>
      </c>
      <c r="AF128" s="4">
        <v>7</v>
      </c>
      <c r="AG128" s="4">
        <v>7</v>
      </c>
      <c r="AH128" s="4">
        <v>4</v>
      </c>
      <c r="AI128" s="4">
        <v>4</v>
      </c>
      <c r="AJ128" s="4">
        <v>8</v>
      </c>
      <c r="AK128" s="4">
        <v>8</v>
      </c>
      <c r="AL128" s="4">
        <v>1</v>
      </c>
      <c r="AM128" s="4">
        <v>1</v>
      </c>
      <c r="AN128" s="4">
        <v>0</v>
      </c>
      <c r="AO128" s="4">
        <v>0</v>
      </c>
      <c r="AP128" s="3" t="s">
        <v>58</v>
      </c>
      <c r="AQ128" s="3" t="s">
        <v>87</v>
      </c>
      <c r="AR128" s="6" t="str">
        <f>HYPERLINK("http://catalog.hathitrust.org/Record/000176543","HathiTrust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HYPERLINK("https://creighton-primo.hosted.exlibrisgroup.com/primo-explore/search?tab=default_tab&amp;search_scope=EVERYTHING&amp;vid=01CRU&amp;lang=en_US&amp;offset=0&amp;query=any,contains,991004563669702656","Catalog Record")</f>
        <v>Catalog Record</v>
      </c>
      <c r="AT128" s="6" t="str">
        <f>HYPERLINK("http://www.worldcat.org/oclc/4003991","WorldCat Record")</f>
        <v>WorldCat Record</v>
      </c>
      <c r="AU128" s="3" t="s">
        <v>1828</v>
      </c>
      <c r="AV128" s="3" t="s">
        <v>1829</v>
      </c>
      <c r="AW128" s="3" t="s">
        <v>1830</v>
      </c>
      <c r="AX128" s="3" t="s">
        <v>1830</v>
      </c>
      <c r="AY128" s="3" t="s">
        <v>1831</v>
      </c>
      <c r="AZ128" s="3" t="s">
        <v>74</v>
      </c>
      <c r="BB128" s="3" t="s">
        <v>1832</v>
      </c>
      <c r="BC128" s="3" t="s">
        <v>1833</v>
      </c>
      <c r="BD128" s="3" t="s">
        <v>1834</v>
      </c>
    </row>
    <row r="129" spans="1:56" ht="45.75" customHeight="1" x14ac:dyDescent="0.25">
      <c r="A129" s="7" t="s">
        <v>58</v>
      </c>
      <c r="B129" s="2" t="s">
        <v>1835</v>
      </c>
      <c r="C129" s="2" t="s">
        <v>1836</v>
      </c>
      <c r="D129" s="2" t="s">
        <v>1837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1838</v>
      </c>
      <c r="L129" s="2" t="s">
        <v>1839</v>
      </c>
      <c r="M129" s="3" t="s">
        <v>908</v>
      </c>
      <c r="O129" s="3" t="s">
        <v>65</v>
      </c>
      <c r="P129" s="3" t="s">
        <v>148</v>
      </c>
      <c r="R129" s="3" t="s">
        <v>67</v>
      </c>
      <c r="S129" s="4">
        <v>11</v>
      </c>
      <c r="T129" s="4">
        <v>11</v>
      </c>
      <c r="U129" s="5" t="s">
        <v>1840</v>
      </c>
      <c r="V129" s="5" t="s">
        <v>1840</v>
      </c>
      <c r="W129" s="5" t="s">
        <v>1155</v>
      </c>
      <c r="X129" s="5" t="s">
        <v>1155</v>
      </c>
      <c r="Y129" s="4">
        <v>979</v>
      </c>
      <c r="Z129" s="4">
        <v>809</v>
      </c>
      <c r="AA129" s="4">
        <v>818</v>
      </c>
      <c r="AB129" s="4">
        <v>6</v>
      </c>
      <c r="AC129" s="4">
        <v>6</v>
      </c>
      <c r="AD129" s="4">
        <v>25</v>
      </c>
      <c r="AE129" s="4">
        <v>25</v>
      </c>
      <c r="AF129" s="4">
        <v>7</v>
      </c>
      <c r="AG129" s="4">
        <v>7</v>
      </c>
      <c r="AH129" s="4">
        <v>7</v>
      </c>
      <c r="AI129" s="4">
        <v>7</v>
      </c>
      <c r="AJ129" s="4">
        <v>13</v>
      </c>
      <c r="AK129" s="4">
        <v>13</v>
      </c>
      <c r="AL129" s="4">
        <v>3</v>
      </c>
      <c r="AM129" s="4">
        <v>3</v>
      </c>
      <c r="AN129" s="4">
        <v>0</v>
      </c>
      <c r="AO129" s="4">
        <v>0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HYPERLINK("https://creighton-primo.hosted.exlibrisgroup.com/primo-explore/search?tab=default_tab&amp;search_scope=EVERYTHING&amp;vid=01CRU&amp;lang=en_US&amp;offset=0&amp;query=any,contains,991004681319702656","Catalog Record")</f>
        <v>Catalog Record</v>
      </c>
      <c r="AT129" s="6" t="str">
        <f>HYPERLINK("http://www.worldcat.org/oclc/4569939","WorldCat Record")</f>
        <v>WorldCat Record</v>
      </c>
      <c r="AU129" s="3" t="s">
        <v>1841</v>
      </c>
      <c r="AV129" s="3" t="s">
        <v>1842</v>
      </c>
      <c r="AW129" s="3" t="s">
        <v>1843</v>
      </c>
      <c r="AX129" s="3" t="s">
        <v>1843</v>
      </c>
      <c r="AY129" s="3" t="s">
        <v>1844</v>
      </c>
      <c r="AZ129" s="3" t="s">
        <v>74</v>
      </c>
      <c r="BB129" s="3" t="s">
        <v>1845</v>
      </c>
      <c r="BC129" s="3" t="s">
        <v>1846</v>
      </c>
      <c r="BD129" s="3" t="s">
        <v>1847</v>
      </c>
    </row>
    <row r="130" spans="1:56" ht="45.75" customHeight="1" x14ac:dyDescent="0.25">
      <c r="A130" s="7" t="s">
        <v>58</v>
      </c>
      <c r="B130" s="2" t="s">
        <v>1848</v>
      </c>
      <c r="C130" s="2" t="s">
        <v>1849</v>
      </c>
      <c r="D130" s="2" t="s">
        <v>1850</v>
      </c>
      <c r="F130" s="3" t="s">
        <v>58</v>
      </c>
      <c r="G130" s="3" t="s">
        <v>59</v>
      </c>
      <c r="H130" s="3" t="s">
        <v>87</v>
      </c>
      <c r="I130" s="3" t="s">
        <v>58</v>
      </c>
      <c r="J130" s="3" t="s">
        <v>60</v>
      </c>
      <c r="K130" s="2" t="s">
        <v>1851</v>
      </c>
      <c r="L130" s="2" t="s">
        <v>1852</v>
      </c>
      <c r="M130" s="3" t="s">
        <v>1500</v>
      </c>
      <c r="O130" s="3" t="s">
        <v>65</v>
      </c>
      <c r="P130" s="3" t="s">
        <v>190</v>
      </c>
      <c r="R130" s="3" t="s">
        <v>67</v>
      </c>
      <c r="S130" s="4">
        <v>12</v>
      </c>
      <c r="T130" s="4">
        <v>12</v>
      </c>
      <c r="U130" s="5" t="s">
        <v>1796</v>
      </c>
      <c r="V130" s="5" t="s">
        <v>1796</v>
      </c>
      <c r="W130" s="5" t="s">
        <v>1853</v>
      </c>
      <c r="X130" s="5" t="s">
        <v>1853</v>
      </c>
      <c r="Y130" s="4">
        <v>224</v>
      </c>
      <c r="Z130" s="4">
        <v>193</v>
      </c>
      <c r="AA130" s="4">
        <v>193</v>
      </c>
      <c r="AB130" s="4">
        <v>3</v>
      </c>
      <c r="AC130" s="4">
        <v>3</v>
      </c>
      <c r="AD130" s="4">
        <v>4</v>
      </c>
      <c r="AE130" s="4">
        <v>4</v>
      </c>
      <c r="AF130" s="4">
        <v>3</v>
      </c>
      <c r="AG130" s="4">
        <v>3</v>
      </c>
      <c r="AH130" s="4">
        <v>0</v>
      </c>
      <c r="AI130" s="4">
        <v>0</v>
      </c>
      <c r="AJ130" s="4">
        <v>1</v>
      </c>
      <c r="AK130" s="4">
        <v>1</v>
      </c>
      <c r="AL130" s="4">
        <v>1</v>
      </c>
      <c r="AM130" s="4">
        <v>1</v>
      </c>
      <c r="AN130" s="4">
        <v>0</v>
      </c>
      <c r="AO130" s="4">
        <v>0</v>
      </c>
      <c r="AP130" s="3" t="s">
        <v>58</v>
      </c>
      <c r="AQ130" s="3" t="s">
        <v>58</v>
      </c>
      <c r="AS130" s="6" t="str">
        <f>HYPERLINK("https://creighton-primo.hosted.exlibrisgroup.com/primo-explore/search?tab=default_tab&amp;search_scope=EVERYTHING&amp;vid=01CRU&amp;lang=en_US&amp;offset=0&amp;query=any,contains,991001772629702656","Catalog Record")</f>
        <v>Catalog Record</v>
      </c>
      <c r="AT130" s="6" t="str">
        <f>HYPERLINK("http://www.worldcat.org/oclc/7251604","WorldCat Record")</f>
        <v>WorldCat Record</v>
      </c>
      <c r="AU130" s="3" t="s">
        <v>1854</v>
      </c>
      <c r="AV130" s="3" t="s">
        <v>1855</v>
      </c>
      <c r="AW130" s="3" t="s">
        <v>1856</v>
      </c>
      <c r="AX130" s="3" t="s">
        <v>1856</v>
      </c>
      <c r="AY130" s="3" t="s">
        <v>1857</v>
      </c>
      <c r="AZ130" s="3" t="s">
        <v>74</v>
      </c>
      <c r="BB130" s="3" t="s">
        <v>1858</v>
      </c>
      <c r="BC130" s="3" t="s">
        <v>1859</v>
      </c>
      <c r="BD130" s="3" t="s">
        <v>1860</v>
      </c>
    </row>
    <row r="131" spans="1:56" ht="45.75" customHeight="1" x14ac:dyDescent="0.25">
      <c r="A131" s="7" t="s">
        <v>58</v>
      </c>
      <c r="B131" s="2" t="s">
        <v>1861</v>
      </c>
      <c r="C131" s="2" t="s">
        <v>1862</v>
      </c>
      <c r="D131" s="2" t="s">
        <v>1863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L131" s="2" t="s">
        <v>1864</v>
      </c>
      <c r="M131" s="3" t="s">
        <v>1419</v>
      </c>
      <c r="O131" s="3" t="s">
        <v>65</v>
      </c>
      <c r="P131" s="3" t="s">
        <v>1282</v>
      </c>
      <c r="Q131" s="2" t="s">
        <v>1865</v>
      </c>
      <c r="R131" s="3" t="s">
        <v>67</v>
      </c>
      <c r="S131" s="4">
        <v>16</v>
      </c>
      <c r="T131" s="4">
        <v>16</v>
      </c>
      <c r="U131" s="5" t="s">
        <v>1866</v>
      </c>
      <c r="V131" s="5" t="s">
        <v>1866</v>
      </c>
      <c r="W131" s="5" t="s">
        <v>1211</v>
      </c>
      <c r="X131" s="5" t="s">
        <v>1211</v>
      </c>
      <c r="Y131" s="4">
        <v>364</v>
      </c>
      <c r="Z131" s="4">
        <v>290</v>
      </c>
      <c r="AA131" s="4">
        <v>314</v>
      </c>
      <c r="AB131" s="4">
        <v>3</v>
      </c>
      <c r="AC131" s="4">
        <v>3</v>
      </c>
      <c r="AD131" s="4">
        <v>12</v>
      </c>
      <c r="AE131" s="4">
        <v>12</v>
      </c>
      <c r="AF131" s="4">
        <v>3</v>
      </c>
      <c r="AG131" s="4">
        <v>3</v>
      </c>
      <c r="AH131" s="4">
        <v>4</v>
      </c>
      <c r="AI131" s="4">
        <v>4</v>
      </c>
      <c r="AJ131" s="4">
        <v>7</v>
      </c>
      <c r="AK131" s="4">
        <v>7</v>
      </c>
      <c r="AL131" s="4">
        <v>2</v>
      </c>
      <c r="AM131" s="4">
        <v>2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HYPERLINK("https://creighton-primo.hosted.exlibrisgroup.com/primo-explore/search?tab=default_tab&amp;search_scope=EVERYTHING&amp;vid=01CRU&amp;lang=en_US&amp;offset=0&amp;query=any,contains,991004592239702656","Catalog Record")</f>
        <v>Catalog Record</v>
      </c>
      <c r="AT131" s="6" t="str">
        <f>HYPERLINK("http://www.worldcat.org/oclc/4135117","WorldCat Record")</f>
        <v>WorldCat Record</v>
      </c>
      <c r="AU131" s="3" t="s">
        <v>1867</v>
      </c>
      <c r="AV131" s="3" t="s">
        <v>1868</v>
      </c>
      <c r="AW131" s="3" t="s">
        <v>1869</v>
      </c>
      <c r="AX131" s="3" t="s">
        <v>1869</v>
      </c>
      <c r="AY131" s="3" t="s">
        <v>1870</v>
      </c>
      <c r="AZ131" s="3" t="s">
        <v>74</v>
      </c>
      <c r="BB131" s="3" t="s">
        <v>1871</v>
      </c>
      <c r="BC131" s="3" t="s">
        <v>1872</v>
      </c>
      <c r="BD131" s="3" t="s">
        <v>1873</v>
      </c>
    </row>
    <row r="132" spans="1:56" ht="45.75" customHeight="1" x14ac:dyDescent="0.25">
      <c r="A132" s="7" t="s">
        <v>58</v>
      </c>
      <c r="B132" s="2" t="s">
        <v>1874</v>
      </c>
      <c r="C132" s="2" t="s">
        <v>1875</v>
      </c>
      <c r="D132" s="2" t="s">
        <v>1876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1877</v>
      </c>
      <c r="L132" s="2" t="s">
        <v>1878</v>
      </c>
      <c r="M132" s="3" t="s">
        <v>1879</v>
      </c>
      <c r="N132" s="2" t="s">
        <v>1880</v>
      </c>
      <c r="O132" s="3" t="s">
        <v>65</v>
      </c>
      <c r="P132" s="3" t="s">
        <v>1340</v>
      </c>
      <c r="R132" s="3" t="s">
        <v>67</v>
      </c>
      <c r="S132" s="4">
        <v>10</v>
      </c>
      <c r="T132" s="4">
        <v>10</v>
      </c>
      <c r="U132" s="5" t="s">
        <v>1881</v>
      </c>
      <c r="V132" s="5" t="s">
        <v>1881</v>
      </c>
      <c r="W132" s="5" t="s">
        <v>1882</v>
      </c>
      <c r="X132" s="5" t="s">
        <v>1882</v>
      </c>
      <c r="Y132" s="4">
        <v>30</v>
      </c>
      <c r="Z132" s="4">
        <v>29</v>
      </c>
      <c r="AA132" s="4">
        <v>83</v>
      </c>
      <c r="AB132" s="4">
        <v>1</v>
      </c>
      <c r="AC132" s="4">
        <v>1</v>
      </c>
      <c r="AD132" s="4">
        <v>1</v>
      </c>
      <c r="AE132" s="4">
        <v>2</v>
      </c>
      <c r="AF132" s="4">
        <v>0</v>
      </c>
      <c r="AG132" s="4">
        <v>1</v>
      </c>
      <c r="AH132" s="4">
        <v>1</v>
      </c>
      <c r="AI132" s="4">
        <v>1</v>
      </c>
      <c r="AJ132" s="4">
        <v>1</v>
      </c>
      <c r="AK132" s="4">
        <v>1</v>
      </c>
      <c r="AL132" s="4">
        <v>0</v>
      </c>
      <c r="AM132" s="4">
        <v>0</v>
      </c>
      <c r="AN132" s="4">
        <v>0</v>
      </c>
      <c r="AO132" s="4">
        <v>0</v>
      </c>
      <c r="AP132" s="3" t="s">
        <v>58</v>
      </c>
      <c r="AQ132" s="3" t="s">
        <v>58</v>
      </c>
      <c r="AS132" s="6" t="str">
        <f>HYPERLINK("https://creighton-primo.hosted.exlibrisgroup.com/primo-explore/search?tab=default_tab&amp;search_scope=EVERYTHING&amp;vid=01CRU&amp;lang=en_US&amp;offset=0&amp;query=any,contains,991003242359702656","Catalog Record")</f>
        <v>Catalog Record</v>
      </c>
      <c r="AT132" s="6" t="str">
        <f>HYPERLINK("http://www.worldcat.org/oclc/765347","WorldCat Record")</f>
        <v>WorldCat Record</v>
      </c>
      <c r="AU132" s="3" t="s">
        <v>1883</v>
      </c>
      <c r="AV132" s="3" t="s">
        <v>1884</v>
      </c>
      <c r="AW132" s="3" t="s">
        <v>1885</v>
      </c>
      <c r="AX132" s="3" t="s">
        <v>1885</v>
      </c>
      <c r="AY132" s="3" t="s">
        <v>1886</v>
      </c>
      <c r="AZ132" s="3" t="s">
        <v>74</v>
      </c>
      <c r="BC132" s="3" t="s">
        <v>1887</v>
      </c>
      <c r="BD132" s="3" t="s">
        <v>1888</v>
      </c>
    </row>
    <row r="133" spans="1:56" ht="45.75" customHeight="1" x14ac:dyDescent="0.25">
      <c r="A133" s="7" t="s">
        <v>58</v>
      </c>
      <c r="B133" s="2" t="s">
        <v>1889</v>
      </c>
      <c r="C133" s="2" t="s">
        <v>1890</v>
      </c>
      <c r="D133" s="2" t="s">
        <v>1891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1892</v>
      </c>
      <c r="L133" s="2" t="s">
        <v>1893</v>
      </c>
      <c r="M133" s="3" t="s">
        <v>1209</v>
      </c>
      <c r="O133" s="3" t="s">
        <v>65</v>
      </c>
      <c r="P133" s="3" t="s">
        <v>175</v>
      </c>
      <c r="R133" s="3" t="s">
        <v>67</v>
      </c>
      <c r="S133" s="4">
        <v>4</v>
      </c>
      <c r="T133" s="4">
        <v>4</v>
      </c>
      <c r="U133" s="5" t="s">
        <v>1894</v>
      </c>
      <c r="V133" s="5" t="s">
        <v>1894</v>
      </c>
      <c r="W133" s="5" t="s">
        <v>103</v>
      </c>
      <c r="X133" s="5" t="s">
        <v>103</v>
      </c>
      <c r="Y133" s="4">
        <v>323</v>
      </c>
      <c r="Z133" s="4">
        <v>196</v>
      </c>
      <c r="AA133" s="4">
        <v>196</v>
      </c>
      <c r="AB133" s="4">
        <v>2</v>
      </c>
      <c r="AC133" s="4">
        <v>2</v>
      </c>
      <c r="AD133" s="4">
        <v>8</v>
      </c>
      <c r="AE133" s="4">
        <v>8</v>
      </c>
      <c r="AF133" s="4">
        <v>1</v>
      </c>
      <c r="AG133" s="4">
        <v>1</v>
      </c>
      <c r="AH133" s="4">
        <v>3</v>
      </c>
      <c r="AI133" s="4">
        <v>3</v>
      </c>
      <c r="AJ133" s="4">
        <v>6</v>
      </c>
      <c r="AK133" s="4">
        <v>6</v>
      </c>
      <c r="AL133" s="4">
        <v>1</v>
      </c>
      <c r="AM133" s="4">
        <v>1</v>
      </c>
      <c r="AN133" s="4">
        <v>0</v>
      </c>
      <c r="AO133" s="4">
        <v>0</v>
      </c>
      <c r="AP133" s="3" t="s">
        <v>58</v>
      </c>
      <c r="AQ133" s="3" t="s">
        <v>58</v>
      </c>
      <c r="AS133" s="6" t="str">
        <f>HYPERLINK("https://creighton-primo.hosted.exlibrisgroup.com/primo-explore/search?tab=default_tab&amp;search_scope=EVERYTHING&amp;vid=01CRU&amp;lang=en_US&amp;offset=0&amp;query=any,contains,991000980439702656","Catalog Record")</f>
        <v>Catalog Record</v>
      </c>
      <c r="AT133" s="6" t="str">
        <f>HYPERLINK("http://www.worldcat.org/oclc/15018952","WorldCat Record")</f>
        <v>WorldCat Record</v>
      </c>
      <c r="AU133" s="3" t="s">
        <v>1895</v>
      </c>
      <c r="AV133" s="3" t="s">
        <v>1896</v>
      </c>
      <c r="AW133" s="3" t="s">
        <v>1897</v>
      </c>
      <c r="AX133" s="3" t="s">
        <v>1897</v>
      </c>
      <c r="AY133" s="3" t="s">
        <v>1898</v>
      </c>
      <c r="AZ133" s="3" t="s">
        <v>74</v>
      </c>
      <c r="BB133" s="3" t="s">
        <v>1899</v>
      </c>
      <c r="BC133" s="3" t="s">
        <v>1900</v>
      </c>
      <c r="BD133" s="3" t="s">
        <v>1901</v>
      </c>
    </row>
    <row r="134" spans="1:56" ht="45.75" customHeight="1" x14ac:dyDescent="0.25">
      <c r="A134" s="7" t="s">
        <v>58</v>
      </c>
      <c r="B134" s="2" t="s">
        <v>1902</v>
      </c>
      <c r="C134" s="2" t="s">
        <v>1903</v>
      </c>
      <c r="D134" s="2" t="s">
        <v>1904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L134" s="2" t="s">
        <v>1905</v>
      </c>
      <c r="M134" s="3" t="s">
        <v>742</v>
      </c>
      <c r="O134" s="3" t="s">
        <v>65</v>
      </c>
      <c r="P134" s="3" t="s">
        <v>190</v>
      </c>
      <c r="R134" s="3" t="s">
        <v>67</v>
      </c>
      <c r="S134" s="4">
        <v>1</v>
      </c>
      <c r="T134" s="4">
        <v>1</v>
      </c>
      <c r="U134" s="5" t="s">
        <v>1894</v>
      </c>
      <c r="V134" s="5" t="s">
        <v>1894</v>
      </c>
      <c r="W134" s="5" t="s">
        <v>1906</v>
      </c>
      <c r="X134" s="5" t="s">
        <v>1906</v>
      </c>
      <c r="Y134" s="4">
        <v>223</v>
      </c>
      <c r="Z134" s="4">
        <v>197</v>
      </c>
      <c r="AA134" s="4">
        <v>244</v>
      </c>
      <c r="AB134" s="4">
        <v>1</v>
      </c>
      <c r="AC134" s="4">
        <v>2</v>
      </c>
      <c r="AD134" s="4">
        <v>15</v>
      </c>
      <c r="AE134" s="4">
        <v>17</v>
      </c>
      <c r="AF134" s="4">
        <v>5</v>
      </c>
      <c r="AG134" s="4">
        <v>5</v>
      </c>
      <c r="AH134" s="4">
        <v>6</v>
      </c>
      <c r="AI134" s="4">
        <v>6</v>
      </c>
      <c r="AJ134" s="4">
        <v>8</v>
      </c>
      <c r="AK134" s="4">
        <v>9</v>
      </c>
      <c r="AL134" s="4">
        <v>0</v>
      </c>
      <c r="AM134" s="4">
        <v>1</v>
      </c>
      <c r="AN134" s="4">
        <v>0</v>
      </c>
      <c r="AO134" s="4">
        <v>0</v>
      </c>
      <c r="AP134" s="3" t="s">
        <v>58</v>
      </c>
      <c r="AQ134" s="3" t="s">
        <v>58</v>
      </c>
      <c r="AS134" s="6" t="str">
        <f>HYPERLINK("https://creighton-primo.hosted.exlibrisgroup.com/primo-explore/search?tab=default_tab&amp;search_scope=EVERYTHING&amp;vid=01CRU&amp;lang=en_US&amp;offset=0&amp;query=any,contains,991001541639702656","Catalog Record")</f>
        <v>Catalog Record</v>
      </c>
      <c r="AT134" s="6" t="str">
        <f>HYPERLINK("http://www.worldcat.org/oclc/20131201","WorldCat Record")</f>
        <v>WorldCat Record</v>
      </c>
      <c r="AU134" s="3" t="s">
        <v>1907</v>
      </c>
      <c r="AV134" s="3" t="s">
        <v>1908</v>
      </c>
      <c r="AW134" s="3" t="s">
        <v>1909</v>
      </c>
      <c r="AX134" s="3" t="s">
        <v>1909</v>
      </c>
      <c r="AY134" s="3" t="s">
        <v>1910</v>
      </c>
      <c r="AZ134" s="3" t="s">
        <v>74</v>
      </c>
      <c r="BB134" s="3" t="s">
        <v>1911</v>
      </c>
      <c r="BC134" s="3" t="s">
        <v>1912</v>
      </c>
      <c r="BD134" s="3" t="s">
        <v>1913</v>
      </c>
    </row>
    <row r="135" spans="1:56" ht="45.75" customHeight="1" x14ac:dyDescent="0.25">
      <c r="A135" s="7" t="s">
        <v>58</v>
      </c>
      <c r="B135" s="2" t="s">
        <v>1914</v>
      </c>
      <c r="C135" s="2" t="s">
        <v>1915</v>
      </c>
      <c r="D135" s="2" t="s">
        <v>1916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1917</v>
      </c>
      <c r="L135" s="2" t="s">
        <v>1918</v>
      </c>
      <c r="M135" s="3" t="s">
        <v>1209</v>
      </c>
      <c r="O135" s="3" t="s">
        <v>65</v>
      </c>
      <c r="P135" s="3" t="s">
        <v>175</v>
      </c>
      <c r="R135" s="3" t="s">
        <v>67</v>
      </c>
      <c r="S135" s="4">
        <v>1</v>
      </c>
      <c r="T135" s="4">
        <v>1</v>
      </c>
      <c r="U135" s="5" t="s">
        <v>1919</v>
      </c>
      <c r="V135" s="5" t="s">
        <v>1919</v>
      </c>
      <c r="W135" s="5" t="s">
        <v>1240</v>
      </c>
      <c r="X135" s="5" t="s">
        <v>1240</v>
      </c>
      <c r="Y135" s="4">
        <v>265</v>
      </c>
      <c r="Z135" s="4">
        <v>119</v>
      </c>
      <c r="AA135" s="4">
        <v>121</v>
      </c>
      <c r="AB135" s="4">
        <v>1</v>
      </c>
      <c r="AC135" s="4">
        <v>1</v>
      </c>
      <c r="AD135" s="4">
        <v>1</v>
      </c>
      <c r="AE135" s="4">
        <v>1</v>
      </c>
      <c r="AF135" s="4">
        <v>0</v>
      </c>
      <c r="AG135" s="4">
        <v>0</v>
      </c>
      <c r="AH135" s="4">
        <v>0</v>
      </c>
      <c r="AI135" s="4">
        <v>0</v>
      </c>
      <c r="AJ135" s="4">
        <v>1</v>
      </c>
      <c r="AK135" s="4">
        <v>1</v>
      </c>
      <c r="AL135" s="4">
        <v>0</v>
      </c>
      <c r="AM135" s="4">
        <v>0</v>
      </c>
      <c r="AN135" s="4">
        <v>0</v>
      </c>
      <c r="AO135" s="4">
        <v>0</v>
      </c>
      <c r="AP135" s="3" t="s">
        <v>58</v>
      </c>
      <c r="AQ135" s="3" t="s">
        <v>87</v>
      </c>
      <c r="AR135" s="6" t="str">
        <f>HYPERLINK("http://catalog.hathitrust.org/Record/102210878","HathiTrust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HYPERLINK("https://creighton-primo.hosted.exlibrisgroup.com/primo-explore/search?tab=default_tab&amp;search_scope=EVERYTHING&amp;vid=01CRU&amp;lang=en_US&amp;offset=0&amp;query=any,contains,991001043909702656","Catalog Record")</f>
        <v>Catalog Record</v>
      </c>
      <c r="AT135" s="6" t="str">
        <f>HYPERLINK("http://www.worldcat.org/oclc/15593971","WorldCat Record")</f>
        <v>WorldCat Record</v>
      </c>
      <c r="AU135" s="3" t="s">
        <v>1920</v>
      </c>
      <c r="AV135" s="3" t="s">
        <v>1921</v>
      </c>
      <c r="AW135" s="3" t="s">
        <v>1922</v>
      </c>
      <c r="AX135" s="3" t="s">
        <v>1922</v>
      </c>
      <c r="AY135" s="3" t="s">
        <v>1923</v>
      </c>
      <c r="AZ135" s="3" t="s">
        <v>74</v>
      </c>
      <c r="BB135" s="3" t="s">
        <v>1924</v>
      </c>
      <c r="BC135" s="3" t="s">
        <v>1925</v>
      </c>
      <c r="BD135" s="3" t="s">
        <v>1926</v>
      </c>
    </row>
    <row r="136" spans="1:56" ht="45.75" customHeight="1" x14ac:dyDescent="0.25">
      <c r="A136" s="7" t="s">
        <v>58</v>
      </c>
      <c r="B136" s="2" t="s">
        <v>1927</v>
      </c>
      <c r="C136" s="2" t="s">
        <v>1928</v>
      </c>
      <c r="D136" s="2" t="s">
        <v>1929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1930</v>
      </c>
      <c r="L136" s="2" t="s">
        <v>1931</v>
      </c>
      <c r="M136" s="3" t="s">
        <v>83</v>
      </c>
      <c r="O136" s="3" t="s">
        <v>65</v>
      </c>
      <c r="P136" s="3" t="s">
        <v>148</v>
      </c>
      <c r="R136" s="3" t="s">
        <v>67</v>
      </c>
      <c r="S136" s="4">
        <v>3</v>
      </c>
      <c r="T136" s="4">
        <v>3</v>
      </c>
      <c r="U136" s="5" t="s">
        <v>1932</v>
      </c>
      <c r="V136" s="5" t="s">
        <v>1932</v>
      </c>
      <c r="W136" s="5" t="s">
        <v>1933</v>
      </c>
      <c r="X136" s="5" t="s">
        <v>1933</v>
      </c>
      <c r="Y136" s="4">
        <v>243</v>
      </c>
      <c r="Z136" s="4">
        <v>221</v>
      </c>
      <c r="AA136" s="4">
        <v>255</v>
      </c>
      <c r="AB136" s="4">
        <v>4</v>
      </c>
      <c r="AC136" s="4">
        <v>4</v>
      </c>
      <c r="AD136" s="4">
        <v>8</v>
      </c>
      <c r="AE136" s="4">
        <v>9</v>
      </c>
      <c r="AF136" s="4">
        <v>2</v>
      </c>
      <c r="AG136" s="4">
        <v>3</v>
      </c>
      <c r="AH136" s="4">
        <v>1</v>
      </c>
      <c r="AI136" s="4">
        <v>1</v>
      </c>
      <c r="AJ136" s="4">
        <v>4</v>
      </c>
      <c r="AK136" s="4">
        <v>5</v>
      </c>
      <c r="AL136" s="4">
        <v>3</v>
      </c>
      <c r="AM136" s="4">
        <v>3</v>
      </c>
      <c r="AN136" s="4">
        <v>0</v>
      </c>
      <c r="AO136" s="4">
        <v>0</v>
      </c>
      <c r="AP136" s="3" t="s">
        <v>58</v>
      </c>
      <c r="AQ136" s="3" t="s">
        <v>87</v>
      </c>
      <c r="AR136" s="6" t="str">
        <f>HYPERLINK("http://catalog.hathitrust.org/Record/000815066","HathiTrust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HYPERLINK("https://creighton-primo.hosted.exlibrisgroup.com/primo-explore/search?tab=default_tab&amp;search_scope=EVERYTHING&amp;vid=01CRU&amp;lang=en_US&amp;offset=0&amp;query=any,contains,991000874289702656","Catalog Record")</f>
        <v>Catalog Record</v>
      </c>
      <c r="AT136" s="6" t="str">
        <f>HYPERLINK("http://www.worldcat.org/oclc/13795456","WorldCat Record")</f>
        <v>WorldCat Record</v>
      </c>
      <c r="AU136" s="3" t="s">
        <v>1934</v>
      </c>
      <c r="AV136" s="3" t="s">
        <v>1935</v>
      </c>
      <c r="AW136" s="3" t="s">
        <v>1936</v>
      </c>
      <c r="AX136" s="3" t="s">
        <v>1936</v>
      </c>
      <c r="AY136" s="3" t="s">
        <v>1937</v>
      </c>
      <c r="AZ136" s="3" t="s">
        <v>74</v>
      </c>
      <c r="BB136" s="3" t="s">
        <v>1938</v>
      </c>
      <c r="BC136" s="3" t="s">
        <v>1939</v>
      </c>
      <c r="BD136" s="3" t="s">
        <v>1940</v>
      </c>
    </row>
    <row r="137" spans="1:56" ht="45.75" customHeight="1" x14ac:dyDescent="0.25">
      <c r="A137" s="7" t="s">
        <v>58</v>
      </c>
      <c r="B137" s="2" t="s">
        <v>1941</v>
      </c>
      <c r="C137" s="2" t="s">
        <v>1942</v>
      </c>
      <c r="D137" s="2" t="s">
        <v>1943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1944</v>
      </c>
      <c r="L137" s="2" t="s">
        <v>1945</v>
      </c>
      <c r="M137" s="3" t="s">
        <v>1946</v>
      </c>
      <c r="O137" s="3" t="s">
        <v>65</v>
      </c>
      <c r="P137" s="3" t="s">
        <v>1340</v>
      </c>
      <c r="R137" s="3" t="s">
        <v>67</v>
      </c>
      <c r="S137" s="4">
        <v>3</v>
      </c>
      <c r="T137" s="4">
        <v>3</v>
      </c>
      <c r="U137" s="5" t="s">
        <v>1947</v>
      </c>
      <c r="V137" s="5" t="s">
        <v>1947</v>
      </c>
      <c r="W137" s="5" t="s">
        <v>1487</v>
      </c>
      <c r="X137" s="5" t="s">
        <v>1487</v>
      </c>
      <c r="Y137" s="4">
        <v>91</v>
      </c>
      <c r="Z137" s="4">
        <v>88</v>
      </c>
      <c r="AA137" s="4">
        <v>91</v>
      </c>
      <c r="AB137" s="4">
        <v>2</v>
      </c>
      <c r="AC137" s="4">
        <v>2</v>
      </c>
      <c r="AD137" s="4">
        <v>2</v>
      </c>
      <c r="AE137" s="4">
        <v>2</v>
      </c>
      <c r="AF137" s="4">
        <v>1</v>
      </c>
      <c r="AG137" s="4">
        <v>1</v>
      </c>
      <c r="AH137" s="4">
        <v>0</v>
      </c>
      <c r="AI137" s="4">
        <v>0</v>
      </c>
      <c r="AJ137" s="4">
        <v>0</v>
      </c>
      <c r="AK137" s="4">
        <v>0</v>
      </c>
      <c r="AL137" s="4">
        <v>1</v>
      </c>
      <c r="AM137" s="4">
        <v>1</v>
      </c>
      <c r="AN137" s="4">
        <v>0</v>
      </c>
      <c r="AO137" s="4">
        <v>0</v>
      </c>
      <c r="AP137" s="3" t="s">
        <v>58</v>
      </c>
      <c r="AQ137" s="3" t="s">
        <v>87</v>
      </c>
      <c r="AR137" s="6" t="str">
        <f>HYPERLINK("http://catalog.hathitrust.org/Record/010655815","HathiTrust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HYPERLINK("https://creighton-primo.hosted.exlibrisgroup.com/primo-explore/search?tab=default_tab&amp;search_scope=EVERYTHING&amp;vid=01CRU&amp;lang=en_US&amp;offset=0&amp;query=any,contains,991003893109702656","Catalog Record")</f>
        <v>Catalog Record</v>
      </c>
      <c r="AT137" s="6" t="str">
        <f>HYPERLINK("http://www.worldcat.org/oclc/1801687","WorldCat Record")</f>
        <v>WorldCat Record</v>
      </c>
      <c r="AU137" s="3" t="s">
        <v>1948</v>
      </c>
      <c r="AV137" s="3" t="s">
        <v>1949</v>
      </c>
      <c r="AW137" s="3" t="s">
        <v>1950</v>
      </c>
      <c r="AX137" s="3" t="s">
        <v>1950</v>
      </c>
      <c r="AY137" s="3" t="s">
        <v>1951</v>
      </c>
      <c r="AZ137" s="3" t="s">
        <v>74</v>
      </c>
      <c r="BC137" s="3" t="s">
        <v>1952</v>
      </c>
      <c r="BD137" s="3" t="s">
        <v>1953</v>
      </c>
    </row>
    <row r="138" spans="1:56" ht="45.75" customHeight="1" x14ac:dyDescent="0.25">
      <c r="A138" s="7" t="s">
        <v>58</v>
      </c>
      <c r="B138" s="2" t="s">
        <v>1954</v>
      </c>
      <c r="C138" s="2" t="s">
        <v>1955</v>
      </c>
      <c r="D138" s="2" t="s">
        <v>1956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1957</v>
      </c>
      <c r="L138" s="2" t="s">
        <v>1958</v>
      </c>
      <c r="M138" s="3" t="s">
        <v>742</v>
      </c>
      <c r="O138" s="3" t="s">
        <v>65</v>
      </c>
      <c r="P138" s="3" t="s">
        <v>336</v>
      </c>
      <c r="R138" s="3" t="s">
        <v>67</v>
      </c>
      <c r="S138" s="4">
        <v>1</v>
      </c>
      <c r="T138" s="4">
        <v>1</v>
      </c>
      <c r="U138" s="5" t="s">
        <v>1959</v>
      </c>
      <c r="V138" s="5" t="s">
        <v>1959</v>
      </c>
      <c r="W138" s="5" t="s">
        <v>1959</v>
      </c>
      <c r="X138" s="5" t="s">
        <v>1959</v>
      </c>
      <c r="Y138" s="4">
        <v>385</v>
      </c>
      <c r="Z138" s="4">
        <v>290</v>
      </c>
      <c r="AA138" s="4">
        <v>542</v>
      </c>
      <c r="AB138" s="4">
        <v>2</v>
      </c>
      <c r="AC138" s="4">
        <v>5</v>
      </c>
      <c r="AD138" s="4">
        <v>12</v>
      </c>
      <c r="AE138" s="4">
        <v>27</v>
      </c>
      <c r="AF138" s="4">
        <v>3</v>
      </c>
      <c r="AG138" s="4">
        <v>11</v>
      </c>
      <c r="AH138" s="4">
        <v>5</v>
      </c>
      <c r="AI138" s="4">
        <v>9</v>
      </c>
      <c r="AJ138" s="4">
        <v>8</v>
      </c>
      <c r="AK138" s="4">
        <v>12</v>
      </c>
      <c r="AL138" s="4">
        <v>1</v>
      </c>
      <c r="AM138" s="4">
        <v>3</v>
      </c>
      <c r="AN138" s="4">
        <v>0</v>
      </c>
      <c r="AO138" s="4">
        <v>0</v>
      </c>
      <c r="AP138" s="3" t="s">
        <v>58</v>
      </c>
      <c r="AQ138" s="3" t="s">
        <v>58</v>
      </c>
      <c r="AS138" s="6" t="str">
        <f>HYPERLINK("https://creighton-primo.hosted.exlibrisgroup.com/primo-explore/search?tab=default_tab&amp;search_scope=EVERYTHING&amp;vid=01CRU&amp;lang=en_US&amp;offset=0&amp;query=any,contains,991004395019702656","Catalog Record")</f>
        <v>Catalog Record</v>
      </c>
      <c r="AT138" s="6" t="str">
        <f>HYPERLINK("http://www.worldcat.org/oclc/18413246","WorldCat Record")</f>
        <v>WorldCat Record</v>
      </c>
      <c r="AU138" s="3" t="s">
        <v>1960</v>
      </c>
      <c r="AV138" s="3" t="s">
        <v>1961</v>
      </c>
      <c r="AW138" s="3" t="s">
        <v>1962</v>
      </c>
      <c r="AX138" s="3" t="s">
        <v>1962</v>
      </c>
      <c r="AY138" s="3" t="s">
        <v>1963</v>
      </c>
      <c r="AZ138" s="3" t="s">
        <v>74</v>
      </c>
      <c r="BB138" s="3" t="s">
        <v>1964</v>
      </c>
      <c r="BC138" s="3" t="s">
        <v>1965</v>
      </c>
      <c r="BD138" s="3" t="s">
        <v>1966</v>
      </c>
    </row>
    <row r="139" spans="1:56" ht="45.75" customHeight="1" x14ac:dyDescent="0.25">
      <c r="A139" s="7" t="s">
        <v>58</v>
      </c>
      <c r="B139" s="2" t="s">
        <v>1967</v>
      </c>
      <c r="C139" s="2" t="s">
        <v>1968</v>
      </c>
      <c r="D139" s="2" t="s">
        <v>1969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1970</v>
      </c>
      <c r="L139" s="2" t="s">
        <v>1971</v>
      </c>
      <c r="M139" s="3" t="s">
        <v>867</v>
      </c>
      <c r="O139" s="3" t="s">
        <v>65</v>
      </c>
      <c r="P139" s="3" t="s">
        <v>190</v>
      </c>
      <c r="R139" s="3" t="s">
        <v>67</v>
      </c>
      <c r="S139" s="4">
        <v>6</v>
      </c>
      <c r="T139" s="4">
        <v>6</v>
      </c>
      <c r="U139" s="5" t="s">
        <v>1972</v>
      </c>
      <c r="V139" s="5" t="s">
        <v>1972</v>
      </c>
      <c r="W139" s="5" t="s">
        <v>1973</v>
      </c>
      <c r="X139" s="5" t="s">
        <v>1973</v>
      </c>
      <c r="Y139" s="4">
        <v>186</v>
      </c>
      <c r="Z139" s="4">
        <v>162</v>
      </c>
      <c r="AA139" s="4">
        <v>167</v>
      </c>
      <c r="AB139" s="4">
        <v>3</v>
      </c>
      <c r="AC139" s="4">
        <v>3</v>
      </c>
      <c r="AD139" s="4">
        <v>8</v>
      </c>
      <c r="AE139" s="4">
        <v>8</v>
      </c>
      <c r="AF139" s="4">
        <v>1</v>
      </c>
      <c r="AG139" s="4">
        <v>1</v>
      </c>
      <c r="AH139" s="4">
        <v>2</v>
      </c>
      <c r="AI139" s="4">
        <v>2</v>
      </c>
      <c r="AJ139" s="4">
        <v>4</v>
      </c>
      <c r="AK139" s="4">
        <v>4</v>
      </c>
      <c r="AL139" s="4">
        <v>2</v>
      </c>
      <c r="AM139" s="4">
        <v>2</v>
      </c>
      <c r="AN139" s="4">
        <v>0</v>
      </c>
      <c r="AO139" s="4">
        <v>0</v>
      </c>
      <c r="AP139" s="3" t="s">
        <v>58</v>
      </c>
      <c r="AQ139" s="3" t="s">
        <v>58</v>
      </c>
      <c r="AS139" s="6" t="str">
        <f>HYPERLINK("https://creighton-primo.hosted.exlibrisgroup.com/primo-explore/search?tab=default_tab&amp;search_scope=EVERYTHING&amp;vid=01CRU&amp;lang=en_US&amp;offset=0&amp;query=any,contains,991002013939702656","Catalog Record")</f>
        <v>Catalog Record</v>
      </c>
      <c r="AT139" s="6" t="str">
        <f>HYPERLINK("http://www.worldcat.org/oclc/25629863","WorldCat Record")</f>
        <v>WorldCat Record</v>
      </c>
      <c r="AU139" s="3" t="s">
        <v>1974</v>
      </c>
      <c r="AV139" s="3" t="s">
        <v>1975</v>
      </c>
      <c r="AW139" s="3" t="s">
        <v>1976</v>
      </c>
      <c r="AX139" s="3" t="s">
        <v>1976</v>
      </c>
      <c r="AY139" s="3" t="s">
        <v>1977</v>
      </c>
      <c r="AZ139" s="3" t="s">
        <v>74</v>
      </c>
      <c r="BB139" s="3" t="s">
        <v>1978</v>
      </c>
      <c r="BC139" s="3" t="s">
        <v>1979</v>
      </c>
      <c r="BD139" s="3" t="s">
        <v>1980</v>
      </c>
    </row>
    <row r="140" spans="1:56" ht="45.75" customHeight="1" x14ac:dyDescent="0.25">
      <c r="A140" s="7" t="s">
        <v>58</v>
      </c>
      <c r="B140" s="2" t="s">
        <v>1981</v>
      </c>
      <c r="C140" s="2" t="s">
        <v>1982</v>
      </c>
      <c r="D140" s="2" t="s">
        <v>1983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1984</v>
      </c>
      <c r="L140" s="2" t="s">
        <v>1985</v>
      </c>
      <c r="M140" s="3" t="s">
        <v>1986</v>
      </c>
      <c r="O140" s="3" t="s">
        <v>65</v>
      </c>
      <c r="P140" s="3" t="s">
        <v>84</v>
      </c>
      <c r="R140" s="3" t="s">
        <v>67</v>
      </c>
      <c r="S140" s="4">
        <v>9</v>
      </c>
      <c r="T140" s="4">
        <v>9</v>
      </c>
      <c r="U140" s="5" t="s">
        <v>1782</v>
      </c>
      <c r="V140" s="5" t="s">
        <v>1782</v>
      </c>
      <c r="W140" s="5" t="s">
        <v>1487</v>
      </c>
      <c r="X140" s="5" t="s">
        <v>1487</v>
      </c>
      <c r="Y140" s="4">
        <v>308</v>
      </c>
      <c r="Z140" s="4">
        <v>284</v>
      </c>
      <c r="AA140" s="4">
        <v>286</v>
      </c>
      <c r="AB140" s="4">
        <v>5</v>
      </c>
      <c r="AC140" s="4">
        <v>5</v>
      </c>
      <c r="AD140" s="4">
        <v>11</v>
      </c>
      <c r="AE140" s="4">
        <v>11</v>
      </c>
      <c r="AF140" s="4">
        <v>2</v>
      </c>
      <c r="AG140" s="4">
        <v>2</v>
      </c>
      <c r="AH140" s="4">
        <v>1</v>
      </c>
      <c r="AI140" s="4">
        <v>1</v>
      </c>
      <c r="AJ140" s="4">
        <v>5</v>
      </c>
      <c r="AK140" s="4">
        <v>5</v>
      </c>
      <c r="AL140" s="4">
        <v>4</v>
      </c>
      <c r="AM140" s="4">
        <v>4</v>
      </c>
      <c r="AN140" s="4">
        <v>0</v>
      </c>
      <c r="AO140" s="4">
        <v>0</v>
      </c>
      <c r="AP140" s="3" t="s">
        <v>58</v>
      </c>
      <c r="AQ140" s="3" t="s">
        <v>87</v>
      </c>
      <c r="AR140" s="6" t="str">
        <f>HYPERLINK("http://catalog.hathitrust.org/Record/001120098","HathiTrust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HYPERLINK("https://creighton-primo.hosted.exlibrisgroup.com/primo-explore/search?tab=default_tab&amp;search_scope=EVERYTHING&amp;vid=01CRU&amp;lang=en_US&amp;offset=0&amp;query=any,contains,991003555789702656","Catalog Record")</f>
        <v>Catalog Record</v>
      </c>
      <c r="AT140" s="6" t="str">
        <f>HYPERLINK("http://www.worldcat.org/oclc/1124183","WorldCat Record")</f>
        <v>WorldCat Record</v>
      </c>
      <c r="AU140" s="3" t="s">
        <v>1987</v>
      </c>
      <c r="AV140" s="3" t="s">
        <v>1988</v>
      </c>
      <c r="AW140" s="3" t="s">
        <v>1989</v>
      </c>
      <c r="AX140" s="3" t="s">
        <v>1989</v>
      </c>
      <c r="AY140" s="3" t="s">
        <v>1990</v>
      </c>
      <c r="AZ140" s="3" t="s">
        <v>74</v>
      </c>
      <c r="BC140" s="3" t="s">
        <v>1991</v>
      </c>
      <c r="BD140" s="3" t="s">
        <v>1992</v>
      </c>
    </row>
    <row r="141" spans="1:56" ht="45.75" customHeight="1" x14ac:dyDescent="0.25">
      <c r="A141" s="7" t="s">
        <v>58</v>
      </c>
      <c r="B141" s="2" t="s">
        <v>1993</v>
      </c>
      <c r="C141" s="2" t="s">
        <v>1994</v>
      </c>
      <c r="D141" s="2" t="s">
        <v>1995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K141" s="2" t="s">
        <v>1996</v>
      </c>
      <c r="L141" s="2" t="s">
        <v>1997</v>
      </c>
      <c r="M141" s="3" t="s">
        <v>1998</v>
      </c>
      <c r="O141" s="3" t="s">
        <v>65</v>
      </c>
      <c r="P141" s="3" t="s">
        <v>190</v>
      </c>
      <c r="Q141" s="2" t="s">
        <v>1999</v>
      </c>
      <c r="R141" s="3" t="s">
        <v>67</v>
      </c>
      <c r="S141" s="4">
        <v>4</v>
      </c>
      <c r="T141" s="4">
        <v>4</v>
      </c>
      <c r="U141" s="5" t="s">
        <v>2000</v>
      </c>
      <c r="V141" s="5" t="s">
        <v>2000</v>
      </c>
      <c r="W141" s="5" t="s">
        <v>2001</v>
      </c>
      <c r="X141" s="5" t="s">
        <v>2001</v>
      </c>
      <c r="Y141" s="4">
        <v>398</v>
      </c>
      <c r="Z141" s="4">
        <v>337</v>
      </c>
      <c r="AA141" s="4">
        <v>344</v>
      </c>
      <c r="AB141" s="4">
        <v>2</v>
      </c>
      <c r="AC141" s="4">
        <v>2</v>
      </c>
      <c r="AD141" s="4">
        <v>8</v>
      </c>
      <c r="AE141" s="4">
        <v>8</v>
      </c>
      <c r="AF141" s="4">
        <v>4</v>
      </c>
      <c r="AG141" s="4">
        <v>4</v>
      </c>
      <c r="AH141" s="4">
        <v>0</v>
      </c>
      <c r="AI141" s="4">
        <v>0</v>
      </c>
      <c r="AJ141" s="4">
        <v>4</v>
      </c>
      <c r="AK141" s="4">
        <v>4</v>
      </c>
      <c r="AL141" s="4">
        <v>1</v>
      </c>
      <c r="AM141" s="4">
        <v>1</v>
      </c>
      <c r="AN141" s="4">
        <v>0</v>
      </c>
      <c r="AO141" s="4">
        <v>0</v>
      </c>
      <c r="AP141" s="3" t="s">
        <v>58</v>
      </c>
      <c r="AQ141" s="3" t="s">
        <v>58</v>
      </c>
      <c r="AS141" s="6" t="str">
        <f>HYPERLINK("https://creighton-primo.hosted.exlibrisgroup.com/primo-explore/search?tab=default_tab&amp;search_scope=EVERYTHING&amp;vid=01CRU&amp;lang=en_US&amp;offset=0&amp;query=any,contains,991003161839702656","Catalog Record")</f>
        <v>Catalog Record</v>
      </c>
      <c r="AT141" s="6" t="str">
        <f>HYPERLINK("http://www.worldcat.org/oclc/700713","WorldCat Record")</f>
        <v>WorldCat Record</v>
      </c>
      <c r="AU141" s="3" t="s">
        <v>2002</v>
      </c>
      <c r="AV141" s="3" t="s">
        <v>2003</v>
      </c>
      <c r="AW141" s="3" t="s">
        <v>2004</v>
      </c>
      <c r="AX141" s="3" t="s">
        <v>2004</v>
      </c>
      <c r="AY141" s="3" t="s">
        <v>2005</v>
      </c>
      <c r="AZ141" s="3" t="s">
        <v>74</v>
      </c>
      <c r="BB141" s="3" t="s">
        <v>2006</v>
      </c>
      <c r="BC141" s="3" t="s">
        <v>2007</v>
      </c>
      <c r="BD141" s="3" t="s">
        <v>2008</v>
      </c>
    </row>
    <row r="142" spans="1:56" ht="45.75" customHeight="1" x14ac:dyDescent="0.25">
      <c r="A142" s="7" t="s">
        <v>58</v>
      </c>
      <c r="B142" s="2" t="s">
        <v>2009</v>
      </c>
      <c r="C142" s="2" t="s">
        <v>2010</v>
      </c>
      <c r="D142" s="2" t="s">
        <v>2011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2012</v>
      </c>
      <c r="L142" s="2" t="s">
        <v>2013</v>
      </c>
      <c r="M142" s="3" t="s">
        <v>1058</v>
      </c>
      <c r="O142" s="3" t="s">
        <v>65</v>
      </c>
      <c r="P142" s="3" t="s">
        <v>148</v>
      </c>
      <c r="R142" s="3" t="s">
        <v>67</v>
      </c>
      <c r="S142" s="4">
        <v>17</v>
      </c>
      <c r="T142" s="4">
        <v>17</v>
      </c>
      <c r="U142" s="5" t="s">
        <v>773</v>
      </c>
      <c r="V142" s="5" t="s">
        <v>773</v>
      </c>
      <c r="W142" s="5" t="s">
        <v>1797</v>
      </c>
      <c r="X142" s="5" t="s">
        <v>1797</v>
      </c>
      <c r="Y142" s="4">
        <v>1459</v>
      </c>
      <c r="Z142" s="4">
        <v>1332</v>
      </c>
      <c r="AA142" s="4">
        <v>1341</v>
      </c>
      <c r="AB142" s="4">
        <v>11</v>
      </c>
      <c r="AC142" s="4">
        <v>11</v>
      </c>
      <c r="AD142" s="4">
        <v>38</v>
      </c>
      <c r="AE142" s="4">
        <v>38</v>
      </c>
      <c r="AF142" s="4">
        <v>18</v>
      </c>
      <c r="AG142" s="4">
        <v>18</v>
      </c>
      <c r="AH142" s="4">
        <v>9</v>
      </c>
      <c r="AI142" s="4">
        <v>9</v>
      </c>
      <c r="AJ142" s="4">
        <v>15</v>
      </c>
      <c r="AK142" s="4">
        <v>15</v>
      </c>
      <c r="AL142" s="4">
        <v>6</v>
      </c>
      <c r="AM142" s="4">
        <v>6</v>
      </c>
      <c r="AN142" s="4">
        <v>0</v>
      </c>
      <c r="AO142" s="4">
        <v>0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HYPERLINK("https://creighton-primo.hosted.exlibrisgroup.com/primo-explore/search?tab=default_tab&amp;search_scope=EVERYTHING&amp;vid=01CRU&amp;lang=en_US&amp;offset=0&amp;query=any,contains,991001276699702656","Catalog Record")</f>
        <v>Catalog Record</v>
      </c>
      <c r="AT142" s="6" t="str">
        <f>HYPERLINK("http://www.worldcat.org/oclc/17875818","WorldCat Record")</f>
        <v>WorldCat Record</v>
      </c>
      <c r="AU142" s="3" t="s">
        <v>2014</v>
      </c>
      <c r="AV142" s="3" t="s">
        <v>2015</v>
      </c>
      <c r="AW142" s="3" t="s">
        <v>2016</v>
      </c>
      <c r="AX142" s="3" t="s">
        <v>2016</v>
      </c>
      <c r="AY142" s="3" t="s">
        <v>2017</v>
      </c>
      <c r="AZ142" s="3" t="s">
        <v>74</v>
      </c>
      <c r="BB142" s="3" t="s">
        <v>2018</v>
      </c>
      <c r="BC142" s="3" t="s">
        <v>2019</v>
      </c>
      <c r="BD142" s="3" t="s">
        <v>2020</v>
      </c>
    </row>
    <row r="143" spans="1:56" ht="45.75" customHeight="1" x14ac:dyDescent="0.25">
      <c r="A143" s="7" t="s">
        <v>58</v>
      </c>
      <c r="B143" s="2" t="s">
        <v>2021</v>
      </c>
      <c r="C143" s="2" t="s">
        <v>2022</v>
      </c>
      <c r="D143" s="2" t="s">
        <v>2023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2024</v>
      </c>
      <c r="L143" s="2" t="s">
        <v>2025</v>
      </c>
      <c r="M143" s="3" t="s">
        <v>528</v>
      </c>
      <c r="O143" s="3" t="s">
        <v>65</v>
      </c>
      <c r="P143" s="3" t="s">
        <v>84</v>
      </c>
      <c r="R143" s="3" t="s">
        <v>67</v>
      </c>
      <c r="S143" s="4">
        <v>14</v>
      </c>
      <c r="T143" s="4">
        <v>14</v>
      </c>
      <c r="U143" s="5" t="s">
        <v>2000</v>
      </c>
      <c r="V143" s="5" t="s">
        <v>2000</v>
      </c>
      <c r="W143" s="5" t="s">
        <v>2026</v>
      </c>
      <c r="X143" s="5" t="s">
        <v>2026</v>
      </c>
      <c r="Y143" s="4">
        <v>231</v>
      </c>
      <c r="Z143" s="4">
        <v>195</v>
      </c>
      <c r="AA143" s="4">
        <v>202</v>
      </c>
      <c r="AB143" s="4">
        <v>2</v>
      </c>
      <c r="AC143" s="4">
        <v>2</v>
      </c>
      <c r="AD143" s="4">
        <v>8</v>
      </c>
      <c r="AE143" s="4">
        <v>8</v>
      </c>
      <c r="AF143" s="4">
        <v>3</v>
      </c>
      <c r="AG143" s="4">
        <v>3</v>
      </c>
      <c r="AH143" s="4">
        <v>1</v>
      </c>
      <c r="AI143" s="4">
        <v>1</v>
      </c>
      <c r="AJ143" s="4">
        <v>4</v>
      </c>
      <c r="AK143" s="4">
        <v>4</v>
      </c>
      <c r="AL143" s="4">
        <v>1</v>
      </c>
      <c r="AM143" s="4">
        <v>1</v>
      </c>
      <c r="AN143" s="4">
        <v>0</v>
      </c>
      <c r="AO143" s="4">
        <v>0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HYPERLINK("https://creighton-primo.hosted.exlibrisgroup.com/primo-explore/search?tab=default_tab&amp;search_scope=EVERYTHING&amp;vid=01CRU&amp;lang=en_US&amp;offset=0&amp;query=any,contains,991001492499702656","Catalog Record")</f>
        <v>Catalog Record</v>
      </c>
      <c r="AT143" s="6" t="str">
        <f>HYPERLINK("http://www.worldcat.org/oclc/19739353","WorldCat Record")</f>
        <v>WorldCat Record</v>
      </c>
      <c r="AU143" s="3" t="s">
        <v>2027</v>
      </c>
      <c r="AV143" s="3" t="s">
        <v>2028</v>
      </c>
      <c r="AW143" s="3" t="s">
        <v>2029</v>
      </c>
      <c r="AX143" s="3" t="s">
        <v>2029</v>
      </c>
      <c r="AY143" s="3" t="s">
        <v>2030</v>
      </c>
      <c r="AZ143" s="3" t="s">
        <v>74</v>
      </c>
      <c r="BB143" s="3" t="s">
        <v>2031</v>
      </c>
      <c r="BC143" s="3" t="s">
        <v>2032</v>
      </c>
      <c r="BD143" s="3" t="s">
        <v>2033</v>
      </c>
    </row>
    <row r="144" spans="1:56" ht="45.75" customHeight="1" x14ac:dyDescent="0.25">
      <c r="A144" s="7" t="s">
        <v>58</v>
      </c>
      <c r="B144" s="2" t="s">
        <v>2034</v>
      </c>
      <c r="C144" s="2" t="s">
        <v>2035</v>
      </c>
      <c r="D144" s="2" t="s">
        <v>2036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2037</v>
      </c>
      <c r="L144" s="2" t="s">
        <v>2038</v>
      </c>
      <c r="M144" s="3" t="s">
        <v>263</v>
      </c>
      <c r="O144" s="3" t="s">
        <v>65</v>
      </c>
      <c r="P144" s="3" t="s">
        <v>84</v>
      </c>
      <c r="R144" s="3" t="s">
        <v>67</v>
      </c>
      <c r="S144" s="4">
        <v>10</v>
      </c>
      <c r="T144" s="4">
        <v>10</v>
      </c>
      <c r="U144" s="5" t="s">
        <v>2039</v>
      </c>
      <c r="V144" s="5" t="s">
        <v>2039</v>
      </c>
      <c r="W144" s="5" t="s">
        <v>2040</v>
      </c>
      <c r="X144" s="5" t="s">
        <v>2040</v>
      </c>
      <c r="Y144" s="4">
        <v>515</v>
      </c>
      <c r="Z144" s="4">
        <v>463</v>
      </c>
      <c r="AA144" s="4">
        <v>535</v>
      </c>
      <c r="AB144" s="4">
        <v>4</v>
      </c>
      <c r="AC144" s="4">
        <v>5</v>
      </c>
      <c r="AD144" s="4">
        <v>27</v>
      </c>
      <c r="AE144" s="4">
        <v>31</v>
      </c>
      <c r="AF144" s="4">
        <v>10</v>
      </c>
      <c r="AG144" s="4">
        <v>12</v>
      </c>
      <c r="AH144" s="4">
        <v>8</v>
      </c>
      <c r="AI144" s="4">
        <v>9</v>
      </c>
      <c r="AJ144" s="4">
        <v>13</v>
      </c>
      <c r="AK144" s="4">
        <v>13</v>
      </c>
      <c r="AL144" s="4">
        <v>3</v>
      </c>
      <c r="AM144" s="4">
        <v>4</v>
      </c>
      <c r="AN144" s="4">
        <v>1</v>
      </c>
      <c r="AO144" s="4">
        <v>2</v>
      </c>
      <c r="AP144" s="3" t="s">
        <v>58</v>
      </c>
      <c r="AQ144" s="3" t="s">
        <v>58</v>
      </c>
      <c r="AS144" s="6" t="str">
        <f>HYPERLINK("https://creighton-primo.hosted.exlibrisgroup.com/primo-explore/search?tab=default_tab&amp;search_scope=EVERYTHING&amp;vid=01CRU&amp;lang=en_US&amp;offset=0&amp;query=any,contains,991005424279702656","Catalog Record")</f>
        <v>Catalog Record</v>
      </c>
      <c r="AT144" s="6" t="str">
        <f>HYPERLINK("http://www.worldcat.org/oclc/35018120","WorldCat Record")</f>
        <v>WorldCat Record</v>
      </c>
      <c r="AU144" s="3" t="s">
        <v>2041</v>
      </c>
      <c r="AV144" s="3" t="s">
        <v>2042</v>
      </c>
      <c r="AW144" s="3" t="s">
        <v>2043</v>
      </c>
      <c r="AX144" s="3" t="s">
        <v>2043</v>
      </c>
      <c r="AY144" s="3" t="s">
        <v>2044</v>
      </c>
      <c r="AZ144" s="3" t="s">
        <v>74</v>
      </c>
      <c r="BB144" s="3" t="s">
        <v>2045</v>
      </c>
      <c r="BC144" s="3" t="s">
        <v>2046</v>
      </c>
      <c r="BD144" s="3" t="s">
        <v>2047</v>
      </c>
    </row>
    <row r="145" spans="1:56" ht="45.75" customHeight="1" x14ac:dyDescent="0.25">
      <c r="A145" s="7" t="s">
        <v>58</v>
      </c>
      <c r="B145" s="2" t="s">
        <v>2048</v>
      </c>
      <c r="C145" s="2" t="s">
        <v>2049</v>
      </c>
      <c r="D145" s="2" t="s">
        <v>2050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L145" s="2" t="s">
        <v>2051</v>
      </c>
      <c r="M145" s="3" t="s">
        <v>573</v>
      </c>
      <c r="O145" s="3" t="s">
        <v>65</v>
      </c>
      <c r="P145" s="3" t="s">
        <v>363</v>
      </c>
      <c r="R145" s="3" t="s">
        <v>67</v>
      </c>
      <c r="S145" s="4">
        <v>2</v>
      </c>
      <c r="T145" s="4">
        <v>2</v>
      </c>
      <c r="U145" s="5" t="s">
        <v>2052</v>
      </c>
      <c r="V145" s="5" t="s">
        <v>2052</v>
      </c>
      <c r="W145" s="5" t="s">
        <v>2053</v>
      </c>
      <c r="X145" s="5" t="s">
        <v>2053</v>
      </c>
      <c r="Y145" s="4">
        <v>290</v>
      </c>
      <c r="Z145" s="4">
        <v>271</v>
      </c>
      <c r="AA145" s="4">
        <v>278</v>
      </c>
      <c r="AB145" s="4">
        <v>1</v>
      </c>
      <c r="AC145" s="4">
        <v>1</v>
      </c>
      <c r="AD145" s="4">
        <v>10</v>
      </c>
      <c r="AE145" s="4">
        <v>10</v>
      </c>
      <c r="AF145" s="4">
        <v>4</v>
      </c>
      <c r="AG145" s="4">
        <v>4</v>
      </c>
      <c r="AH145" s="4">
        <v>1</v>
      </c>
      <c r="AI145" s="4">
        <v>1</v>
      </c>
      <c r="AJ145" s="4">
        <v>6</v>
      </c>
      <c r="AK145" s="4">
        <v>6</v>
      </c>
      <c r="AL145" s="4">
        <v>0</v>
      </c>
      <c r="AM145" s="4">
        <v>0</v>
      </c>
      <c r="AN145" s="4">
        <v>0</v>
      </c>
      <c r="AO145" s="4">
        <v>0</v>
      </c>
      <c r="AP145" s="3" t="s">
        <v>58</v>
      </c>
      <c r="AQ145" s="3" t="s">
        <v>87</v>
      </c>
      <c r="AR145" s="6" t="str">
        <f>HYPERLINK("http://catalog.hathitrust.org/Record/004736764","HathiTrust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HYPERLINK("https://creighton-primo.hosted.exlibrisgroup.com/primo-explore/search?tab=default_tab&amp;search_scope=EVERYTHING&amp;vid=01CRU&amp;lang=en_US&amp;offset=0&amp;query=any,contains,991004370419702656","Catalog Record")</f>
        <v>Catalog Record</v>
      </c>
      <c r="AT145" s="6" t="str">
        <f>HYPERLINK("http://www.worldcat.org/oclc/52814287","WorldCat Record")</f>
        <v>WorldCat Record</v>
      </c>
      <c r="AU145" s="3" t="s">
        <v>2054</v>
      </c>
      <c r="AV145" s="3" t="s">
        <v>2055</v>
      </c>
      <c r="AW145" s="3" t="s">
        <v>2056</v>
      </c>
      <c r="AX145" s="3" t="s">
        <v>2056</v>
      </c>
      <c r="AY145" s="3" t="s">
        <v>2057</v>
      </c>
      <c r="AZ145" s="3" t="s">
        <v>74</v>
      </c>
      <c r="BB145" s="3" t="s">
        <v>2058</v>
      </c>
      <c r="BC145" s="3" t="s">
        <v>2059</v>
      </c>
      <c r="BD145" s="3" t="s">
        <v>2060</v>
      </c>
    </row>
    <row r="146" spans="1:56" ht="45.75" customHeight="1" x14ac:dyDescent="0.25">
      <c r="A146" s="7" t="s">
        <v>58</v>
      </c>
      <c r="B146" s="2" t="s">
        <v>2061</v>
      </c>
      <c r="C146" s="2" t="s">
        <v>2062</v>
      </c>
      <c r="D146" s="2" t="s">
        <v>2063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L146" s="2" t="s">
        <v>2064</v>
      </c>
      <c r="M146" s="3" t="s">
        <v>203</v>
      </c>
      <c r="O146" s="3" t="s">
        <v>65</v>
      </c>
      <c r="P146" s="3" t="s">
        <v>66</v>
      </c>
      <c r="R146" s="3" t="s">
        <v>67</v>
      </c>
      <c r="S146" s="4">
        <v>2</v>
      </c>
      <c r="T146" s="4">
        <v>2</v>
      </c>
      <c r="U146" s="5" t="s">
        <v>2065</v>
      </c>
      <c r="V146" s="5" t="s">
        <v>2065</v>
      </c>
      <c r="W146" s="5" t="s">
        <v>2066</v>
      </c>
      <c r="X146" s="5" t="s">
        <v>2066</v>
      </c>
      <c r="Y146" s="4">
        <v>322</v>
      </c>
      <c r="Z146" s="4">
        <v>295</v>
      </c>
      <c r="AA146" s="4">
        <v>303</v>
      </c>
      <c r="AB146" s="4">
        <v>2</v>
      </c>
      <c r="AC146" s="4">
        <v>2</v>
      </c>
      <c r="AD146" s="4">
        <v>12</v>
      </c>
      <c r="AE146" s="4">
        <v>12</v>
      </c>
      <c r="AF146" s="4">
        <v>3</v>
      </c>
      <c r="AG146" s="4">
        <v>3</v>
      </c>
      <c r="AH146" s="4">
        <v>3</v>
      </c>
      <c r="AI146" s="4">
        <v>3</v>
      </c>
      <c r="AJ146" s="4">
        <v>7</v>
      </c>
      <c r="AK146" s="4">
        <v>7</v>
      </c>
      <c r="AL146" s="4">
        <v>1</v>
      </c>
      <c r="AM146" s="4">
        <v>1</v>
      </c>
      <c r="AN146" s="4">
        <v>0</v>
      </c>
      <c r="AO146" s="4">
        <v>0</v>
      </c>
      <c r="AP146" s="3" t="s">
        <v>58</v>
      </c>
      <c r="AQ146" s="3" t="s">
        <v>87</v>
      </c>
      <c r="AR146" s="6" t="str">
        <f>HYPERLINK("http://catalog.hathitrust.org/Record/003592430","HathiTrust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HYPERLINK("https://creighton-primo.hosted.exlibrisgroup.com/primo-explore/search?tab=default_tab&amp;search_scope=EVERYTHING&amp;vid=01CRU&amp;lang=en_US&amp;offset=0&amp;query=any,contains,991004162819702656","Catalog Record")</f>
        <v>Catalog Record</v>
      </c>
      <c r="AT146" s="6" t="str">
        <f>HYPERLINK("http://www.worldcat.org/oclc/48588556","WorldCat Record")</f>
        <v>WorldCat Record</v>
      </c>
      <c r="AU146" s="3" t="s">
        <v>2067</v>
      </c>
      <c r="AV146" s="3" t="s">
        <v>2068</v>
      </c>
      <c r="AW146" s="3" t="s">
        <v>2069</v>
      </c>
      <c r="AX146" s="3" t="s">
        <v>2069</v>
      </c>
      <c r="AY146" s="3" t="s">
        <v>2070</v>
      </c>
      <c r="AZ146" s="3" t="s">
        <v>74</v>
      </c>
      <c r="BB146" s="3" t="s">
        <v>2071</v>
      </c>
      <c r="BC146" s="3" t="s">
        <v>2072</v>
      </c>
      <c r="BD146" s="3" t="s">
        <v>2073</v>
      </c>
    </row>
    <row r="147" spans="1:56" ht="45.75" customHeight="1" x14ac:dyDescent="0.25">
      <c r="A147" s="7" t="s">
        <v>58</v>
      </c>
      <c r="B147" s="2" t="s">
        <v>2074</v>
      </c>
      <c r="C147" s="2" t="s">
        <v>2075</v>
      </c>
      <c r="D147" s="2" t="s">
        <v>2076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2077</v>
      </c>
      <c r="L147" s="2" t="s">
        <v>2078</v>
      </c>
      <c r="M147" s="3" t="s">
        <v>83</v>
      </c>
      <c r="O147" s="3" t="s">
        <v>65</v>
      </c>
      <c r="P147" s="3" t="s">
        <v>175</v>
      </c>
      <c r="R147" s="3" t="s">
        <v>67</v>
      </c>
      <c r="S147" s="4">
        <v>7</v>
      </c>
      <c r="T147" s="4">
        <v>7</v>
      </c>
      <c r="U147" s="5" t="s">
        <v>2079</v>
      </c>
      <c r="V147" s="5" t="s">
        <v>2079</v>
      </c>
      <c r="W147" s="5" t="s">
        <v>2080</v>
      </c>
      <c r="X147" s="5" t="s">
        <v>2080</v>
      </c>
      <c r="Y147" s="4">
        <v>371</v>
      </c>
      <c r="Z147" s="4">
        <v>251</v>
      </c>
      <c r="AA147" s="4">
        <v>252</v>
      </c>
      <c r="AB147" s="4">
        <v>3</v>
      </c>
      <c r="AC147" s="4">
        <v>3</v>
      </c>
      <c r="AD147" s="4">
        <v>11</v>
      </c>
      <c r="AE147" s="4">
        <v>11</v>
      </c>
      <c r="AF147" s="4">
        <v>4</v>
      </c>
      <c r="AG147" s="4">
        <v>4</v>
      </c>
      <c r="AH147" s="4">
        <v>3</v>
      </c>
      <c r="AI147" s="4">
        <v>3</v>
      </c>
      <c r="AJ147" s="4">
        <v>5</v>
      </c>
      <c r="AK147" s="4">
        <v>5</v>
      </c>
      <c r="AL147" s="4">
        <v>2</v>
      </c>
      <c r="AM147" s="4">
        <v>2</v>
      </c>
      <c r="AN147" s="4">
        <v>0</v>
      </c>
      <c r="AO147" s="4">
        <v>0</v>
      </c>
      <c r="AP147" s="3" t="s">
        <v>58</v>
      </c>
      <c r="AQ147" s="3" t="s">
        <v>87</v>
      </c>
      <c r="AR147" s="6" t="str">
        <f>HYPERLINK("http://catalog.hathitrust.org/Record/000389034","HathiTrust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HYPERLINK("https://creighton-primo.hosted.exlibrisgroup.com/primo-explore/search?tab=default_tab&amp;search_scope=EVERYTHING&amp;vid=01CRU&amp;lang=en_US&amp;offset=0&amp;query=any,contains,991000655609702656","Catalog Record")</f>
        <v>Catalog Record</v>
      </c>
      <c r="AT147" s="6" t="str">
        <f>HYPERLINK("http://www.worldcat.org/oclc/12214985","WorldCat Record")</f>
        <v>WorldCat Record</v>
      </c>
      <c r="AU147" s="3" t="s">
        <v>2081</v>
      </c>
      <c r="AV147" s="3" t="s">
        <v>2082</v>
      </c>
      <c r="AW147" s="3" t="s">
        <v>2083</v>
      </c>
      <c r="AX147" s="3" t="s">
        <v>2083</v>
      </c>
      <c r="AY147" s="3" t="s">
        <v>2084</v>
      </c>
      <c r="AZ147" s="3" t="s">
        <v>74</v>
      </c>
      <c r="BB147" s="3" t="s">
        <v>2085</v>
      </c>
      <c r="BC147" s="3" t="s">
        <v>2086</v>
      </c>
      <c r="BD147" s="3" t="s">
        <v>2087</v>
      </c>
    </row>
    <row r="148" spans="1:56" ht="45.75" customHeight="1" x14ac:dyDescent="0.25">
      <c r="A148" s="7" t="s">
        <v>58</v>
      </c>
      <c r="B148" s="2" t="s">
        <v>2088</v>
      </c>
      <c r="C148" s="2" t="s">
        <v>2089</v>
      </c>
      <c r="D148" s="2" t="s">
        <v>2090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L148" s="2" t="s">
        <v>2091</v>
      </c>
      <c r="M148" s="3" t="s">
        <v>1254</v>
      </c>
      <c r="O148" s="3" t="s">
        <v>65</v>
      </c>
      <c r="P148" s="3" t="s">
        <v>148</v>
      </c>
      <c r="R148" s="3" t="s">
        <v>67</v>
      </c>
      <c r="S148" s="4">
        <v>4</v>
      </c>
      <c r="T148" s="4">
        <v>4</v>
      </c>
      <c r="U148" s="5" t="s">
        <v>1796</v>
      </c>
      <c r="V148" s="5" t="s">
        <v>1796</v>
      </c>
      <c r="W148" s="5" t="s">
        <v>1797</v>
      </c>
      <c r="X148" s="5" t="s">
        <v>1797</v>
      </c>
      <c r="Y148" s="4">
        <v>534</v>
      </c>
      <c r="Z148" s="4">
        <v>465</v>
      </c>
      <c r="AA148" s="4">
        <v>541</v>
      </c>
      <c r="AB148" s="4">
        <v>5</v>
      </c>
      <c r="AC148" s="4">
        <v>5</v>
      </c>
      <c r="AD148" s="4">
        <v>16</v>
      </c>
      <c r="AE148" s="4">
        <v>17</v>
      </c>
      <c r="AF148" s="4">
        <v>5</v>
      </c>
      <c r="AG148" s="4">
        <v>6</v>
      </c>
      <c r="AH148" s="4">
        <v>5</v>
      </c>
      <c r="AI148" s="4">
        <v>5</v>
      </c>
      <c r="AJ148" s="4">
        <v>6</v>
      </c>
      <c r="AK148" s="4">
        <v>7</v>
      </c>
      <c r="AL148" s="4">
        <v>4</v>
      </c>
      <c r="AM148" s="4">
        <v>4</v>
      </c>
      <c r="AN148" s="4">
        <v>0</v>
      </c>
      <c r="AO148" s="4">
        <v>0</v>
      </c>
      <c r="AP148" s="3" t="s">
        <v>58</v>
      </c>
      <c r="AQ148" s="3" t="s">
        <v>87</v>
      </c>
      <c r="AR148" s="6" t="str">
        <f>HYPERLINK("http://catalog.hathitrust.org/Record/000558829","HathiTrust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HYPERLINK("https://creighton-primo.hosted.exlibrisgroup.com/primo-explore/search?tab=default_tab&amp;search_scope=EVERYTHING&amp;vid=01CRU&amp;lang=en_US&amp;offset=0&amp;query=any,contains,991000345509702656","Catalog Record")</f>
        <v>Catalog Record</v>
      </c>
      <c r="AT148" s="6" t="str">
        <f>HYPERLINK("http://www.worldcat.org/oclc/10277665","WorldCat Record")</f>
        <v>WorldCat Record</v>
      </c>
      <c r="AU148" s="3" t="s">
        <v>2092</v>
      </c>
      <c r="AV148" s="3" t="s">
        <v>2093</v>
      </c>
      <c r="AW148" s="3" t="s">
        <v>2094</v>
      </c>
      <c r="AX148" s="3" t="s">
        <v>2094</v>
      </c>
      <c r="AY148" s="3" t="s">
        <v>2095</v>
      </c>
      <c r="AZ148" s="3" t="s">
        <v>74</v>
      </c>
      <c r="BB148" s="3" t="s">
        <v>2096</v>
      </c>
      <c r="BC148" s="3" t="s">
        <v>2097</v>
      </c>
      <c r="BD148" s="3" t="s">
        <v>2098</v>
      </c>
    </row>
    <row r="149" spans="1:56" ht="45.75" customHeight="1" x14ac:dyDescent="0.25">
      <c r="A149" s="7" t="s">
        <v>58</v>
      </c>
      <c r="B149" s="2" t="s">
        <v>2099</v>
      </c>
      <c r="C149" s="2" t="s">
        <v>2100</v>
      </c>
      <c r="D149" s="2" t="s">
        <v>2101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2102</v>
      </c>
      <c r="L149" s="2" t="s">
        <v>2103</v>
      </c>
      <c r="M149" s="3" t="s">
        <v>2104</v>
      </c>
      <c r="O149" s="3" t="s">
        <v>65</v>
      </c>
      <c r="P149" s="3" t="s">
        <v>529</v>
      </c>
      <c r="Q149" s="2" t="s">
        <v>2105</v>
      </c>
      <c r="R149" s="3" t="s">
        <v>67</v>
      </c>
      <c r="S149" s="4">
        <v>8</v>
      </c>
      <c r="T149" s="4">
        <v>8</v>
      </c>
      <c r="U149" s="5" t="s">
        <v>2106</v>
      </c>
      <c r="V149" s="5" t="s">
        <v>2106</v>
      </c>
      <c r="W149" s="5" t="s">
        <v>2107</v>
      </c>
      <c r="X149" s="5" t="s">
        <v>2107</v>
      </c>
      <c r="Y149" s="4">
        <v>681</v>
      </c>
      <c r="Z149" s="4">
        <v>617</v>
      </c>
      <c r="AA149" s="4">
        <v>683</v>
      </c>
      <c r="AB149" s="4">
        <v>2</v>
      </c>
      <c r="AC149" s="4">
        <v>2</v>
      </c>
      <c r="AD149" s="4">
        <v>23</v>
      </c>
      <c r="AE149" s="4">
        <v>26</v>
      </c>
      <c r="AF149" s="4">
        <v>11</v>
      </c>
      <c r="AG149" s="4">
        <v>13</v>
      </c>
      <c r="AH149" s="4">
        <v>7</v>
      </c>
      <c r="AI149" s="4">
        <v>7</v>
      </c>
      <c r="AJ149" s="4">
        <v>11</v>
      </c>
      <c r="AK149" s="4">
        <v>13</v>
      </c>
      <c r="AL149" s="4">
        <v>1</v>
      </c>
      <c r="AM149" s="4">
        <v>1</v>
      </c>
      <c r="AN149" s="4">
        <v>0</v>
      </c>
      <c r="AO149" s="4">
        <v>0</v>
      </c>
      <c r="AP149" s="3" t="s">
        <v>58</v>
      </c>
      <c r="AQ149" s="3" t="s">
        <v>87</v>
      </c>
      <c r="AR149" s="6" t="str">
        <f>HYPERLINK("http://catalog.hathitrust.org/Record/001131217","HathiTrust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HYPERLINK("https://creighton-primo.hosted.exlibrisgroup.com/primo-explore/search?tab=default_tab&amp;search_scope=EVERYTHING&amp;vid=01CRU&amp;lang=en_US&amp;offset=0&amp;query=any,contains,991002073909702656","Catalog Record")</f>
        <v>Catalog Record</v>
      </c>
      <c r="AT149" s="6" t="str">
        <f>HYPERLINK("http://www.worldcat.org/oclc/263809","WorldCat Record")</f>
        <v>WorldCat Record</v>
      </c>
      <c r="AU149" s="3" t="s">
        <v>2108</v>
      </c>
      <c r="AV149" s="3" t="s">
        <v>2109</v>
      </c>
      <c r="AW149" s="3" t="s">
        <v>2110</v>
      </c>
      <c r="AX149" s="3" t="s">
        <v>2110</v>
      </c>
      <c r="AY149" s="3" t="s">
        <v>2111</v>
      </c>
      <c r="AZ149" s="3" t="s">
        <v>74</v>
      </c>
      <c r="BC149" s="3" t="s">
        <v>2112</v>
      </c>
      <c r="BD149" s="3" t="s">
        <v>2113</v>
      </c>
    </row>
    <row r="150" spans="1:56" ht="45.75" customHeight="1" x14ac:dyDescent="0.25">
      <c r="A150" s="7" t="s">
        <v>58</v>
      </c>
      <c r="B150" s="2" t="s">
        <v>2114</v>
      </c>
      <c r="C150" s="2" t="s">
        <v>2115</v>
      </c>
      <c r="D150" s="2" t="s">
        <v>2116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2117</v>
      </c>
      <c r="L150" s="2" t="s">
        <v>2118</v>
      </c>
      <c r="M150" s="3" t="s">
        <v>147</v>
      </c>
      <c r="O150" s="3" t="s">
        <v>65</v>
      </c>
      <c r="P150" s="3" t="s">
        <v>204</v>
      </c>
      <c r="Q150" s="2" t="s">
        <v>2119</v>
      </c>
      <c r="R150" s="3" t="s">
        <v>67</v>
      </c>
      <c r="S150" s="4">
        <v>3</v>
      </c>
      <c r="T150" s="4">
        <v>3</v>
      </c>
      <c r="U150" s="5" t="s">
        <v>2120</v>
      </c>
      <c r="V150" s="5" t="s">
        <v>2120</v>
      </c>
      <c r="W150" s="5" t="s">
        <v>2120</v>
      </c>
      <c r="X150" s="5" t="s">
        <v>2120</v>
      </c>
      <c r="Y150" s="4">
        <v>819</v>
      </c>
      <c r="Z150" s="4">
        <v>765</v>
      </c>
      <c r="AA150" s="4">
        <v>782</v>
      </c>
      <c r="AB150" s="4">
        <v>6</v>
      </c>
      <c r="AC150" s="4">
        <v>6</v>
      </c>
      <c r="AD150" s="4">
        <v>35</v>
      </c>
      <c r="AE150" s="4">
        <v>36</v>
      </c>
      <c r="AF150" s="4">
        <v>14</v>
      </c>
      <c r="AG150" s="4">
        <v>15</v>
      </c>
      <c r="AH150" s="4">
        <v>9</v>
      </c>
      <c r="AI150" s="4">
        <v>9</v>
      </c>
      <c r="AJ150" s="4">
        <v>17</v>
      </c>
      <c r="AK150" s="4">
        <v>17</v>
      </c>
      <c r="AL150" s="4">
        <v>5</v>
      </c>
      <c r="AM150" s="4">
        <v>5</v>
      </c>
      <c r="AN150" s="4">
        <v>0</v>
      </c>
      <c r="AO150" s="4">
        <v>0</v>
      </c>
      <c r="AP150" s="3" t="s">
        <v>58</v>
      </c>
      <c r="AQ150" s="3" t="s">
        <v>58</v>
      </c>
      <c r="AS150" s="6" t="str">
        <f>HYPERLINK("https://creighton-primo.hosted.exlibrisgroup.com/primo-explore/search?tab=default_tab&amp;search_scope=EVERYTHING&amp;vid=01CRU&amp;lang=en_US&amp;offset=0&amp;query=any,contains,991004456679702656","Catalog Record")</f>
        <v>Catalog Record</v>
      </c>
      <c r="AT150" s="6" t="str">
        <f>HYPERLINK("http://www.worldcat.org/oclc/52341443","WorldCat Record")</f>
        <v>WorldCat Record</v>
      </c>
      <c r="AU150" s="3" t="s">
        <v>2121</v>
      </c>
      <c r="AV150" s="3" t="s">
        <v>2122</v>
      </c>
      <c r="AW150" s="3" t="s">
        <v>2123</v>
      </c>
      <c r="AX150" s="3" t="s">
        <v>2123</v>
      </c>
      <c r="AY150" s="3" t="s">
        <v>2124</v>
      </c>
      <c r="AZ150" s="3" t="s">
        <v>74</v>
      </c>
      <c r="BB150" s="3" t="s">
        <v>2125</v>
      </c>
      <c r="BC150" s="3" t="s">
        <v>2126</v>
      </c>
      <c r="BD150" s="3" t="s">
        <v>2127</v>
      </c>
    </row>
    <row r="151" spans="1:56" ht="45.75" customHeight="1" x14ac:dyDescent="0.25">
      <c r="A151" s="7" t="s">
        <v>58</v>
      </c>
      <c r="B151" s="2" t="s">
        <v>2128</v>
      </c>
      <c r="C151" s="2" t="s">
        <v>2129</v>
      </c>
      <c r="D151" s="2" t="s">
        <v>2130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2131</v>
      </c>
      <c r="L151" s="2" t="s">
        <v>2132</v>
      </c>
      <c r="M151" s="3" t="s">
        <v>203</v>
      </c>
      <c r="O151" s="3" t="s">
        <v>65</v>
      </c>
      <c r="P151" s="3" t="s">
        <v>84</v>
      </c>
      <c r="R151" s="3" t="s">
        <v>67</v>
      </c>
      <c r="S151" s="4">
        <v>8</v>
      </c>
      <c r="T151" s="4">
        <v>8</v>
      </c>
      <c r="U151" s="5" t="s">
        <v>2065</v>
      </c>
      <c r="V151" s="5" t="s">
        <v>2065</v>
      </c>
      <c r="W151" s="5" t="s">
        <v>2133</v>
      </c>
      <c r="X151" s="5" t="s">
        <v>2133</v>
      </c>
      <c r="Y151" s="4">
        <v>1347</v>
      </c>
      <c r="Z151" s="4">
        <v>1269</v>
      </c>
      <c r="AA151" s="4">
        <v>1281</v>
      </c>
      <c r="AB151" s="4">
        <v>9</v>
      </c>
      <c r="AC151" s="4">
        <v>9</v>
      </c>
      <c r="AD151" s="4">
        <v>45</v>
      </c>
      <c r="AE151" s="4">
        <v>45</v>
      </c>
      <c r="AF151" s="4">
        <v>20</v>
      </c>
      <c r="AG151" s="4">
        <v>20</v>
      </c>
      <c r="AH151" s="4">
        <v>10</v>
      </c>
      <c r="AI151" s="4">
        <v>10</v>
      </c>
      <c r="AJ151" s="4">
        <v>20</v>
      </c>
      <c r="AK151" s="4">
        <v>20</v>
      </c>
      <c r="AL151" s="4">
        <v>5</v>
      </c>
      <c r="AM151" s="4">
        <v>5</v>
      </c>
      <c r="AN151" s="4">
        <v>1</v>
      </c>
      <c r="AO151" s="4">
        <v>1</v>
      </c>
      <c r="AP151" s="3" t="s">
        <v>58</v>
      </c>
      <c r="AQ151" s="3" t="s">
        <v>87</v>
      </c>
      <c r="AR151" s="6" t="str">
        <f>HYPERLINK("http://catalog.hathitrust.org/Record/004220668","HathiTrust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HYPERLINK("https://creighton-primo.hosted.exlibrisgroup.com/primo-explore/search?tab=default_tab&amp;search_scope=EVERYTHING&amp;vid=01CRU&amp;lang=en_US&amp;offset=0&amp;query=any,contains,991003731359702656","Catalog Record")</f>
        <v>Catalog Record</v>
      </c>
      <c r="AT151" s="6" t="str">
        <f>HYPERLINK("http://www.worldcat.org/oclc/47849464","WorldCat Record")</f>
        <v>WorldCat Record</v>
      </c>
      <c r="AU151" s="3" t="s">
        <v>2134</v>
      </c>
      <c r="AV151" s="3" t="s">
        <v>2135</v>
      </c>
      <c r="AW151" s="3" t="s">
        <v>2136</v>
      </c>
      <c r="AX151" s="3" t="s">
        <v>2136</v>
      </c>
      <c r="AY151" s="3" t="s">
        <v>2137</v>
      </c>
      <c r="AZ151" s="3" t="s">
        <v>74</v>
      </c>
      <c r="BB151" s="3" t="s">
        <v>2138</v>
      </c>
      <c r="BC151" s="3" t="s">
        <v>2139</v>
      </c>
      <c r="BD151" s="3" t="s">
        <v>2140</v>
      </c>
    </row>
    <row r="152" spans="1:56" ht="45.75" customHeight="1" x14ac:dyDescent="0.25">
      <c r="A152" s="7" t="s">
        <v>58</v>
      </c>
      <c r="B152" s="2" t="s">
        <v>2141</v>
      </c>
      <c r="C152" s="2" t="s">
        <v>2142</v>
      </c>
      <c r="D152" s="2" t="s">
        <v>2143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2144</v>
      </c>
      <c r="L152" s="2" t="s">
        <v>2145</v>
      </c>
      <c r="M152" s="3" t="s">
        <v>2146</v>
      </c>
      <c r="O152" s="3" t="s">
        <v>65</v>
      </c>
      <c r="P152" s="3" t="s">
        <v>84</v>
      </c>
      <c r="R152" s="3" t="s">
        <v>67</v>
      </c>
      <c r="S152" s="4">
        <v>3</v>
      </c>
      <c r="T152" s="4">
        <v>3</v>
      </c>
      <c r="U152" s="5" t="s">
        <v>2147</v>
      </c>
      <c r="V152" s="5" t="s">
        <v>2147</v>
      </c>
      <c r="W152" s="5" t="s">
        <v>2148</v>
      </c>
      <c r="X152" s="5" t="s">
        <v>2148</v>
      </c>
      <c r="Y152" s="4">
        <v>252</v>
      </c>
      <c r="Z152" s="4">
        <v>237</v>
      </c>
      <c r="AA152" s="4">
        <v>1013</v>
      </c>
      <c r="AB152" s="4">
        <v>1</v>
      </c>
      <c r="AC152" s="4">
        <v>9</v>
      </c>
      <c r="AD152" s="4">
        <v>16</v>
      </c>
      <c r="AE152" s="4">
        <v>43</v>
      </c>
      <c r="AF152" s="4">
        <v>5</v>
      </c>
      <c r="AG152" s="4">
        <v>19</v>
      </c>
      <c r="AH152" s="4">
        <v>7</v>
      </c>
      <c r="AI152" s="4">
        <v>11</v>
      </c>
      <c r="AJ152" s="4">
        <v>8</v>
      </c>
      <c r="AK152" s="4">
        <v>16</v>
      </c>
      <c r="AL152" s="4">
        <v>0</v>
      </c>
      <c r="AM152" s="4">
        <v>7</v>
      </c>
      <c r="AN152" s="4">
        <v>0</v>
      </c>
      <c r="AO152" s="4">
        <v>0</v>
      </c>
      <c r="AP152" s="3" t="s">
        <v>58</v>
      </c>
      <c r="AQ152" s="3" t="s">
        <v>87</v>
      </c>
      <c r="AR152" s="6" t="str">
        <f>HYPERLINK("http://catalog.hathitrust.org/Record/102068054","HathiTrust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HYPERLINK("https://creighton-primo.hosted.exlibrisgroup.com/primo-explore/search?tab=default_tab&amp;search_scope=EVERYTHING&amp;vid=01CRU&amp;lang=en_US&amp;offset=0&amp;query=any,contains,991005435559702656","Catalog Record")</f>
        <v>Catalog Record</v>
      </c>
      <c r="AT152" s="6" t="str">
        <f>HYPERLINK("http://www.worldcat.org/oclc/3730","WorldCat Record")</f>
        <v>WorldCat Record</v>
      </c>
      <c r="AU152" s="3" t="s">
        <v>2149</v>
      </c>
      <c r="AV152" s="3" t="s">
        <v>2150</v>
      </c>
      <c r="AW152" s="3" t="s">
        <v>2151</v>
      </c>
      <c r="AX152" s="3" t="s">
        <v>2151</v>
      </c>
      <c r="AY152" s="3" t="s">
        <v>2152</v>
      </c>
      <c r="AZ152" s="3" t="s">
        <v>74</v>
      </c>
      <c r="BC152" s="3" t="s">
        <v>2153</v>
      </c>
      <c r="BD152" s="3" t="s">
        <v>2154</v>
      </c>
    </row>
    <row r="153" spans="1:56" ht="45.75" customHeight="1" x14ac:dyDescent="0.25">
      <c r="A153" s="7" t="s">
        <v>58</v>
      </c>
      <c r="B153" s="2" t="s">
        <v>2155</v>
      </c>
      <c r="C153" s="2" t="s">
        <v>2156</v>
      </c>
      <c r="D153" s="2" t="s">
        <v>2157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2158</v>
      </c>
      <c r="L153" s="2" t="s">
        <v>2159</v>
      </c>
      <c r="M153" s="3" t="s">
        <v>1419</v>
      </c>
      <c r="O153" s="3" t="s">
        <v>65</v>
      </c>
      <c r="P153" s="3" t="s">
        <v>2160</v>
      </c>
      <c r="R153" s="3" t="s">
        <v>67</v>
      </c>
      <c r="S153" s="4">
        <v>1</v>
      </c>
      <c r="T153" s="4">
        <v>1</v>
      </c>
      <c r="U153" s="5" t="s">
        <v>2161</v>
      </c>
      <c r="V153" s="5" t="s">
        <v>2161</v>
      </c>
      <c r="W153" s="5" t="s">
        <v>2162</v>
      </c>
      <c r="X153" s="5" t="s">
        <v>2162</v>
      </c>
      <c r="Y153" s="4">
        <v>249</v>
      </c>
      <c r="Z153" s="4">
        <v>89</v>
      </c>
      <c r="AA153" s="4">
        <v>333</v>
      </c>
      <c r="AB153" s="4">
        <v>3</v>
      </c>
      <c r="AC153" s="4">
        <v>3</v>
      </c>
      <c r="AD153" s="4">
        <v>2</v>
      </c>
      <c r="AE153" s="4">
        <v>8</v>
      </c>
      <c r="AF153" s="4">
        <v>0</v>
      </c>
      <c r="AG153" s="4">
        <v>5</v>
      </c>
      <c r="AH153" s="4">
        <v>0</v>
      </c>
      <c r="AI153" s="4">
        <v>2</v>
      </c>
      <c r="AJ153" s="4">
        <v>0</v>
      </c>
      <c r="AK153" s="4">
        <v>3</v>
      </c>
      <c r="AL153" s="4">
        <v>2</v>
      </c>
      <c r="AM153" s="4">
        <v>2</v>
      </c>
      <c r="AN153" s="4">
        <v>0</v>
      </c>
      <c r="AO153" s="4">
        <v>0</v>
      </c>
      <c r="AP153" s="3" t="s">
        <v>58</v>
      </c>
      <c r="AQ153" s="3" t="s">
        <v>87</v>
      </c>
      <c r="AR153" s="6" t="str">
        <f>HYPERLINK("http://catalog.hathitrust.org/Record/000180168","HathiTrust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HYPERLINK("https://creighton-primo.hosted.exlibrisgroup.com/primo-explore/search?tab=default_tab&amp;search_scope=EVERYTHING&amp;vid=01CRU&amp;lang=en_US&amp;offset=0&amp;query=any,contains,991004532419702656","Catalog Record")</f>
        <v>Catalog Record</v>
      </c>
      <c r="AT153" s="6" t="str">
        <f>HYPERLINK("http://www.worldcat.org/oclc/4134413","WorldCat Record")</f>
        <v>WorldCat Record</v>
      </c>
      <c r="AU153" s="3" t="s">
        <v>2163</v>
      </c>
      <c r="AV153" s="3" t="s">
        <v>2164</v>
      </c>
      <c r="AW153" s="3" t="s">
        <v>2165</v>
      </c>
      <c r="AX153" s="3" t="s">
        <v>2165</v>
      </c>
      <c r="AY153" s="3" t="s">
        <v>2166</v>
      </c>
      <c r="AZ153" s="3" t="s">
        <v>74</v>
      </c>
      <c r="BB153" s="3" t="s">
        <v>2167</v>
      </c>
      <c r="BC153" s="3" t="s">
        <v>2168</v>
      </c>
      <c r="BD153" s="3" t="s">
        <v>2169</v>
      </c>
    </row>
    <row r="154" spans="1:56" ht="45.75" customHeight="1" x14ac:dyDescent="0.25">
      <c r="A154" s="7" t="s">
        <v>58</v>
      </c>
      <c r="B154" s="2" t="s">
        <v>2170</v>
      </c>
      <c r="C154" s="2" t="s">
        <v>2171</v>
      </c>
      <c r="D154" s="2" t="s">
        <v>2172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2173</v>
      </c>
      <c r="L154" s="2" t="s">
        <v>2174</v>
      </c>
      <c r="M154" s="3" t="s">
        <v>116</v>
      </c>
      <c r="O154" s="3" t="s">
        <v>65</v>
      </c>
      <c r="P154" s="3" t="s">
        <v>148</v>
      </c>
      <c r="Q154" s="2" t="s">
        <v>2175</v>
      </c>
      <c r="R154" s="3" t="s">
        <v>67</v>
      </c>
      <c r="S154" s="4">
        <v>1</v>
      </c>
      <c r="T154" s="4">
        <v>1</v>
      </c>
      <c r="U154" s="5" t="s">
        <v>2176</v>
      </c>
      <c r="V154" s="5" t="s">
        <v>2176</v>
      </c>
      <c r="W154" s="5" t="s">
        <v>2177</v>
      </c>
      <c r="X154" s="5" t="s">
        <v>2177</v>
      </c>
      <c r="Y154" s="4">
        <v>769</v>
      </c>
      <c r="Z154" s="4">
        <v>711</v>
      </c>
      <c r="AA154" s="4">
        <v>713</v>
      </c>
      <c r="AB154" s="4">
        <v>6</v>
      </c>
      <c r="AC154" s="4">
        <v>6</v>
      </c>
      <c r="AD154" s="4">
        <v>35</v>
      </c>
      <c r="AE154" s="4">
        <v>35</v>
      </c>
      <c r="AF154" s="4">
        <v>15</v>
      </c>
      <c r="AG154" s="4">
        <v>15</v>
      </c>
      <c r="AH154" s="4">
        <v>8</v>
      </c>
      <c r="AI154" s="4">
        <v>8</v>
      </c>
      <c r="AJ154" s="4">
        <v>17</v>
      </c>
      <c r="AK154" s="4">
        <v>17</v>
      </c>
      <c r="AL154" s="4">
        <v>4</v>
      </c>
      <c r="AM154" s="4">
        <v>4</v>
      </c>
      <c r="AN154" s="4">
        <v>1</v>
      </c>
      <c r="AO154" s="4">
        <v>1</v>
      </c>
      <c r="AP154" s="3" t="s">
        <v>58</v>
      </c>
      <c r="AQ154" s="3" t="s">
        <v>87</v>
      </c>
      <c r="AR154" s="6" t="str">
        <f>HYPERLINK("http://catalog.hathitrust.org/Record/003311401","HathiTrust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HYPERLINK("https://creighton-primo.hosted.exlibrisgroup.com/primo-explore/search?tab=default_tab&amp;search_scope=EVERYTHING&amp;vid=01CRU&amp;lang=en_US&amp;offset=0&amp;query=any,contains,991002886819702656","Catalog Record")</f>
        <v>Catalog Record</v>
      </c>
      <c r="AT154" s="6" t="str">
        <f>HYPERLINK("http://www.worldcat.org/oclc/38042883","WorldCat Record")</f>
        <v>WorldCat Record</v>
      </c>
      <c r="AU154" s="3" t="s">
        <v>2178</v>
      </c>
      <c r="AV154" s="3" t="s">
        <v>2179</v>
      </c>
      <c r="AW154" s="3" t="s">
        <v>2180</v>
      </c>
      <c r="AX154" s="3" t="s">
        <v>2180</v>
      </c>
      <c r="AY154" s="3" t="s">
        <v>2181</v>
      </c>
      <c r="AZ154" s="3" t="s">
        <v>74</v>
      </c>
      <c r="BB154" s="3" t="s">
        <v>2182</v>
      </c>
      <c r="BC154" s="3" t="s">
        <v>2183</v>
      </c>
      <c r="BD154" s="3" t="s">
        <v>2184</v>
      </c>
    </row>
    <row r="155" spans="1:56" ht="45.75" customHeight="1" x14ac:dyDescent="0.25">
      <c r="A155" s="7" t="s">
        <v>58</v>
      </c>
      <c r="B155" s="2" t="s">
        <v>2185</v>
      </c>
      <c r="C155" s="2" t="s">
        <v>2186</v>
      </c>
      <c r="D155" s="2" t="s">
        <v>2187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2188</v>
      </c>
      <c r="L155" s="2" t="s">
        <v>2189</v>
      </c>
      <c r="M155" s="3" t="s">
        <v>307</v>
      </c>
      <c r="O155" s="3" t="s">
        <v>65</v>
      </c>
      <c r="P155" s="3" t="s">
        <v>84</v>
      </c>
      <c r="R155" s="3" t="s">
        <v>67</v>
      </c>
      <c r="S155" s="4">
        <v>4</v>
      </c>
      <c r="T155" s="4">
        <v>4</v>
      </c>
      <c r="U155" s="5" t="s">
        <v>2190</v>
      </c>
      <c r="V155" s="5" t="s">
        <v>2190</v>
      </c>
      <c r="W155" s="5" t="s">
        <v>2191</v>
      </c>
      <c r="X155" s="5" t="s">
        <v>2191</v>
      </c>
      <c r="Y155" s="4">
        <v>1148</v>
      </c>
      <c r="Z155" s="4">
        <v>1088</v>
      </c>
      <c r="AA155" s="4">
        <v>1095</v>
      </c>
      <c r="AB155" s="4">
        <v>9</v>
      </c>
      <c r="AC155" s="4">
        <v>9</v>
      </c>
      <c r="AD155" s="4">
        <v>39</v>
      </c>
      <c r="AE155" s="4">
        <v>39</v>
      </c>
      <c r="AF155" s="4">
        <v>19</v>
      </c>
      <c r="AG155" s="4">
        <v>19</v>
      </c>
      <c r="AH155" s="4">
        <v>7</v>
      </c>
      <c r="AI155" s="4">
        <v>7</v>
      </c>
      <c r="AJ155" s="4">
        <v>16</v>
      </c>
      <c r="AK155" s="4">
        <v>16</v>
      </c>
      <c r="AL155" s="4">
        <v>5</v>
      </c>
      <c r="AM155" s="4">
        <v>5</v>
      </c>
      <c r="AN155" s="4">
        <v>1</v>
      </c>
      <c r="AO155" s="4">
        <v>1</v>
      </c>
      <c r="AP155" s="3" t="s">
        <v>58</v>
      </c>
      <c r="AQ155" s="3" t="s">
        <v>87</v>
      </c>
      <c r="AR155" s="6" t="str">
        <f>HYPERLINK("http://catalog.hathitrust.org/Record/002991229","HathiTrust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HYPERLINK("https://creighton-primo.hosted.exlibrisgroup.com/primo-explore/search?tab=default_tab&amp;search_scope=EVERYTHING&amp;vid=01CRU&amp;lang=en_US&amp;offset=0&amp;query=any,contains,991002461749702656","Catalog Record")</f>
        <v>Catalog Record</v>
      </c>
      <c r="AT155" s="6" t="str">
        <f>HYPERLINK("http://www.worldcat.org/oclc/32085754","WorldCat Record")</f>
        <v>WorldCat Record</v>
      </c>
      <c r="AU155" s="3" t="s">
        <v>2192</v>
      </c>
      <c r="AV155" s="3" t="s">
        <v>2193</v>
      </c>
      <c r="AW155" s="3" t="s">
        <v>2194</v>
      </c>
      <c r="AX155" s="3" t="s">
        <v>2194</v>
      </c>
      <c r="AY155" s="3" t="s">
        <v>2195</v>
      </c>
      <c r="AZ155" s="3" t="s">
        <v>74</v>
      </c>
      <c r="BB155" s="3" t="s">
        <v>2196</v>
      </c>
      <c r="BC155" s="3" t="s">
        <v>2197</v>
      </c>
      <c r="BD155" s="3" t="s">
        <v>2198</v>
      </c>
    </row>
    <row r="156" spans="1:56" ht="45.75" customHeight="1" x14ac:dyDescent="0.25">
      <c r="A156" s="7" t="s">
        <v>58</v>
      </c>
      <c r="B156" s="2" t="s">
        <v>2199</v>
      </c>
      <c r="C156" s="2" t="s">
        <v>2200</v>
      </c>
      <c r="D156" s="2" t="s">
        <v>2201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2202</v>
      </c>
      <c r="L156" s="2" t="s">
        <v>2203</v>
      </c>
      <c r="M156" s="3" t="s">
        <v>1662</v>
      </c>
      <c r="O156" s="3" t="s">
        <v>65</v>
      </c>
      <c r="P156" s="3" t="s">
        <v>84</v>
      </c>
      <c r="R156" s="3" t="s">
        <v>67</v>
      </c>
      <c r="S156" s="4">
        <v>1</v>
      </c>
      <c r="T156" s="4">
        <v>1</v>
      </c>
      <c r="U156" s="5" t="s">
        <v>2204</v>
      </c>
      <c r="V156" s="5" t="s">
        <v>2204</v>
      </c>
      <c r="W156" s="5" t="s">
        <v>2205</v>
      </c>
      <c r="X156" s="5" t="s">
        <v>2205</v>
      </c>
      <c r="Y156" s="4">
        <v>415</v>
      </c>
      <c r="Z156" s="4">
        <v>389</v>
      </c>
      <c r="AA156" s="4">
        <v>699</v>
      </c>
      <c r="AB156" s="4">
        <v>3</v>
      </c>
      <c r="AC156" s="4">
        <v>7</v>
      </c>
      <c r="AD156" s="4">
        <v>19</v>
      </c>
      <c r="AE156" s="4">
        <v>29</v>
      </c>
      <c r="AF156" s="4">
        <v>8</v>
      </c>
      <c r="AG156" s="4">
        <v>11</v>
      </c>
      <c r="AH156" s="4">
        <v>3</v>
      </c>
      <c r="AI156" s="4">
        <v>4</v>
      </c>
      <c r="AJ156" s="4">
        <v>10</v>
      </c>
      <c r="AK156" s="4">
        <v>12</v>
      </c>
      <c r="AL156" s="4">
        <v>2</v>
      </c>
      <c r="AM156" s="4">
        <v>6</v>
      </c>
      <c r="AN156" s="4">
        <v>0</v>
      </c>
      <c r="AO156" s="4">
        <v>0</v>
      </c>
      <c r="AP156" s="3" t="s">
        <v>58</v>
      </c>
      <c r="AQ156" s="3" t="s">
        <v>87</v>
      </c>
      <c r="AR156" s="6" t="str">
        <f>HYPERLINK("http://catalog.hathitrust.org/Record/001131239","HathiTrust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HYPERLINK("https://creighton-primo.hosted.exlibrisgroup.com/primo-explore/search?tab=default_tab&amp;search_scope=EVERYTHING&amp;vid=01CRU&amp;lang=en_US&amp;offset=0&amp;query=any,contains,991002052759702656","Catalog Record")</f>
        <v>Catalog Record</v>
      </c>
      <c r="AT156" s="6" t="str">
        <f>HYPERLINK("http://www.worldcat.org/oclc/262052","WorldCat Record")</f>
        <v>WorldCat Record</v>
      </c>
      <c r="AU156" s="3" t="s">
        <v>2206</v>
      </c>
      <c r="AV156" s="3" t="s">
        <v>2207</v>
      </c>
      <c r="AW156" s="3" t="s">
        <v>2208</v>
      </c>
      <c r="AX156" s="3" t="s">
        <v>2208</v>
      </c>
      <c r="AY156" s="3" t="s">
        <v>2209</v>
      </c>
      <c r="AZ156" s="3" t="s">
        <v>74</v>
      </c>
      <c r="BC156" s="3" t="s">
        <v>2210</v>
      </c>
      <c r="BD156" s="3" t="s">
        <v>2211</v>
      </c>
    </row>
    <row r="157" spans="1:56" ht="45.75" customHeight="1" x14ac:dyDescent="0.25">
      <c r="A157" s="7" t="s">
        <v>58</v>
      </c>
      <c r="B157" s="2" t="s">
        <v>2212</v>
      </c>
      <c r="C157" s="2" t="s">
        <v>2213</v>
      </c>
      <c r="D157" s="2" t="s">
        <v>2214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2215</v>
      </c>
      <c r="L157" s="2" t="s">
        <v>2216</v>
      </c>
      <c r="M157" s="3" t="s">
        <v>800</v>
      </c>
      <c r="N157" s="2" t="s">
        <v>543</v>
      </c>
      <c r="O157" s="3" t="s">
        <v>65</v>
      </c>
      <c r="P157" s="3" t="s">
        <v>84</v>
      </c>
      <c r="R157" s="3" t="s">
        <v>67</v>
      </c>
      <c r="S157" s="4">
        <v>6</v>
      </c>
      <c r="T157" s="4">
        <v>6</v>
      </c>
      <c r="U157" s="5" t="s">
        <v>2190</v>
      </c>
      <c r="V157" s="5" t="s">
        <v>2190</v>
      </c>
      <c r="W157" s="5" t="s">
        <v>2217</v>
      </c>
      <c r="X157" s="5" t="s">
        <v>2217</v>
      </c>
      <c r="Y157" s="4">
        <v>536</v>
      </c>
      <c r="Z157" s="4">
        <v>517</v>
      </c>
      <c r="AA157" s="4">
        <v>518</v>
      </c>
      <c r="AB157" s="4">
        <v>3</v>
      </c>
      <c r="AC157" s="4">
        <v>3</v>
      </c>
      <c r="AD157" s="4">
        <v>16</v>
      </c>
      <c r="AE157" s="4">
        <v>16</v>
      </c>
      <c r="AF157" s="4">
        <v>5</v>
      </c>
      <c r="AG157" s="4">
        <v>5</v>
      </c>
      <c r="AH157" s="4">
        <v>4</v>
      </c>
      <c r="AI157" s="4">
        <v>4</v>
      </c>
      <c r="AJ157" s="4">
        <v>10</v>
      </c>
      <c r="AK157" s="4">
        <v>10</v>
      </c>
      <c r="AL157" s="4">
        <v>2</v>
      </c>
      <c r="AM157" s="4">
        <v>2</v>
      </c>
      <c r="AN157" s="4">
        <v>0</v>
      </c>
      <c r="AO157" s="4">
        <v>0</v>
      </c>
      <c r="AP157" s="3" t="s">
        <v>58</v>
      </c>
      <c r="AQ157" s="3" t="s">
        <v>58</v>
      </c>
      <c r="AS157" s="6" t="str">
        <f>HYPERLINK("https://creighton-primo.hosted.exlibrisgroup.com/primo-explore/search?tab=default_tab&amp;search_scope=EVERYTHING&amp;vid=01CRU&amp;lang=en_US&amp;offset=0&amp;query=any,contains,991001855839702656","Catalog Record")</f>
        <v>Catalog Record</v>
      </c>
      <c r="AT157" s="6" t="str">
        <f>HYPERLINK("http://www.worldcat.org/oclc/23287000","WorldCat Record")</f>
        <v>WorldCat Record</v>
      </c>
      <c r="AU157" s="3" t="s">
        <v>2218</v>
      </c>
      <c r="AV157" s="3" t="s">
        <v>2219</v>
      </c>
      <c r="AW157" s="3" t="s">
        <v>2220</v>
      </c>
      <c r="AX157" s="3" t="s">
        <v>2220</v>
      </c>
      <c r="AY157" s="3" t="s">
        <v>2221</v>
      </c>
      <c r="AZ157" s="3" t="s">
        <v>74</v>
      </c>
      <c r="BB157" s="3" t="s">
        <v>2222</v>
      </c>
      <c r="BC157" s="3" t="s">
        <v>2223</v>
      </c>
      <c r="BD157" s="3" t="s">
        <v>2224</v>
      </c>
    </row>
    <row r="158" spans="1:56" ht="45.75" customHeight="1" x14ac:dyDescent="0.25">
      <c r="A158" s="7" t="s">
        <v>58</v>
      </c>
      <c r="B158" s="2" t="s">
        <v>2225</v>
      </c>
      <c r="C158" s="2" t="s">
        <v>2226</v>
      </c>
      <c r="D158" s="2" t="s">
        <v>2227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2228</v>
      </c>
      <c r="L158" s="2" t="s">
        <v>460</v>
      </c>
      <c r="M158" s="3" t="s">
        <v>131</v>
      </c>
      <c r="O158" s="3" t="s">
        <v>65</v>
      </c>
      <c r="P158" s="3" t="s">
        <v>190</v>
      </c>
      <c r="R158" s="3" t="s">
        <v>67</v>
      </c>
      <c r="S158" s="4">
        <v>2</v>
      </c>
      <c r="T158" s="4">
        <v>2</v>
      </c>
      <c r="U158" s="5" t="s">
        <v>2229</v>
      </c>
      <c r="V158" s="5" t="s">
        <v>2229</v>
      </c>
      <c r="W158" s="5" t="s">
        <v>2229</v>
      </c>
      <c r="X158" s="5" t="s">
        <v>2229</v>
      </c>
      <c r="Y158" s="4">
        <v>133</v>
      </c>
      <c r="Z158" s="4">
        <v>100</v>
      </c>
      <c r="AA158" s="4">
        <v>101</v>
      </c>
      <c r="AB158" s="4">
        <v>3</v>
      </c>
      <c r="AC158" s="4">
        <v>3</v>
      </c>
      <c r="AD158" s="4">
        <v>8</v>
      </c>
      <c r="AE158" s="4">
        <v>8</v>
      </c>
      <c r="AF158" s="4">
        <v>2</v>
      </c>
      <c r="AG158" s="4">
        <v>2</v>
      </c>
      <c r="AH158" s="4">
        <v>1</v>
      </c>
      <c r="AI158" s="4">
        <v>1</v>
      </c>
      <c r="AJ158" s="4">
        <v>5</v>
      </c>
      <c r="AK158" s="4">
        <v>5</v>
      </c>
      <c r="AL158" s="4">
        <v>2</v>
      </c>
      <c r="AM158" s="4">
        <v>2</v>
      </c>
      <c r="AN158" s="4">
        <v>0</v>
      </c>
      <c r="AO158" s="4">
        <v>0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HYPERLINK("https://creighton-primo.hosted.exlibrisgroup.com/primo-explore/search?tab=default_tab&amp;search_scope=EVERYTHING&amp;vid=01CRU&amp;lang=en_US&amp;offset=0&amp;query=any,contains,991004926389702656","Catalog Record")</f>
        <v>Catalog Record</v>
      </c>
      <c r="AT158" s="6" t="str">
        <f>HYPERLINK("http://www.worldcat.org/oclc/58789099","WorldCat Record")</f>
        <v>WorldCat Record</v>
      </c>
      <c r="AU158" s="3" t="s">
        <v>2230</v>
      </c>
      <c r="AV158" s="3" t="s">
        <v>2231</v>
      </c>
      <c r="AW158" s="3" t="s">
        <v>2232</v>
      </c>
      <c r="AX158" s="3" t="s">
        <v>2232</v>
      </c>
      <c r="AY158" s="3" t="s">
        <v>2233</v>
      </c>
      <c r="AZ158" s="3" t="s">
        <v>74</v>
      </c>
      <c r="BB158" s="3" t="s">
        <v>2234</v>
      </c>
      <c r="BC158" s="3" t="s">
        <v>2235</v>
      </c>
      <c r="BD158" s="3" t="s">
        <v>2236</v>
      </c>
    </row>
    <row r="159" spans="1:56" ht="45.75" customHeight="1" x14ac:dyDescent="0.25">
      <c r="A159" s="7" t="s">
        <v>58</v>
      </c>
      <c r="B159" s="2" t="s">
        <v>2237</v>
      </c>
      <c r="C159" s="2" t="s">
        <v>2238</v>
      </c>
      <c r="D159" s="2" t="s">
        <v>2239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2240</v>
      </c>
      <c r="L159" s="2" t="s">
        <v>2241</v>
      </c>
      <c r="M159" s="3" t="s">
        <v>220</v>
      </c>
      <c r="N159" s="2" t="s">
        <v>2242</v>
      </c>
      <c r="O159" s="3" t="s">
        <v>65</v>
      </c>
      <c r="P159" s="3" t="s">
        <v>84</v>
      </c>
      <c r="Q159" s="2" t="s">
        <v>2243</v>
      </c>
      <c r="R159" s="3" t="s">
        <v>67</v>
      </c>
      <c r="S159" s="4">
        <v>1</v>
      </c>
      <c r="T159" s="4">
        <v>1</v>
      </c>
      <c r="U159" s="5" t="s">
        <v>2244</v>
      </c>
      <c r="V159" s="5" t="s">
        <v>2244</v>
      </c>
      <c r="W159" s="5" t="s">
        <v>2245</v>
      </c>
      <c r="X159" s="5" t="s">
        <v>2245</v>
      </c>
      <c r="Y159" s="4">
        <v>164</v>
      </c>
      <c r="Z159" s="4">
        <v>134</v>
      </c>
      <c r="AA159" s="4">
        <v>156</v>
      </c>
      <c r="AB159" s="4">
        <v>2</v>
      </c>
      <c r="AC159" s="4">
        <v>2</v>
      </c>
      <c r="AD159" s="4">
        <v>4</v>
      </c>
      <c r="AE159" s="4">
        <v>4</v>
      </c>
      <c r="AF159" s="4">
        <v>1</v>
      </c>
      <c r="AG159" s="4">
        <v>1</v>
      </c>
      <c r="AH159" s="4">
        <v>1</v>
      </c>
      <c r="AI159" s="4">
        <v>1</v>
      </c>
      <c r="AJ159" s="4">
        <v>2</v>
      </c>
      <c r="AK159" s="4">
        <v>2</v>
      </c>
      <c r="AL159" s="4">
        <v>0</v>
      </c>
      <c r="AM159" s="4">
        <v>0</v>
      </c>
      <c r="AN159" s="4">
        <v>0</v>
      </c>
      <c r="AO159" s="4">
        <v>0</v>
      </c>
      <c r="AP159" s="3" t="s">
        <v>58</v>
      </c>
      <c r="AQ159" s="3" t="s">
        <v>87</v>
      </c>
      <c r="AR159" s="6" t="str">
        <f>HYPERLINK("http://catalog.hathitrust.org/Record/004033148","HathiTrust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HYPERLINK("https://creighton-primo.hosted.exlibrisgroup.com/primo-explore/search?tab=default_tab&amp;search_scope=EVERYTHING&amp;vid=01CRU&amp;lang=en_US&amp;offset=0&amp;query=any,contains,991002985329702656","Catalog Record")</f>
        <v>Catalog Record</v>
      </c>
      <c r="AT159" s="6" t="str">
        <f>HYPERLINK("http://www.worldcat.org/oclc/40200524","WorldCat Record")</f>
        <v>WorldCat Record</v>
      </c>
      <c r="AU159" s="3" t="s">
        <v>2246</v>
      </c>
      <c r="AV159" s="3" t="s">
        <v>2247</v>
      </c>
      <c r="AW159" s="3" t="s">
        <v>2248</v>
      </c>
      <c r="AX159" s="3" t="s">
        <v>2248</v>
      </c>
      <c r="AY159" s="3" t="s">
        <v>2249</v>
      </c>
      <c r="AZ159" s="3" t="s">
        <v>74</v>
      </c>
      <c r="BB159" s="3" t="s">
        <v>2250</v>
      </c>
      <c r="BC159" s="3" t="s">
        <v>2251</v>
      </c>
      <c r="BD159" s="3" t="s">
        <v>2252</v>
      </c>
    </row>
    <row r="160" spans="1:56" ht="45.75" customHeight="1" x14ac:dyDescent="0.25">
      <c r="A160" s="7" t="s">
        <v>58</v>
      </c>
      <c r="B160" s="2" t="s">
        <v>2253</v>
      </c>
      <c r="C160" s="2" t="s">
        <v>2254</v>
      </c>
      <c r="D160" s="2" t="s">
        <v>2255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2256</v>
      </c>
      <c r="L160" s="2" t="s">
        <v>2257</v>
      </c>
      <c r="M160" s="3" t="s">
        <v>937</v>
      </c>
      <c r="O160" s="3" t="s">
        <v>65</v>
      </c>
      <c r="P160" s="3" t="s">
        <v>336</v>
      </c>
      <c r="Q160" s="2" t="s">
        <v>2258</v>
      </c>
      <c r="R160" s="3" t="s">
        <v>67</v>
      </c>
      <c r="S160" s="4">
        <v>12</v>
      </c>
      <c r="T160" s="4">
        <v>12</v>
      </c>
      <c r="U160" s="5" t="s">
        <v>2259</v>
      </c>
      <c r="V160" s="5" t="s">
        <v>2259</v>
      </c>
      <c r="W160" s="5" t="s">
        <v>2260</v>
      </c>
      <c r="X160" s="5" t="s">
        <v>2260</v>
      </c>
      <c r="Y160" s="4">
        <v>442</v>
      </c>
      <c r="Z160" s="4">
        <v>390</v>
      </c>
      <c r="AA160" s="4">
        <v>398</v>
      </c>
      <c r="AB160" s="4">
        <v>8</v>
      </c>
      <c r="AC160" s="4">
        <v>8</v>
      </c>
      <c r="AD160" s="4">
        <v>16</v>
      </c>
      <c r="AE160" s="4">
        <v>16</v>
      </c>
      <c r="AF160" s="4">
        <v>6</v>
      </c>
      <c r="AG160" s="4">
        <v>6</v>
      </c>
      <c r="AH160" s="4">
        <v>3</v>
      </c>
      <c r="AI160" s="4">
        <v>3</v>
      </c>
      <c r="AJ160" s="4">
        <v>6</v>
      </c>
      <c r="AK160" s="4">
        <v>6</v>
      </c>
      <c r="AL160" s="4">
        <v>4</v>
      </c>
      <c r="AM160" s="4">
        <v>4</v>
      </c>
      <c r="AN160" s="4">
        <v>0</v>
      </c>
      <c r="AO160" s="4">
        <v>0</v>
      </c>
      <c r="AP160" s="3" t="s">
        <v>58</v>
      </c>
      <c r="AQ160" s="3" t="s">
        <v>87</v>
      </c>
      <c r="AR160" s="6" t="str">
        <f>HYPERLINK("http://catalog.hathitrust.org/Record/000210533","HathiTrust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HYPERLINK("https://creighton-primo.hosted.exlibrisgroup.com/primo-explore/search?tab=default_tab&amp;search_scope=EVERYTHING&amp;vid=01CRU&amp;lang=en_US&amp;offset=0&amp;query=any,contains,991004253249702656","Catalog Record")</f>
        <v>Catalog Record</v>
      </c>
      <c r="AT160" s="6" t="str">
        <f>HYPERLINK("http://www.worldcat.org/oclc/2818293","WorldCat Record")</f>
        <v>WorldCat Record</v>
      </c>
      <c r="AU160" s="3" t="s">
        <v>2261</v>
      </c>
      <c r="AV160" s="3" t="s">
        <v>2262</v>
      </c>
      <c r="AW160" s="3" t="s">
        <v>2263</v>
      </c>
      <c r="AX160" s="3" t="s">
        <v>2263</v>
      </c>
      <c r="AY160" s="3" t="s">
        <v>2264</v>
      </c>
      <c r="AZ160" s="3" t="s">
        <v>74</v>
      </c>
      <c r="BB160" s="3" t="s">
        <v>2265</v>
      </c>
      <c r="BC160" s="3" t="s">
        <v>2266</v>
      </c>
      <c r="BD160" s="3" t="s">
        <v>2267</v>
      </c>
    </row>
    <row r="161" spans="1:56" ht="45.75" customHeight="1" x14ac:dyDescent="0.25">
      <c r="A161" s="7" t="s">
        <v>58</v>
      </c>
      <c r="B161" s="2" t="s">
        <v>2268</v>
      </c>
      <c r="C161" s="2" t="s">
        <v>2269</v>
      </c>
      <c r="D161" s="2" t="s">
        <v>2270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2271</v>
      </c>
      <c r="L161" s="2" t="s">
        <v>2272</v>
      </c>
      <c r="M161" s="3" t="s">
        <v>937</v>
      </c>
      <c r="O161" s="3" t="s">
        <v>65</v>
      </c>
      <c r="P161" s="3" t="s">
        <v>148</v>
      </c>
      <c r="R161" s="3" t="s">
        <v>67</v>
      </c>
      <c r="S161" s="4">
        <v>11</v>
      </c>
      <c r="T161" s="4">
        <v>11</v>
      </c>
      <c r="U161" s="5" t="s">
        <v>2273</v>
      </c>
      <c r="V161" s="5" t="s">
        <v>2273</v>
      </c>
      <c r="W161" s="5" t="s">
        <v>2274</v>
      </c>
      <c r="X161" s="5" t="s">
        <v>2274</v>
      </c>
      <c r="Y161" s="4">
        <v>267</v>
      </c>
      <c r="Z161" s="4">
        <v>240</v>
      </c>
      <c r="AA161" s="4">
        <v>378</v>
      </c>
      <c r="AB161" s="4">
        <v>3</v>
      </c>
      <c r="AC161" s="4">
        <v>4</v>
      </c>
      <c r="AD161" s="4">
        <v>7</v>
      </c>
      <c r="AE161" s="4">
        <v>13</v>
      </c>
      <c r="AF161" s="4">
        <v>3</v>
      </c>
      <c r="AG161" s="4">
        <v>5</v>
      </c>
      <c r="AH161" s="4">
        <v>0</v>
      </c>
      <c r="AI161" s="4">
        <v>2</v>
      </c>
      <c r="AJ161" s="4">
        <v>4</v>
      </c>
      <c r="AK161" s="4">
        <v>7</v>
      </c>
      <c r="AL161" s="4">
        <v>1</v>
      </c>
      <c r="AM161" s="4">
        <v>2</v>
      </c>
      <c r="AN161" s="4">
        <v>0</v>
      </c>
      <c r="AO161" s="4">
        <v>0</v>
      </c>
      <c r="AP161" s="3" t="s">
        <v>58</v>
      </c>
      <c r="AQ161" s="3" t="s">
        <v>87</v>
      </c>
      <c r="AR161" s="6" t="str">
        <f>HYPERLINK("http://catalog.hathitrust.org/Record/009913228","HathiTrust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HYPERLINK("https://creighton-primo.hosted.exlibrisgroup.com/primo-explore/search?tab=default_tab&amp;search_scope=EVERYTHING&amp;vid=01CRU&amp;lang=en_US&amp;offset=0&amp;query=any,contains,991004395499702656","Catalog Record")</f>
        <v>Catalog Record</v>
      </c>
      <c r="AT161" s="6" t="str">
        <f>HYPERLINK("http://www.worldcat.org/oclc/3276152","WorldCat Record")</f>
        <v>WorldCat Record</v>
      </c>
      <c r="AU161" s="3" t="s">
        <v>2275</v>
      </c>
      <c r="AV161" s="3" t="s">
        <v>2276</v>
      </c>
      <c r="AW161" s="3" t="s">
        <v>2277</v>
      </c>
      <c r="AX161" s="3" t="s">
        <v>2277</v>
      </c>
      <c r="AY161" s="3" t="s">
        <v>2278</v>
      </c>
      <c r="AZ161" s="3" t="s">
        <v>74</v>
      </c>
      <c r="BC161" s="3" t="s">
        <v>2279</v>
      </c>
      <c r="BD161" s="3" t="s">
        <v>2280</v>
      </c>
    </row>
    <row r="162" spans="1:56" ht="45.75" customHeight="1" x14ac:dyDescent="0.25">
      <c r="A162" s="7" t="s">
        <v>58</v>
      </c>
      <c r="B162" s="2" t="s">
        <v>2281</v>
      </c>
      <c r="C162" s="2" t="s">
        <v>2282</v>
      </c>
      <c r="D162" s="2" t="s">
        <v>2283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2284</v>
      </c>
      <c r="L162" s="2" t="s">
        <v>2285</v>
      </c>
      <c r="M162" s="3" t="s">
        <v>1674</v>
      </c>
      <c r="O162" s="3" t="s">
        <v>65</v>
      </c>
      <c r="P162" s="3" t="s">
        <v>190</v>
      </c>
      <c r="R162" s="3" t="s">
        <v>67</v>
      </c>
      <c r="S162" s="4">
        <v>2</v>
      </c>
      <c r="T162" s="4">
        <v>2</v>
      </c>
      <c r="U162" s="5" t="s">
        <v>2286</v>
      </c>
      <c r="V162" s="5" t="s">
        <v>2286</v>
      </c>
      <c r="W162" s="5" t="s">
        <v>1089</v>
      </c>
      <c r="X162" s="5" t="s">
        <v>1089</v>
      </c>
      <c r="Y162" s="4">
        <v>331</v>
      </c>
      <c r="Z162" s="4">
        <v>292</v>
      </c>
      <c r="AA162" s="4">
        <v>294</v>
      </c>
      <c r="AB162" s="4">
        <v>4</v>
      </c>
      <c r="AC162" s="4">
        <v>4</v>
      </c>
      <c r="AD162" s="4">
        <v>16</v>
      </c>
      <c r="AE162" s="4">
        <v>16</v>
      </c>
      <c r="AF162" s="4">
        <v>6</v>
      </c>
      <c r="AG162" s="4">
        <v>6</v>
      </c>
      <c r="AH162" s="4">
        <v>2</v>
      </c>
      <c r="AI162" s="4">
        <v>2</v>
      </c>
      <c r="AJ162" s="4">
        <v>7</v>
      </c>
      <c r="AK162" s="4">
        <v>7</v>
      </c>
      <c r="AL162" s="4">
        <v>3</v>
      </c>
      <c r="AM162" s="4">
        <v>3</v>
      </c>
      <c r="AN162" s="4">
        <v>0</v>
      </c>
      <c r="AO162" s="4">
        <v>0</v>
      </c>
      <c r="AP162" s="3" t="s">
        <v>58</v>
      </c>
      <c r="AQ162" s="3" t="s">
        <v>87</v>
      </c>
      <c r="AR162" s="6" t="str">
        <f>HYPERLINK("http://catalog.hathitrust.org/Record/001133173","HathiTrust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HYPERLINK("https://creighton-primo.hosted.exlibrisgroup.com/primo-explore/search?tab=default_tab&amp;search_scope=EVERYTHING&amp;vid=01CRU&amp;lang=en_US&amp;offset=0&amp;query=any,contains,991002078369702656","Catalog Record")</f>
        <v>Catalog Record</v>
      </c>
      <c r="AT162" s="6" t="str">
        <f>HYPERLINK("http://www.worldcat.org/oclc/264033","WorldCat Record")</f>
        <v>WorldCat Record</v>
      </c>
      <c r="AU162" s="3" t="s">
        <v>2287</v>
      </c>
      <c r="AV162" s="3" t="s">
        <v>2288</v>
      </c>
      <c r="AW162" s="3" t="s">
        <v>2289</v>
      </c>
      <c r="AX162" s="3" t="s">
        <v>2289</v>
      </c>
      <c r="AY162" s="3" t="s">
        <v>2290</v>
      </c>
      <c r="AZ162" s="3" t="s">
        <v>74</v>
      </c>
      <c r="BC162" s="3" t="s">
        <v>2291</v>
      </c>
      <c r="BD162" s="3" t="s">
        <v>2292</v>
      </c>
    </row>
    <row r="163" spans="1:56" ht="45.75" customHeight="1" x14ac:dyDescent="0.25">
      <c r="A163" s="7" t="s">
        <v>58</v>
      </c>
      <c r="B163" s="2" t="s">
        <v>2293</v>
      </c>
      <c r="C163" s="2" t="s">
        <v>2294</v>
      </c>
      <c r="D163" s="2" t="s">
        <v>2295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2296</v>
      </c>
      <c r="L163" s="2" t="s">
        <v>2297</v>
      </c>
      <c r="M163" s="3" t="s">
        <v>923</v>
      </c>
      <c r="O163" s="3" t="s">
        <v>65</v>
      </c>
      <c r="P163" s="3" t="s">
        <v>1224</v>
      </c>
      <c r="R163" s="3" t="s">
        <v>67</v>
      </c>
      <c r="S163" s="4">
        <v>7</v>
      </c>
      <c r="T163" s="4">
        <v>7</v>
      </c>
      <c r="U163" s="5" t="s">
        <v>2298</v>
      </c>
      <c r="V163" s="5" t="s">
        <v>2298</v>
      </c>
      <c r="W163" s="5" t="s">
        <v>1155</v>
      </c>
      <c r="X163" s="5" t="s">
        <v>1155</v>
      </c>
      <c r="Y163" s="4">
        <v>227</v>
      </c>
      <c r="Z163" s="4">
        <v>178</v>
      </c>
      <c r="AA163" s="4">
        <v>180</v>
      </c>
      <c r="AB163" s="4">
        <v>3</v>
      </c>
      <c r="AC163" s="4">
        <v>3</v>
      </c>
      <c r="AD163" s="4">
        <v>6</v>
      </c>
      <c r="AE163" s="4">
        <v>6</v>
      </c>
      <c r="AF163" s="4">
        <v>2</v>
      </c>
      <c r="AG163" s="4">
        <v>2</v>
      </c>
      <c r="AH163" s="4">
        <v>0</v>
      </c>
      <c r="AI163" s="4">
        <v>0</v>
      </c>
      <c r="AJ163" s="4">
        <v>2</v>
      </c>
      <c r="AK163" s="4">
        <v>2</v>
      </c>
      <c r="AL163" s="4">
        <v>2</v>
      </c>
      <c r="AM163" s="4">
        <v>2</v>
      </c>
      <c r="AN163" s="4">
        <v>0</v>
      </c>
      <c r="AO163" s="4">
        <v>0</v>
      </c>
      <c r="AP163" s="3" t="s">
        <v>58</v>
      </c>
      <c r="AQ163" s="3" t="s">
        <v>87</v>
      </c>
      <c r="AR163" s="6" t="str">
        <f>HYPERLINK("http://catalog.hathitrust.org/Record/000770488","HathiTrust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HYPERLINK("https://creighton-primo.hosted.exlibrisgroup.com/primo-explore/search?tab=default_tab&amp;search_scope=EVERYTHING&amp;vid=01CRU&amp;lang=en_US&amp;offset=0&amp;query=any,contains,991005234829702656","Catalog Record")</f>
        <v>Catalog Record</v>
      </c>
      <c r="AT163" s="6" t="str">
        <f>HYPERLINK("http://www.worldcat.org/oclc/9110151","WorldCat Record")</f>
        <v>WorldCat Record</v>
      </c>
      <c r="AU163" s="3" t="s">
        <v>2299</v>
      </c>
      <c r="AV163" s="3" t="s">
        <v>2300</v>
      </c>
      <c r="AW163" s="3" t="s">
        <v>2301</v>
      </c>
      <c r="AX163" s="3" t="s">
        <v>2301</v>
      </c>
      <c r="AY163" s="3" t="s">
        <v>2302</v>
      </c>
      <c r="AZ163" s="3" t="s">
        <v>74</v>
      </c>
      <c r="BB163" s="3" t="s">
        <v>2303</v>
      </c>
      <c r="BC163" s="3" t="s">
        <v>2304</v>
      </c>
      <c r="BD163" s="3" t="s">
        <v>2305</v>
      </c>
    </row>
    <row r="164" spans="1:56" ht="45.75" customHeight="1" x14ac:dyDescent="0.25">
      <c r="A164" s="7" t="s">
        <v>58</v>
      </c>
      <c r="B164" s="2" t="s">
        <v>2306</v>
      </c>
      <c r="C164" s="2" t="s">
        <v>2307</v>
      </c>
      <c r="D164" s="2" t="s">
        <v>2308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2309</v>
      </c>
      <c r="L164" s="2" t="s">
        <v>2310</v>
      </c>
      <c r="M164" s="3" t="s">
        <v>100</v>
      </c>
      <c r="O164" s="3" t="s">
        <v>65</v>
      </c>
      <c r="P164" s="3" t="s">
        <v>1811</v>
      </c>
      <c r="R164" s="3" t="s">
        <v>67</v>
      </c>
      <c r="S164" s="4">
        <v>2</v>
      </c>
      <c r="T164" s="4">
        <v>2</v>
      </c>
      <c r="U164" s="5" t="s">
        <v>2311</v>
      </c>
      <c r="V164" s="5" t="s">
        <v>2311</v>
      </c>
      <c r="W164" s="5" t="s">
        <v>1183</v>
      </c>
      <c r="X164" s="5" t="s">
        <v>1183</v>
      </c>
      <c r="Y164" s="4">
        <v>409</v>
      </c>
      <c r="Z164" s="4">
        <v>352</v>
      </c>
      <c r="AA164" s="4">
        <v>470</v>
      </c>
      <c r="AB164" s="4">
        <v>2</v>
      </c>
      <c r="AC164" s="4">
        <v>4</v>
      </c>
      <c r="AD164" s="4">
        <v>12</v>
      </c>
      <c r="AE164" s="4">
        <v>16</v>
      </c>
      <c r="AF164" s="4">
        <v>5</v>
      </c>
      <c r="AG164" s="4">
        <v>6</v>
      </c>
      <c r="AH164" s="4">
        <v>1</v>
      </c>
      <c r="AI164" s="4">
        <v>1</v>
      </c>
      <c r="AJ164" s="4">
        <v>6</v>
      </c>
      <c r="AK164" s="4">
        <v>7</v>
      </c>
      <c r="AL164" s="4">
        <v>1</v>
      </c>
      <c r="AM164" s="4">
        <v>3</v>
      </c>
      <c r="AN164" s="4">
        <v>0</v>
      </c>
      <c r="AO164" s="4">
        <v>0</v>
      </c>
      <c r="AP164" s="3" t="s">
        <v>58</v>
      </c>
      <c r="AQ164" s="3" t="s">
        <v>87</v>
      </c>
      <c r="AR164" s="6" t="str">
        <f>HYPERLINK("http://catalog.hathitrust.org/Record/001133178","HathiTrust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HYPERLINK("https://creighton-primo.hosted.exlibrisgroup.com/primo-explore/search?tab=default_tab&amp;search_scope=EVERYTHING&amp;vid=01CRU&amp;lang=en_US&amp;offset=0&amp;query=any,contains,991003505289702656","Catalog Record")</f>
        <v>Catalog Record</v>
      </c>
      <c r="AT164" s="6" t="str">
        <f>HYPERLINK("http://www.worldcat.org/oclc/1056826","WorldCat Record")</f>
        <v>WorldCat Record</v>
      </c>
      <c r="AU164" s="3" t="s">
        <v>2312</v>
      </c>
      <c r="AV164" s="3" t="s">
        <v>2313</v>
      </c>
      <c r="AW164" s="3" t="s">
        <v>2314</v>
      </c>
      <c r="AX164" s="3" t="s">
        <v>2314</v>
      </c>
      <c r="AY164" s="3" t="s">
        <v>2315</v>
      </c>
      <c r="AZ164" s="3" t="s">
        <v>74</v>
      </c>
      <c r="BB164" s="3" t="s">
        <v>2316</v>
      </c>
      <c r="BC164" s="3" t="s">
        <v>2317</v>
      </c>
      <c r="BD164" s="3" t="s">
        <v>2318</v>
      </c>
    </row>
    <row r="165" spans="1:56" ht="45.75" customHeight="1" x14ac:dyDescent="0.25">
      <c r="A165" s="7" t="s">
        <v>58</v>
      </c>
      <c r="B165" s="2" t="s">
        <v>2319</v>
      </c>
      <c r="C165" s="2" t="s">
        <v>2320</v>
      </c>
      <c r="D165" s="2" t="s">
        <v>2321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2322</v>
      </c>
      <c r="L165" s="2" t="s">
        <v>2323</v>
      </c>
      <c r="M165" s="3" t="s">
        <v>2324</v>
      </c>
      <c r="O165" s="3" t="s">
        <v>65</v>
      </c>
      <c r="P165" s="3" t="s">
        <v>1282</v>
      </c>
      <c r="R165" s="3" t="s">
        <v>67</v>
      </c>
      <c r="S165" s="4">
        <v>7</v>
      </c>
      <c r="T165" s="4">
        <v>7</v>
      </c>
      <c r="U165" s="5" t="s">
        <v>841</v>
      </c>
      <c r="V165" s="5" t="s">
        <v>841</v>
      </c>
      <c r="W165" s="5" t="s">
        <v>2325</v>
      </c>
      <c r="X165" s="5" t="s">
        <v>2325</v>
      </c>
      <c r="Y165" s="4">
        <v>466</v>
      </c>
      <c r="Z165" s="4">
        <v>403</v>
      </c>
      <c r="AA165" s="4">
        <v>408</v>
      </c>
      <c r="AB165" s="4">
        <v>4</v>
      </c>
      <c r="AC165" s="4">
        <v>4</v>
      </c>
      <c r="AD165" s="4">
        <v>13</v>
      </c>
      <c r="AE165" s="4">
        <v>13</v>
      </c>
      <c r="AF165" s="4">
        <v>4</v>
      </c>
      <c r="AG165" s="4">
        <v>4</v>
      </c>
      <c r="AH165" s="4">
        <v>2</v>
      </c>
      <c r="AI165" s="4">
        <v>2</v>
      </c>
      <c r="AJ165" s="4">
        <v>7</v>
      </c>
      <c r="AK165" s="4">
        <v>7</v>
      </c>
      <c r="AL165" s="4">
        <v>3</v>
      </c>
      <c r="AM165" s="4">
        <v>3</v>
      </c>
      <c r="AN165" s="4">
        <v>0</v>
      </c>
      <c r="AO165" s="4">
        <v>0</v>
      </c>
      <c r="AP165" s="3" t="s">
        <v>58</v>
      </c>
      <c r="AQ165" s="3" t="s">
        <v>58</v>
      </c>
      <c r="AS165" s="6" t="str">
        <f>HYPERLINK("https://creighton-primo.hosted.exlibrisgroup.com/primo-explore/search?tab=default_tab&amp;search_scope=EVERYTHING&amp;vid=01CRU&amp;lang=en_US&amp;offset=0&amp;query=any,contains,991000035559702656","Catalog Record")</f>
        <v>Catalog Record</v>
      </c>
      <c r="AT165" s="6" t="str">
        <f>HYPERLINK("http://www.worldcat.org/oclc/8627502","WorldCat Record")</f>
        <v>WorldCat Record</v>
      </c>
      <c r="AU165" s="3" t="s">
        <v>2326</v>
      </c>
      <c r="AV165" s="3" t="s">
        <v>2327</v>
      </c>
      <c r="AW165" s="3" t="s">
        <v>2328</v>
      </c>
      <c r="AX165" s="3" t="s">
        <v>2328</v>
      </c>
      <c r="AY165" s="3" t="s">
        <v>2329</v>
      </c>
      <c r="AZ165" s="3" t="s">
        <v>74</v>
      </c>
      <c r="BB165" s="3" t="s">
        <v>2330</v>
      </c>
      <c r="BC165" s="3" t="s">
        <v>2331</v>
      </c>
      <c r="BD165" s="3" t="s">
        <v>2332</v>
      </c>
    </row>
    <row r="166" spans="1:56" ht="45.75" customHeight="1" x14ac:dyDescent="0.25">
      <c r="A166" s="7" t="s">
        <v>58</v>
      </c>
      <c r="B166" s="2" t="s">
        <v>2333</v>
      </c>
      <c r="C166" s="2" t="s">
        <v>2334</v>
      </c>
      <c r="D166" s="2" t="s">
        <v>2335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2336</v>
      </c>
      <c r="L166" s="2" t="s">
        <v>2337</v>
      </c>
      <c r="M166" s="3" t="s">
        <v>1623</v>
      </c>
      <c r="O166" s="3" t="s">
        <v>65</v>
      </c>
      <c r="P166" s="3" t="s">
        <v>190</v>
      </c>
      <c r="R166" s="3" t="s">
        <v>67</v>
      </c>
      <c r="S166" s="4">
        <v>5</v>
      </c>
      <c r="T166" s="4">
        <v>5</v>
      </c>
      <c r="U166" s="5" t="s">
        <v>2338</v>
      </c>
      <c r="V166" s="5" t="s">
        <v>2338</v>
      </c>
      <c r="W166" s="5" t="s">
        <v>1487</v>
      </c>
      <c r="X166" s="5" t="s">
        <v>1487</v>
      </c>
      <c r="Y166" s="4">
        <v>637</v>
      </c>
      <c r="Z166" s="4">
        <v>547</v>
      </c>
      <c r="AA166" s="4">
        <v>595</v>
      </c>
      <c r="AB166" s="4">
        <v>3</v>
      </c>
      <c r="AC166" s="4">
        <v>3</v>
      </c>
      <c r="AD166" s="4">
        <v>23</v>
      </c>
      <c r="AE166" s="4">
        <v>23</v>
      </c>
      <c r="AF166" s="4">
        <v>9</v>
      </c>
      <c r="AG166" s="4">
        <v>9</v>
      </c>
      <c r="AH166" s="4">
        <v>6</v>
      </c>
      <c r="AI166" s="4">
        <v>6</v>
      </c>
      <c r="AJ166" s="4">
        <v>12</v>
      </c>
      <c r="AK166" s="4">
        <v>12</v>
      </c>
      <c r="AL166" s="4">
        <v>2</v>
      </c>
      <c r="AM166" s="4">
        <v>2</v>
      </c>
      <c r="AN166" s="4">
        <v>0</v>
      </c>
      <c r="AO166" s="4">
        <v>0</v>
      </c>
      <c r="AP166" s="3" t="s">
        <v>58</v>
      </c>
      <c r="AQ166" s="3" t="s">
        <v>87</v>
      </c>
      <c r="AR166" s="6" t="str">
        <f>HYPERLINK("http://catalog.hathitrust.org/Record/001133187","HathiTrust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HYPERLINK("https://creighton-primo.hosted.exlibrisgroup.com/primo-explore/search?tab=default_tab&amp;search_scope=EVERYTHING&amp;vid=01CRU&amp;lang=en_US&amp;offset=0&amp;query=any,contains,991002078709702656","Catalog Record")</f>
        <v>Catalog Record</v>
      </c>
      <c r="AT166" s="6" t="str">
        <f>HYPERLINK("http://www.worldcat.org/oclc/264196","WorldCat Record")</f>
        <v>WorldCat Record</v>
      </c>
      <c r="AU166" s="3" t="s">
        <v>2339</v>
      </c>
      <c r="AV166" s="3" t="s">
        <v>2340</v>
      </c>
      <c r="AW166" s="3" t="s">
        <v>2341</v>
      </c>
      <c r="AX166" s="3" t="s">
        <v>2341</v>
      </c>
      <c r="AY166" s="3" t="s">
        <v>2342</v>
      </c>
      <c r="AZ166" s="3" t="s">
        <v>74</v>
      </c>
      <c r="BC166" s="3" t="s">
        <v>2343</v>
      </c>
      <c r="BD166" s="3" t="s">
        <v>2344</v>
      </c>
    </row>
    <row r="167" spans="1:56" ht="45.75" customHeight="1" x14ac:dyDescent="0.25">
      <c r="A167" s="7" t="s">
        <v>58</v>
      </c>
      <c r="B167" s="2" t="s">
        <v>2345</v>
      </c>
      <c r="C167" s="2" t="s">
        <v>2346</v>
      </c>
      <c r="D167" s="2" t="s">
        <v>2347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L167" s="2" t="s">
        <v>2348</v>
      </c>
      <c r="M167" s="3" t="s">
        <v>419</v>
      </c>
      <c r="O167" s="3" t="s">
        <v>65</v>
      </c>
      <c r="P167" s="3" t="s">
        <v>2349</v>
      </c>
      <c r="R167" s="3" t="s">
        <v>67</v>
      </c>
      <c r="S167" s="4">
        <v>4</v>
      </c>
      <c r="T167" s="4">
        <v>4</v>
      </c>
      <c r="U167" s="5" t="s">
        <v>2273</v>
      </c>
      <c r="V167" s="5" t="s">
        <v>2273</v>
      </c>
      <c r="W167" s="5" t="s">
        <v>2350</v>
      </c>
      <c r="X167" s="5" t="s">
        <v>2350</v>
      </c>
      <c r="Y167" s="4">
        <v>148</v>
      </c>
      <c r="Z167" s="4">
        <v>113</v>
      </c>
      <c r="AA167" s="4">
        <v>133</v>
      </c>
      <c r="AB167" s="4">
        <v>2</v>
      </c>
      <c r="AC167" s="4">
        <v>2</v>
      </c>
      <c r="AD167" s="4">
        <v>6</v>
      </c>
      <c r="AE167" s="4">
        <v>8</v>
      </c>
      <c r="AF167" s="4">
        <v>1</v>
      </c>
      <c r="AG167" s="4">
        <v>3</v>
      </c>
      <c r="AH167" s="4">
        <v>2</v>
      </c>
      <c r="AI167" s="4">
        <v>3</v>
      </c>
      <c r="AJ167" s="4">
        <v>5</v>
      </c>
      <c r="AK167" s="4">
        <v>6</v>
      </c>
      <c r="AL167" s="4">
        <v>1</v>
      </c>
      <c r="AM167" s="4">
        <v>1</v>
      </c>
      <c r="AN167" s="4">
        <v>0</v>
      </c>
      <c r="AO167" s="4">
        <v>0</v>
      </c>
      <c r="AP167" s="3" t="s">
        <v>58</v>
      </c>
      <c r="AQ167" s="3" t="s">
        <v>58</v>
      </c>
      <c r="AS167" s="6" t="str">
        <f>HYPERLINK("https://creighton-primo.hosted.exlibrisgroup.com/primo-explore/search?tab=default_tab&amp;search_scope=EVERYTHING&amp;vid=01CRU&amp;lang=en_US&amp;offset=0&amp;query=any,contains,991003495389702656","Catalog Record")</f>
        <v>Catalog Record</v>
      </c>
      <c r="AT167" s="6" t="str">
        <f>HYPERLINK("http://www.worldcat.org/oclc/43894425","WorldCat Record")</f>
        <v>WorldCat Record</v>
      </c>
      <c r="AU167" s="3" t="s">
        <v>2351</v>
      </c>
      <c r="AV167" s="3" t="s">
        <v>2352</v>
      </c>
      <c r="AW167" s="3" t="s">
        <v>2353</v>
      </c>
      <c r="AX167" s="3" t="s">
        <v>2353</v>
      </c>
      <c r="AY167" s="3" t="s">
        <v>2354</v>
      </c>
      <c r="AZ167" s="3" t="s">
        <v>74</v>
      </c>
      <c r="BB167" s="3" t="s">
        <v>2355</v>
      </c>
      <c r="BC167" s="3" t="s">
        <v>2356</v>
      </c>
      <c r="BD167" s="3" t="s">
        <v>2357</v>
      </c>
    </row>
    <row r="168" spans="1:56" ht="45.75" customHeight="1" x14ac:dyDescent="0.25">
      <c r="A168" s="7" t="s">
        <v>58</v>
      </c>
      <c r="B168" s="2" t="s">
        <v>2358</v>
      </c>
      <c r="C168" s="2" t="s">
        <v>2359</v>
      </c>
      <c r="D168" s="2" t="s">
        <v>2360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K168" s="2" t="s">
        <v>2361</v>
      </c>
      <c r="L168" s="2" t="s">
        <v>2362</v>
      </c>
      <c r="M168" s="3" t="s">
        <v>1662</v>
      </c>
      <c r="O168" s="3" t="s">
        <v>65</v>
      </c>
      <c r="P168" s="3" t="s">
        <v>1340</v>
      </c>
      <c r="R168" s="3" t="s">
        <v>67</v>
      </c>
      <c r="S168" s="4">
        <v>4</v>
      </c>
      <c r="T168" s="4">
        <v>4</v>
      </c>
      <c r="U168" s="5" t="s">
        <v>2363</v>
      </c>
      <c r="V168" s="5" t="s">
        <v>2363</v>
      </c>
      <c r="W168" s="5" t="s">
        <v>925</v>
      </c>
      <c r="X168" s="5" t="s">
        <v>925</v>
      </c>
      <c r="Y168" s="4">
        <v>255</v>
      </c>
      <c r="Z168" s="4">
        <v>209</v>
      </c>
      <c r="AA168" s="4">
        <v>217</v>
      </c>
      <c r="AB168" s="4">
        <v>2</v>
      </c>
      <c r="AC168" s="4">
        <v>2</v>
      </c>
      <c r="AD168" s="4">
        <v>9</v>
      </c>
      <c r="AE168" s="4">
        <v>9</v>
      </c>
      <c r="AF168" s="4">
        <v>2</v>
      </c>
      <c r="AG168" s="4">
        <v>2</v>
      </c>
      <c r="AH168" s="4">
        <v>1</v>
      </c>
      <c r="AI168" s="4">
        <v>1</v>
      </c>
      <c r="AJ168" s="4">
        <v>6</v>
      </c>
      <c r="AK168" s="4">
        <v>6</v>
      </c>
      <c r="AL168" s="4">
        <v>1</v>
      </c>
      <c r="AM168" s="4">
        <v>1</v>
      </c>
      <c r="AN168" s="4">
        <v>0</v>
      </c>
      <c r="AO168" s="4">
        <v>0</v>
      </c>
      <c r="AP168" s="3" t="s">
        <v>58</v>
      </c>
      <c r="AQ168" s="3" t="s">
        <v>87</v>
      </c>
      <c r="AR168" s="6" t="str">
        <f>HYPERLINK("http://catalog.hathitrust.org/Record/001133189","HathiTrust Record")</f>
        <v>HathiTrust Record</v>
      </c>
      <c r="AS168" s="6" t="str">
        <f>HYPERLINK("https://creighton-primo.hosted.exlibrisgroup.com/primo-explore/search?tab=default_tab&amp;search_scope=EVERYTHING&amp;vid=01CRU&amp;lang=en_US&amp;offset=0&amp;query=any,contains,991002296309702656","Catalog Record")</f>
        <v>Catalog Record</v>
      </c>
      <c r="AT168" s="6" t="str">
        <f>HYPERLINK("http://www.worldcat.org/oclc/315719","WorldCat Record")</f>
        <v>WorldCat Record</v>
      </c>
      <c r="AU168" s="3" t="s">
        <v>2364</v>
      </c>
      <c r="AV168" s="3" t="s">
        <v>2365</v>
      </c>
      <c r="AW168" s="3" t="s">
        <v>2366</v>
      </c>
      <c r="AX168" s="3" t="s">
        <v>2366</v>
      </c>
      <c r="AY168" s="3" t="s">
        <v>2367</v>
      </c>
      <c r="AZ168" s="3" t="s">
        <v>74</v>
      </c>
      <c r="BC168" s="3" t="s">
        <v>2368</v>
      </c>
      <c r="BD168" s="3" t="s">
        <v>2369</v>
      </c>
    </row>
    <row r="169" spans="1:56" ht="45.75" customHeight="1" x14ac:dyDescent="0.25">
      <c r="A169" s="7" t="s">
        <v>58</v>
      </c>
      <c r="B169" s="2" t="s">
        <v>2370</v>
      </c>
      <c r="C169" s="2" t="s">
        <v>2371</v>
      </c>
      <c r="D169" s="2" t="s">
        <v>2372</v>
      </c>
      <c r="F169" s="3" t="s">
        <v>58</v>
      </c>
      <c r="G169" s="3" t="s">
        <v>59</v>
      </c>
      <c r="H169" s="3" t="s">
        <v>87</v>
      </c>
      <c r="I169" s="3" t="s">
        <v>58</v>
      </c>
      <c r="J169" s="3" t="s">
        <v>60</v>
      </c>
      <c r="K169" s="2" t="s">
        <v>2373</v>
      </c>
      <c r="L169" s="2" t="s">
        <v>2374</v>
      </c>
      <c r="M169" s="3" t="s">
        <v>83</v>
      </c>
      <c r="O169" s="3" t="s">
        <v>65</v>
      </c>
      <c r="P169" s="3" t="s">
        <v>84</v>
      </c>
      <c r="R169" s="3" t="s">
        <v>67</v>
      </c>
      <c r="S169" s="4">
        <v>1</v>
      </c>
      <c r="T169" s="4">
        <v>9</v>
      </c>
      <c r="U169" s="5" t="s">
        <v>2375</v>
      </c>
      <c r="V169" s="5" t="s">
        <v>2376</v>
      </c>
      <c r="W169" s="5" t="s">
        <v>1130</v>
      </c>
      <c r="X169" s="5" t="s">
        <v>1130</v>
      </c>
      <c r="Y169" s="4">
        <v>648</v>
      </c>
      <c r="Z169" s="4">
        <v>559</v>
      </c>
      <c r="AA169" s="4">
        <v>565</v>
      </c>
      <c r="AB169" s="4">
        <v>4</v>
      </c>
      <c r="AC169" s="4">
        <v>4</v>
      </c>
      <c r="AD169" s="4">
        <v>39</v>
      </c>
      <c r="AE169" s="4">
        <v>39</v>
      </c>
      <c r="AF169" s="4">
        <v>10</v>
      </c>
      <c r="AG169" s="4">
        <v>10</v>
      </c>
      <c r="AH169" s="4">
        <v>6</v>
      </c>
      <c r="AI169" s="4">
        <v>6</v>
      </c>
      <c r="AJ169" s="4">
        <v>18</v>
      </c>
      <c r="AK169" s="4">
        <v>18</v>
      </c>
      <c r="AL169" s="4">
        <v>2</v>
      </c>
      <c r="AM169" s="4">
        <v>2</v>
      </c>
      <c r="AN169" s="4">
        <v>11</v>
      </c>
      <c r="AO169" s="4">
        <v>11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HYPERLINK("https://creighton-primo.hosted.exlibrisgroup.com/primo-explore/search?tab=default_tab&amp;search_scope=EVERYTHING&amp;vid=01CRU&amp;lang=en_US&amp;offset=0&amp;query=any,contains,991001785519702656","Catalog Record")</f>
        <v>Catalog Record</v>
      </c>
      <c r="AT169" s="6" t="str">
        <f>HYPERLINK("http://www.worldcat.org/oclc/13699552","WorldCat Record")</f>
        <v>WorldCat Record</v>
      </c>
      <c r="AU169" s="3" t="s">
        <v>2377</v>
      </c>
      <c r="AV169" s="3" t="s">
        <v>2378</v>
      </c>
      <c r="AW169" s="3" t="s">
        <v>2379</v>
      </c>
      <c r="AX169" s="3" t="s">
        <v>2379</v>
      </c>
      <c r="AY169" s="3" t="s">
        <v>2380</v>
      </c>
      <c r="AZ169" s="3" t="s">
        <v>74</v>
      </c>
      <c r="BB169" s="3" t="s">
        <v>2381</v>
      </c>
      <c r="BC169" s="3" t="s">
        <v>2382</v>
      </c>
      <c r="BD169" s="3" t="s">
        <v>2383</v>
      </c>
    </row>
    <row r="170" spans="1:56" ht="45.75" customHeight="1" x14ac:dyDescent="0.25">
      <c r="A170" s="7" t="s">
        <v>58</v>
      </c>
      <c r="B170" s="2" t="s">
        <v>2384</v>
      </c>
      <c r="C170" s="2" t="s">
        <v>2385</v>
      </c>
      <c r="D170" s="2" t="s">
        <v>2386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2387</v>
      </c>
      <c r="L170" s="2" t="s">
        <v>2388</v>
      </c>
      <c r="M170" s="3" t="s">
        <v>2146</v>
      </c>
      <c r="O170" s="3" t="s">
        <v>65</v>
      </c>
      <c r="P170" s="3" t="s">
        <v>148</v>
      </c>
      <c r="R170" s="3" t="s">
        <v>67</v>
      </c>
      <c r="S170" s="4">
        <v>1</v>
      </c>
      <c r="T170" s="4">
        <v>1</v>
      </c>
      <c r="U170" s="5" t="s">
        <v>2389</v>
      </c>
      <c r="V170" s="5" t="s">
        <v>2389</v>
      </c>
      <c r="W170" s="5" t="s">
        <v>2390</v>
      </c>
      <c r="X170" s="5" t="s">
        <v>2390</v>
      </c>
      <c r="Y170" s="4">
        <v>691</v>
      </c>
      <c r="Z170" s="4">
        <v>598</v>
      </c>
      <c r="AA170" s="4">
        <v>606</v>
      </c>
      <c r="AB170" s="4">
        <v>5</v>
      </c>
      <c r="AC170" s="4">
        <v>5</v>
      </c>
      <c r="AD170" s="4">
        <v>32</v>
      </c>
      <c r="AE170" s="4">
        <v>32</v>
      </c>
      <c r="AF170" s="4">
        <v>16</v>
      </c>
      <c r="AG170" s="4">
        <v>16</v>
      </c>
      <c r="AH170" s="4">
        <v>5</v>
      </c>
      <c r="AI170" s="4">
        <v>5</v>
      </c>
      <c r="AJ170" s="4">
        <v>15</v>
      </c>
      <c r="AK170" s="4">
        <v>15</v>
      </c>
      <c r="AL170" s="4">
        <v>4</v>
      </c>
      <c r="AM170" s="4">
        <v>4</v>
      </c>
      <c r="AN170" s="4">
        <v>0</v>
      </c>
      <c r="AO170" s="4">
        <v>0</v>
      </c>
      <c r="AP170" s="3" t="s">
        <v>58</v>
      </c>
      <c r="AQ170" s="3" t="s">
        <v>58</v>
      </c>
      <c r="AS170" s="6" t="str">
        <f>HYPERLINK("https://creighton-primo.hosted.exlibrisgroup.com/primo-explore/search?tab=default_tab&amp;search_scope=EVERYTHING&amp;vid=01CRU&amp;lang=en_US&amp;offset=0&amp;query=any,contains,991002078669702656","Catalog Record")</f>
        <v>Catalog Record</v>
      </c>
      <c r="AT170" s="6" t="str">
        <f>HYPERLINK("http://www.worldcat.org/oclc/264192","WorldCat Record")</f>
        <v>WorldCat Record</v>
      </c>
      <c r="AU170" s="3" t="s">
        <v>2391</v>
      </c>
      <c r="AV170" s="3" t="s">
        <v>2392</v>
      </c>
      <c r="AW170" s="3" t="s">
        <v>2393</v>
      </c>
      <c r="AX170" s="3" t="s">
        <v>2393</v>
      </c>
      <c r="AY170" s="3" t="s">
        <v>2394</v>
      </c>
      <c r="AZ170" s="3" t="s">
        <v>74</v>
      </c>
      <c r="BC170" s="3" t="s">
        <v>2395</v>
      </c>
      <c r="BD170" s="3" t="s">
        <v>2396</v>
      </c>
    </row>
    <row r="171" spans="1:56" ht="45.75" customHeight="1" x14ac:dyDescent="0.25">
      <c r="A171" s="7" t="s">
        <v>58</v>
      </c>
      <c r="B171" s="2" t="s">
        <v>2397</v>
      </c>
      <c r="C171" s="2" t="s">
        <v>2398</v>
      </c>
      <c r="D171" s="2" t="s">
        <v>2399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L171" s="2" t="s">
        <v>2400</v>
      </c>
      <c r="M171" s="3" t="s">
        <v>1209</v>
      </c>
      <c r="O171" s="3" t="s">
        <v>65</v>
      </c>
      <c r="P171" s="3" t="s">
        <v>84</v>
      </c>
      <c r="R171" s="3" t="s">
        <v>67</v>
      </c>
      <c r="S171" s="4">
        <v>16</v>
      </c>
      <c r="T171" s="4">
        <v>16</v>
      </c>
      <c r="U171" s="5" t="s">
        <v>2273</v>
      </c>
      <c r="V171" s="5" t="s">
        <v>2273</v>
      </c>
      <c r="W171" s="5" t="s">
        <v>2401</v>
      </c>
      <c r="X171" s="5" t="s">
        <v>2401</v>
      </c>
      <c r="Y171" s="4">
        <v>363</v>
      </c>
      <c r="Z171" s="4">
        <v>294</v>
      </c>
      <c r="AA171" s="4">
        <v>304</v>
      </c>
      <c r="AB171" s="4">
        <v>2</v>
      </c>
      <c r="AC171" s="4">
        <v>2</v>
      </c>
      <c r="AD171" s="4">
        <v>4</v>
      </c>
      <c r="AE171" s="4">
        <v>4</v>
      </c>
      <c r="AF171" s="4">
        <v>0</v>
      </c>
      <c r="AG171" s="4">
        <v>0</v>
      </c>
      <c r="AH171" s="4">
        <v>1</v>
      </c>
      <c r="AI171" s="4">
        <v>1</v>
      </c>
      <c r="AJ171" s="4">
        <v>3</v>
      </c>
      <c r="AK171" s="4">
        <v>3</v>
      </c>
      <c r="AL171" s="4">
        <v>1</v>
      </c>
      <c r="AM171" s="4">
        <v>1</v>
      </c>
      <c r="AN171" s="4">
        <v>0</v>
      </c>
      <c r="AO171" s="4">
        <v>0</v>
      </c>
      <c r="AP171" s="3" t="s">
        <v>58</v>
      </c>
      <c r="AQ171" s="3" t="s">
        <v>87</v>
      </c>
      <c r="AR171" s="6" t="str">
        <f>HYPERLINK("http://catalog.hathitrust.org/Record/000885747","HathiTrust Record")</f>
        <v>HathiTrust Record</v>
      </c>
      <c r="AS171" s="6" t="str">
        <f>HYPERLINK("https://creighton-primo.hosted.exlibrisgroup.com/primo-explore/search?tab=default_tab&amp;search_scope=EVERYTHING&amp;vid=01CRU&amp;lang=en_US&amp;offset=0&amp;query=any,contains,991000968259702656","Catalog Record")</f>
        <v>Catalog Record</v>
      </c>
      <c r="AT171" s="6" t="str">
        <f>HYPERLINK("http://www.worldcat.org/oclc/14932036","WorldCat Record")</f>
        <v>WorldCat Record</v>
      </c>
      <c r="AU171" s="3" t="s">
        <v>2402</v>
      </c>
      <c r="AV171" s="3" t="s">
        <v>2403</v>
      </c>
      <c r="AW171" s="3" t="s">
        <v>2404</v>
      </c>
      <c r="AX171" s="3" t="s">
        <v>2404</v>
      </c>
      <c r="AY171" s="3" t="s">
        <v>2405</v>
      </c>
      <c r="AZ171" s="3" t="s">
        <v>74</v>
      </c>
      <c r="BB171" s="3" t="s">
        <v>2406</v>
      </c>
      <c r="BC171" s="3" t="s">
        <v>2407</v>
      </c>
      <c r="BD171" s="3" t="s">
        <v>2408</v>
      </c>
    </row>
    <row r="172" spans="1:56" ht="45.75" customHeight="1" x14ac:dyDescent="0.25">
      <c r="A172" s="7" t="s">
        <v>58</v>
      </c>
      <c r="B172" s="2" t="s">
        <v>2409</v>
      </c>
      <c r="C172" s="2" t="s">
        <v>2410</v>
      </c>
      <c r="D172" s="2" t="s">
        <v>2411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L172" s="2" t="s">
        <v>2412</v>
      </c>
      <c r="M172" s="3" t="s">
        <v>713</v>
      </c>
      <c r="O172" s="3" t="s">
        <v>65</v>
      </c>
      <c r="P172" s="3" t="s">
        <v>84</v>
      </c>
      <c r="Q172" s="2" t="s">
        <v>2413</v>
      </c>
      <c r="R172" s="3" t="s">
        <v>67</v>
      </c>
      <c r="S172" s="4">
        <v>10</v>
      </c>
      <c r="T172" s="4">
        <v>10</v>
      </c>
      <c r="U172" s="5" t="s">
        <v>2414</v>
      </c>
      <c r="V172" s="5" t="s">
        <v>2414</v>
      </c>
      <c r="W172" s="5" t="s">
        <v>2415</v>
      </c>
      <c r="X172" s="5" t="s">
        <v>2415</v>
      </c>
      <c r="Y172" s="4">
        <v>393</v>
      </c>
      <c r="Z172" s="4">
        <v>330</v>
      </c>
      <c r="AA172" s="4">
        <v>342</v>
      </c>
      <c r="AB172" s="4">
        <v>3</v>
      </c>
      <c r="AC172" s="4">
        <v>3</v>
      </c>
      <c r="AD172" s="4">
        <v>25</v>
      </c>
      <c r="AE172" s="4">
        <v>26</v>
      </c>
      <c r="AF172" s="4">
        <v>7</v>
      </c>
      <c r="AG172" s="4">
        <v>8</v>
      </c>
      <c r="AH172" s="4">
        <v>4</v>
      </c>
      <c r="AI172" s="4">
        <v>4</v>
      </c>
      <c r="AJ172" s="4">
        <v>10</v>
      </c>
      <c r="AK172" s="4">
        <v>11</v>
      </c>
      <c r="AL172" s="4">
        <v>2</v>
      </c>
      <c r="AM172" s="4">
        <v>2</v>
      </c>
      <c r="AN172" s="4">
        <v>8</v>
      </c>
      <c r="AO172" s="4">
        <v>8</v>
      </c>
      <c r="AP172" s="3" t="s">
        <v>58</v>
      </c>
      <c r="AQ172" s="3" t="s">
        <v>58</v>
      </c>
      <c r="AS172" s="6" t="str">
        <f>HYPERLINK("https://creighton-primo.hosted.exlibrisgroup.com/primo-explore/search?tab=default_tab&amp;search_scope=EVERYTHING&amp;vid=01CRU&amp;lang=en_US&amp;offset=0&amp;query=any,contains,991005127039702656","Catalog Record")</f>
        <v>Catalog Record</v>
      </c>
      <c r="AT172" s="6" t="str">
        <f>HYPERLINK("http://www.worldcat.org/oclc/7554294","WorldCat Record")</f>
        <v>WorldCat Record</v>
      </c>
      <c r="AU172" s="3" t="s">
        <v>2416</v>
      </c>
      <c r="AV172" s="3" t="s">
        <v>2417</v>
      </c>
      <c r="AW172" s="3" t="s">
        <v>2418</v>
      </c>
      <c r="AX172" s="3" t="s">
        <v>2418</v>
      </c>
      <c r="AY172" s="3" t="s">
        <v>2419</v>
      </c>
      <c r="AZ172" s="3" t="s">
        <v>74</v>
      </c>
      <c r="BB172" s="3" t="s">
        <v>2420</v>
      </c>
      <c r="BC172" s="3" t="s">
        <v>2421</v>
      </c>
      <c r="BD172" s="3" t="s">
        <v>2422</v>
      </c>
    </row>
    <row r="173" spans="1:56" ht="45.75" customHeight="1" x14ac:dyDescent="0.25">
      <c r="A173" s="7" t="s">
        <v>58</v>
      </c>
      <c r="B173" s="2" t="s">
        <v>2423</v>
      </c>
      <c r="C173" s="2" t="s">
        <v>2424</v>
      </c>
      <c r="D173" s="2" t="s">
        <v>2425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2426</v>
      </c>
      <c r="L173" s="2" t="s">
        <v>2427</v>
      </c>
      <c r="M173" s="3" t="s">
        <v>937</v>
      </c>
      <c r="O173" s="3" t="s">
        <v>65</v>
      </c>
      <c r="P173" s="3" t="s">
        <v>1224</v>
      </c>
      <c r="R173" s="3" t="s">
        <v>67</v>
      </c>
      <c r="S173" s="4">
        <v>5</v>
      </c>
      <c r="T173" s="4">
        <v>5</v>
      </c>
      <c r="U173" s="5" t="s">
        <v>2298</v>
      </c>
      <c r="V173" s="5" t="s">
        <v>2298</v>
      </c>
      <c r="W173" s="5" t="s">
        <v>2415</v>
      </c>
      <c r="X173" s="5" t="s">
        <v>2415</v>
      </c>
      <c r="Y173" s="4">
        <v>105</v>
      </c>
      <c r="Z173" s="4">
        <v>102</v>
      </c>
      <c r="AA173" s="4">
        <v>103</v>
      </c>
      <c r="AB173" s="4">
        <v>2</v>
      </c>
      <c r="AC173" s="4">
        <v>2</v>
      </c>
      <c r="AD173" s="4">
        <v>5</v>
      </c>
      <c r="AE173" s="4">
        <v>5</v>
      </c>
      <c r="AF173" s="4">
        <v>2</v>
      </c>
      <c r="AG173" s="4">
        <v>2</v>
      </c>
      <c r="AH173" s="4">
        <v>0</v>
      </c>
      <c r="AI173" s="4">
        <v>0</v>
      </c>
      <c r="AJ173" s="4">
        <v>3</v>
      </c>
      <c r="AK173" s="4">
        <v>3</v>
      </c>
      <c r="AL173" s="4">
        <v>1</v>
      </c>
      <c r="AM173" s="4">
        <v>1</v>
      </c>
      <c r="AN173" s="4">
        <v>0</v>
      </c>
      <c r="AO173" s="4">
        <v>0</v>
      </c>
      <c r="AP173" s="3" t="s">
        <v>58</v>
      </c>
      <c r="AQ173" s="3" t="s">
        <v>87</v>
      </c>
      <c r="AR173" s="6" t="str">
        <f>HYPERLINK("http://catalog.hathitrust.org/Record/000747575","HathiTrust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HYPERLINK("https://creighton-primo.hosted.exlibrisgroup.com/primo-explore/search?tab=default_tab&amp;search_scope=EVERYTHING&amp;vid=01CRU&amp;lang=en_US&amp;offset=0&amp;query=any,contains,991004397509702656","Catalog Record")</f>
        <v>Catalog Record</v>
      </c>
      <c r="AT173" s="6" t="str">
        <f>HYPERLINK("http://www.worldcat.org/oclc/3286174","WorldCat Record")</f>
        <v>WorldCat Record</v>
      </c>
      <c r="AU173" s="3" t="s">
        <v>2428</v>
      </c>
      <c r="AV173" s="3" t="s">
        <v>2429</v>
      </c>
      <c r="AW173" s="3" t="s">
        <v>2430</v>
      </c>
      <c r="AX173" s="3" t="s">
        <v>2430</v>
      </c>
      <c r="AY173" s="3" t="s">
        <v>2431</v>
      </c>
      <c r="AZ173" s="3" t="s">
        <v>74</v>
      </c>
      <c r="BB173" s="3" t="s">
        <v>2432</v>
      </c>
      <c r="BC173" s="3" t="s">
        <v>2433</v>
      </c>
      <c r="BD173" s="3" t="s">
        <v>2434</v>
      </c>
    </row>
    <row r="174" spans="1:56" ht="45.75" customHeight="1" x14ac:dyDescent="0.25">
      <c r="A174" s="7" t="s">
        <v>58</v>
      </c>
      <c r="B174" s="2" t="s">
        <v>2435</v>
      </c>
      <c r="C174" s="2" t="s">
        <v>2436</v>
      </c>
      <c r="D174" s="2" t="s">
        <v>2437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2438</v>
      </c>
      <c r="L174" s="2" t="s">
        <v>2439</v>
      </c>
      <c r="M174" s="3" t="s">
        <v>908</v>
      </c>
      <c r="O174" s="3" t="s">
        <v>65</v>
      </c>
      <c r="P174" s="3" t="s">
        <v>84</v>
      </c>
      <c r="R174" s="3" t="s">
        <v>67</v>
      </c>
      <c r="S174" s="4">
        <v>8</v>
      </c>
      <c r="T174" s="4">
        <v>8</v>
      </c>
      <c r="U174" s="5" t="s">
        <v>2440</v>
      </c>
      <c r="V174" s="5" t="s">
        <v>2440</v>
      </c>
      <c r="W174" s="5" t="s">
        <v>2441</v>
      </c>
      <c r="X174" s="5" t="s">
        <v>2441</v>
      </c>
      <c r="Y174" s="4">
        <v>790</v>
      </c>
      <c r="Z174" s="4">
        <v>683</v>
      </c>
      <c r="AA174" s="4">
        <v>695</v>
      </c>
      <c r="AB174" s="4">
        <v>7</v>
      </c>
      <c r="AC174" s="4">
        <v>8</v>
      </c>
      <c r="AD174" s="4">
        <v>24</v>
      </c>
      <c r="AE174" s="4">
        <v>26</v>
      </c>
      <c r="AF174" s="4">
        <v>8</v>
      </c>
      <c r="AG174" s="4">
        <v>8</v>
      </c>
      <c r="AH174" s="4">
        <v>4</v>
      </c>
      <c r="AI174" s="4">
        <v>5</v>
      </c>
      <c r="AJ174" s="4">
        <v>13</v>
      </c>
      <c r="AK174" s="4">
        <v>14</v>
      </c>
      <c r="AL174" s="4">
        <v>5</v>
      </c>
      <c r="AM174" s="4">
        <v>6</v>
      </c>
      <c r="AN174" s="4">
        <v>0</v>
      </c>
      <c r="AO174" s="4">
        <v>0</v>
      </c>
      <c r="AP174" s="3" t="s">
        <v>58</v>
      </c>
      <c r="AQ174" s="3" t="s">
        <v>58</v>
      </c>
      <c r="AS174" s="6" t="str">
        <f>HYPERLINK("https://creighton-primo.hosted.exlibrisgroup.com/primo-explore/search?tab=default_tab&amp;search_scope=EVERYTHING&amp;vid=01CRU&amp;lang=en_US&amp;offset=0&amp;query=any,contains,991004603889702656","Catalog Record")</f>
        <v>Catalog Record</v>
      </c>
      <c r="AT174" s="6" t="str">
        <f>HYPERLINK("http://www.worldcat.org/oclc/4192127","WorldCat Record")</f>
        <v>WorldCat Record</v>
      </c>
      <c r="AU174" s="3" t="s">
        <v>2442</v>
      </c>
      <c r="AV174" s="3" t="s">
        <v>2443</v>
      </c>
      <c r="AW174" s="3" t="s">
        <v>2444</v>
      </c>
      <c r="AX174" s="3" t="s">
        <v>2444</v>
      </c>
      <c r="AY174" s="3" t="s">
        <v>2445</v>
      </c>
      <c r="AZ174" s="3" t="s">
        <v>74</v>
      </c>
      <c r="BB174" s="3" t="s">
        <v>2446</v>
      </c>
      <c r="BC174" s="3" t="s">
        <v>2447</v>
      </c>
      <c r="BD174" s="3" t="s">
        <v>2448</v>
      </c>
    </row>
    <row r="175" spans="1:56" ht="45.75" customHeight="1" x14ac:dyDescent="0.25">
      <c r="A175" s="7" t="s">
        <v>58</v>
      </c>
      <c r="B175" s="2" t="s">
        <v>2449</v>
      </c>
      <c r="C175" s="2" t="s">
        <v>2450</v>
      </c>
      <c r="D175" s="2" t="s">
        <v>2451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K175" s="2" t="s">
        <v>2452</v>
      </c>
      <c r="L175" s="2" t="s">
        <v>2453</v>
      </c>
      <c r="M175" s="3" t="s">
        <v>1209</v>
      </c>
      <c r="O175" s="3" t="s">
        <v>65</v>
      </c>
      <c r="P175" s="3" t="s">
        <v>66</v>
      </c>
      <c r="Q175" s="2" t="s">
        <v>2454</v>
      </c>
      <c r="R175" s="3" t="s">
        <v>67</v>
      </c>
      <c r="S175" s="4">
        <v>9</v>
      </c>
      <c r="T175" s="4">
        <v>9</v>
      </c>
      <c r="U175" s="5" t="s">
        <v>2298</v>
      </c>
      <c r="V175" s="5" t="s">
        <v>2298</v>
      </c>
      <c r="W175" s="5" t="s">
        <v>2415</v>
      </c>
      <c r="X175" s="5" t="s">
        <v>2415</v>
      </c>
      <c r="Y175" s="4">
        <v>234</v>
      </c>
      <c r="Z175" s="4">
        <v>192</v>
      </c>
      <c r="AA175" s="4">
        <v>199</v>
      </c>
      <c r="AB175" s="4">
        <v>3</v>
      </c>
      <c r="AC175" s="4">
        <v>3</v>
      </c>
      <c r="AD175" s="4">
        <v>8</v>
      </c>
      <c r="AE175" s="4">
        <v>8</v>
      </c>
      <c r="AF175" s="4">
        <v>1</v>
      </c>
      <c r="AG175" s="4">
        <v>1</v>
      </c>
      <c r="AH175" s="4">
        <v>2</v>
      </c>
      <c r="AI175" s="4">
        <v>2</v>
      </c>
      <c r="AJ175" s="4">
        <v>5</v>
      </c>
      <c r="AK175" s="4">
        <v>5</v>
      </c>
      <c r="AL175" s="4">
        <v>2</v>
      </c>
      <c r="AM175" s="4">
        <v>2</v>
      </c>
      <c r="AN175" s="4">
        <v>0</v>
      </c>
      <c r="AO175" s="4">
        <v>0</v>
      </c>
      <c r="AP175" s="3" t="s">
        <v>58</v>
      </c>
      <c r="AQ175" s="3" t="s">
        <v>87</v>
      </c>
      <c r="AR175" s="6" t="str">
        <f>HYPERLINK("http://catalog.hathitrust.org/Record/000878932","HathiTrust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HYPERLINK("https://creighton-primo.hosted.exlibrisgroup.com/primo-explore/search?tab=default_tab&amp;search_scope=EVERYTHING&amp;vid=01CRU&amp;lang=en_US&amp;offset=0&amp;query=any,contains,991001152939702656","Catalog Record")</f>
        <v>Catalog Record</v>
      </c>
      <c r="AT175" s="6" t="str">
        <f>HYPERLINK("http://www.worldcat.org/oclc/16831091","WorldCat Record")</f>
        <v>WorldCat Record</v>
      </c>
      <c r="AU175" s="3" t="s">
        <v>2455</v>
      </c>
      <c r="AV175" s="3" t="s">
        <v>2456</v>
      </c>
      <c r="AW175" s="3" t="s">
        <v>2457</v>
      </c>
      <c r="AX175" s="3" t="s">
        <v>2457</v>
      </c>
      <c r="AY175" s="3" t="s">
        <v>2458</v>
      </c>
      <c r="AZ175" s="3" t="s">
        <v>74</v>
      </c>
      <c r="BB175" s="3" t="s">
        <v>2459</v>
      </c>
      <c r="BC175" s="3" t="s">
        <v>2460</v>
      </c>
      <c r="BD175" s="3" t="s">
        <v>2461</v>
      </c>
    </row>
    <row r="176" spans="1:56" ht="45.75" customHeight="1" x14ac:dyDescent="0.25">
      <c r="A176" s="7" t="s">
        <v>58</v>
      </c>
      <c r="B176" s="2" t="s">
        <v>2462</v>
      </c>
      <c r="C176" s="2" t="s">
        <v>2463</v>
      </c>
      <c r="D176" s="2" t="s">
        <v>2464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2465</v>
      </c>
      <c r="L176" s="2" t="s">
        <v>2466</v>
      </c>
      <c r="M176" s="3" t="s">
        <v>1254</v>
      </c>
      <c r="O176" s="3" t="s">
        <v>65</v>
      </c>
      <c r="P176" s="3" t="s">
        <v>587</v>
      </c>
      <c r="Q176" s="2" t="s">
        <v>2467</v>
      </c>
      <c r="R176" s="3" t="s">
        <v>67</v>
      </c>
      <c r="S176" s="4">
        <v>8</v>
      </c>
      <c r="T176" s="4">
        <v>8</v>
      </c>
      <c r="U176" s="5" t="s">
        <v>2468</v>
      </c>
      <c r="V176" s="5" t="s">
        <v>2468</v>
      </c>
      <c r="W176" s="5" t="s">
        <v>2415</v>
      </c>
      <c r="X176" s="5" t="s">
        <v>2415</v>
      </c>
      <c r="Y176" s="4">
        <v>525</v>
      </c>
      <c r="Z176" s="4">
        <v>472</v>
      </c>
      <c r="AA176" s="4">
        <v>474</v>
      </c>
      <c r="AB176" s="4">
        <v>4</v>
      </c>
      <c r="AC176" s="4">
        <v>4</v>
      </c>
      <c r="AD176" s="4">
        <v>18</v>
      </c>
      <c r="AE176" s="4">
        <v>18</v>
      </c>
      <c r="AF176" s="4">
        <v>8</v>
      </c>
      <c r="AG176" s="4">
        <v>8</v>
      </c>
      <c r="AH176" s="4">
        <v>5</v>
      </c>
      <c r="AI176" s="4">
        <v>5</v>
      </c>
      <c r="AJ176" s="4">
        <v>6</v>
      </c>
      <c r="AK176" s="4">
        <v>6</v>
      </c>
      <c r="AL176" s="4">
        <v>3</v>
      </c>
      <c r="AM176" s="4">
        <v>3</v>
      </c>
      <c r="AN176" s="4">
        <v>0</v>
      </c>
      <c r="AO176" s="4">
        <v>0</v>
      </c>
      <c r="AP176" s="3" t="s">
        <v>58</v>
      </c>
      <c r="AQ176" s="3" t="s">
        <v>87</v>
      </c>
      <c r="AR176" s="6" t="str">
        <f>HYPERLINK("http://catalog.hathitrust.org/Record/000367605","HathiTrust Record")</f>
        <v>HathiTrust Record</v>
      </c>
      <c r="AS176" s="6" t="str">
        <f>HYPERLINK("https://creighton-primo.hosted.exlibrisgroup.com/primo-explore/search?tab=default_tab&amp;search_scope=EVERYTHING&amp;vid=01CRU&amp;lang=en_US&amp;offset=0&amp;query=any,contains,991000411979702656","Catalog Record")</f>
        <v>Catalog Record</v>
      </c>
      <c r="AT176" s="6" t="str">
        <f>HYPERLINK("http://www.worldcat.org/oclc/10711522","WorldCat Record")</f>
        <v>WorldCat Record</v>
      </c>
      <c r="AU176" s="3" t="s">
        <v>2469</v>
      </c>
      <c r="AV176" s="3" t="s">
        <v>2470</v>
      </c>
      <c r="AW176" s="3" t="s">
        <v>2471</v>
      </c>
      <c r="AX176" s="3" t="s">
        <v>2471</v>
      </c>
      <c r="AY176" s="3" t="s">
        <v>2472</v>
      </c>
      <c r="AZ176" s="3" t="s">
        <v>74</v>
      </c>
      <c r="BB176" s="3" t="s">
        <v>2473</v>
      </c>
      <c r="BC176" s="3" t="s">
        <v>2474</v>
      </c>
      <c r="BD176" s="3" t="s">
        <v>2475</v>
      </c>
    </row>
    <row r="177" spans="1:56" ht="45.75" customHeight="1" x14ac:dyDescent="0.25">
      <c r="A177" s="7" t="s">
        <v>58</v>
      </c>
      <c r="B177" s="2" t="s">
        <v>2476</v>
      </c>
      <c r="C177" s="2" t="s">
        <v>2477</v>
      </c>
      <c r="D177" s="2" t="s">
        <v>2478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2479</v>
      </c>
      <c r="L177" s="2" t="s">
        <v>2480</v>
      </c>
      <c r="M177" s="3" t="s">
        <v>1088</v>
      </c>
      <c r="O177" s="3" t="s">
        <v>65</v>
      </c>
      <c r="P177" s="3" t="s">
        <v>336</v>
      </c>
      <c r="R177" s="3" t="s">
        <v>67</v>
      </c>
      <c r="S177" s="4">
        <v>7</v>
      </c>
      <c r="T177" s="4">
        <v>7</v>
      </c>
      <c r="U177" s="5" t="s">
        <v>2481</v>
      </c>
      <c r="V177" s="5" t="s">
        <v>2481</v>
      </c>
      <c r="W177" s="5" t="s">
        <v>2325</v>
      </c>
      <c r="X177" s="5" t="s">
        <v>2325</v>
      </c>
      <c r="Y177" s="4">
        <v>315</v>
      </c>
      <c r="Z177" s="4">
        <v>272</v>
      </c>
      <c r="AA177" s="4">
        <v>274</v>
      </c>
      <c r="AB177" s="4">
        <v>3</v>
      </c>
      <c r="AC177" s="4">
        <v>3</v>
      </c>
      <c r="AD177" s="4">
        <v>17</v>
      </c>
      <c r="AE177" s="4">
        <v>17</v>
      </c>
      <c r="AF177" s="4">
        <v>2</v>
      </c>
      <c r="AG177" s="4">
        <v>2</v>
      </c>
      <c r="AH177" s="4">
        <v>2</v>
      </c>
      <c r="AI177" s="4">
        <v>2</v>
      </c>
      <c r="AJ177" s="4">
        <v>3</v>
      </c>
      <c r="AK177" s="4">
        <v>3</v>
      </c>
      <c r="AL177" s="4">
        <v>2</v>
      </c>
      <c r="AM177" s="4">
        <v>2</v>
      </c>
      <c r="AN177" s="4">
        <v>8</v>
      </c>
      <c r="AO177" s="4">
        <v>8</v>
      </c>
      <c r="AP177" s="3" t="s">
        <v>58</v>
      </c>
      <c r="AQ177" s="3" t="s">
        <v>87</v>
      </c>
      <c r="AR177" s="6" t="str">
        <f>HYPERLINK("http://catalog.hathitrust.org/Record/000286871","HathiTrust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HYPERLINK("https://creighton-primo.hosted.exlibrisgroup.com/primo-explore/search?tab=default_tab&amp;search_scope=EVERYTHING&amp;vid=01CRU&amp;lang=en_US&amp;offset=0&amp;query=any,contains,991000429189702656","Catalog Record")</f>
        <v>Catalog Record</v>
      </c>
      <c r="AT177" s="6" t="str">
        <f>HYPERLINK("http://www.worldcat.org/oclc/10777387","WorldCat Record")</f>
        <v>WorldCat Record</v>
      </c>
      <c r="AU177" s="3" t="s">
        <v>2482</v>
      </c>
      <c r="AV177" s="3" t="s">
        <v>2483</v>
      </c>
      <c r="AW177" s="3" t="s">
        <v>2484</v>
      </c>
      <c r="AX177" s="3" t="s">
        <v>2484</v>
      </c>
      <c r="AY177" s="3" t="s">
        <v>2485</v>
      </c>
      <c r="AZ177" s="3" t="s">
        <v>74</v>
      </c>
      <c r="BB177" s="3" t="s">
        <v>2486</v>
      </c>
      <c r="BC177" s="3" t="s">
        <v>2487</v>
      </c>
      <c r="BD177" s="3" t="s">
        <v>2488</v>
      </c>
    </row>
    <row r="178" spans="1:56" ht="45.75" customHeight="1" x14ac:dyDescent="0.25">
      <c r="A178" s="7" t="s">
        <v>58</v>
      </c>
      <c r="B178" s="2" t="s">
        <v>2489</v>
      </c>
      <c r="C178" s="2" t="s">
        <v>2490</v>
      </c>
      <c r="D178" s="2" t="s">
        <v>2491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L178" s="2" t="s">
        <v>2492</v>
      </c>
      <c r="M178" s="3" t="s">
        <v>1088</v>
      </c>
      <c r="O178" s="3" t="s">
        <v>65</v>
      </c>
      <c r="P178" s="3" t="s">
        <v>772</v>
      </c>
      <c r="R178" s="3" t="s">
        <v>67</v>
      </c>
      <c r="S178" s="4">
        <v>6</v>
      </c>
      <c r="T178" s="4">
        <v>6</v>
      </c>
      <c r="U178" s="5" t="s">
        <v>2493</v>
      </c>
      <c r="V178" s="5" t="s">
        <v>2493</v>
      </c>
      <c r="W178" s="5" t="s">
        <v>2415</v>
      </c>
      <c r="X178" s="5" t="s">
        <v>2415</v>
      </c>
      <c r="Y178" s="4">
        <v>309</v>
      </c>
      <c r="Z178" s="4">
        <v>247</v>
      </c>
      <c r="AA178" s="4">
        <v>254</v>
      </c>
      <c r="AB178" s="4">
        <v>2</v>
      </c>
      <c r="AC178" s="4">
        <v>2</v>
      </c>
      <c r="AD178" s="4">
        <v>7</v>
      </c>
      <c r="AE178" s="4">
        <v>7</v>
      </c>
      <c r="AF178" s="4">
        <v>3</v>
      </c>
      <c r="AG178" s="4">
        <v>3</v>
      </c>
      <c r="AH178" s="4">
        <v>1</v>
      </c>
      <c r="AI178" s="4">
        <v>1</v>
      </c>
      <c r="AJ178" s="4">
        <v>3</v>
      </c>
      <c r="AK178" s="4">
        <v>3</v>
      </c>
      <c r="AL178" s="4">
        <v>1</v>
      </c>
      <c r="AM178" s="4">
        <v>1</v>
      </c>
      <c r="AN178" s="4">
        <v>1</v>
      </c>
      <c r="AO178" s="4">
        <v>1</v>
      </c>
      <c r="AP178" s="3" t="s">
        <v>58</v>
      </c>
      <c r="AQ178" s="3" t="s">
        <v>87</v>
      </c>
      <c r="AR178" s="6" t="str">
        <f>HYPERLINK("http://catalog.hathitrust.org/Record/000413247","HathiTrust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HYPERLINK("https://creighton-primo.hosted.exlibrisgroup.com/primo-explore/search?tab=default_tab&amp;search_scope=EVERYTHING&amp;vid=01CRU&amp;lang=en_US&amp;offset=0&amp;query=any,contains,991000564699702656","Catalog Record")</f>
        <v>Catalog Record</v>
      </c>
      <c r="AT178" s="6" t="str">
        <f>HYPERLINK("http://www.worldcat.org/oclc/11621428","WorldCat Record")</f>
        <v>WorldCat Record</v>
      </c>
      <c r="AU178" s="3" t="s">
        <v>2494</v>
      </c>
      <c r="AV178" s="3" t="s">
        <v>2495</v>
      </c>
      <c r="AW178" s="3" t="s">
        <v>2496</v>
      </c>
      <c r="AX178" s="3" t="s">
        <v>2496</v>
      </c>
      <c r="AY178" s="3" t="s">
        <v>2497</v>
      </c>
      <c r="AZ178" s="3" t="s">
        <v>74</v>
      </c>
      <c r="BB178" s="3" t="s">
        <v>2498</v>
      </c>
      <c r="BC178" s="3" t="s">
        <v>2499</v>
      </c>
      <c r="BD178" s="3" t="s">
        <v>2500</v>
      </c>
    </row>
    <row r="179" spans="1:56" ht="45.75" customHeight="1" x14ac:dyDescent="0.25">
      <c r="A179" s="7" t="s">
        <v>58</v>
      </c>
      <c r="B179" s="2" t="s">
        <v>2501</v>
      </c>
      <c r="C179" s="2" t="s">
        <v>2502</v>
      </c>
      <c r="D179" s="2" t="s">
        <v>2503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2504</v>
      </c>
      <c r="L179" s="2" t="s">
        <v>2505</v>
      </c>
      <c r="M179" s="3" t="s">
        <v>2506</v>
      </c>
      <c r="O179" s="3" t="s">
        <v>65</v>
      </c>
      <c r="P179" s="3" t="s">
        <v>190</v>
      </c>
      <c r="R179" s="3" t="s">
        <v>67</v>
      </c>
      <c r="S179" s="4">
        <v>2</v>
      </c>
      <c r="T179" s="4">
        <v>2</v>
      </c>
      <c r="U179" s="5" t="s">
        <v>294</v>
      </c>
      <c r="V179" s="5" t="s">
        <v>294</v>
      </c>
      <c r="W179" s="5" t="s">
        <v>1487</v>
      </c>
      <c r="X179" s="5" t="s">
        <v>1487</v>
      </c>
      <c r="Y179" s="4">
        <v>295</v>
      </c>
      <c r="Z179" s="4">
        <v>263</v>
      </c>
      <c r="AA179" s="4">
        <v>265</v>
      </c>
      <c r="AB179" s="4">
        <v>4</v>
      </c>
      <c r="AC179" s="4">
        <v>4</v>
      </c>
      <c r="AD179" s="4">
        <v>7</v>
      </c>
      <c r="AE179" s="4">
        <v>7</v>
      </c>
      <c r="AF179" s="4">
        <v>1</v>
      </c>
      <c r="AG179" s="4">
        <v>1</v>
      </c>
      <c r="AH179" s="4">
        <v>0</v>
      </c>
      <c r="AI179" s="4">
        <v>0</v>
      </c>
      <c r="AJ179" s="4">
        <v>3</v>
      </c>
      <c r="AK179" s="4">
        <v>3</v>
      </c>
      <c r="AL179" s="4">
        <v>3</v>
      </c>
      <c r="AM179" s="4">
        <v>3</v>
      </c>
      <c r="AN179" s="4">
        <v>0</v>
      </c>
      <c r="AO179" s="4">
        <v>0</v>
      </c>
      <c r="AP179" s="3" t="s">
        <v>58</v>
      </c>
      <c r="AQ179" s="3" t="s">
        <v>87</v>
      </c>
      <c r="AR179" s="6" t="str">
        <f>HYPERLINK("http://catalog.hathitrust.org/Record/000001937","HathiTrust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HYPERLINK("https://creighton-primo.hosted.exlibrisgroup.com/primo-explore/search?tab=default_tab&amp;search_scope=EVERYTHING&amp;vid=01CRU&amp;lang=en_US&amp;offset=0&amp;query=any,contains,991000778289702656","Catalog Record")</f>
        <v>Catalog Record</v>
      </c>
      <c r="AT179" s="6" t="str">
        <f>HYPERLINK("http://www.worldcat.org/oclc/134054","WorldCat Record")</f>
        <v>WorldCat Record</v>
      </c>
      <c r="AU179" s="3" t="s">
        <v>2507</v>
      </c>
      <c r="AV179" s="3" t="s">
        <v>2508</v>
      </c>
      <c r="AW179" s="3" t="s">
        <v>2509</v>
      </c>
      <c r="AX179" s="3" t="s">
        <v>2509</v>
      </c>
      <c r="AY179" s="3" t="s">
        <v>2510</v>
      </c>
      <c r="AZ179" s="3" t="s">
        <v>74</v>
      </c>
      <c r="BC179" s="3" t="s">
        <v>2511</v>
      </c>
      <c r="BD179" s="3" t="s">
        <v>2512</v>
      </c>
    </row>
    <row r="180" spans="1:56" ht="45.75" customHeight="1" x14ac:dyDescent="0.25">
      <c r="A180" s="7" t="s">
        <v>58</v>
      </c>
      <c r="B180" s="2" t="s">
        <v>2513</v>
      </c>
      <c r="C180" s="2" t="s">
        <v>2514</v>
      </c>
      <c r="D180" s="2" t="s">
        <v>2515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2516</v>
      </c>
      <c r="L180" s="2" t="s">
        <v>2517</v>
      </c>
      <c r="M180" s="3" t="s">
        <v>147</v>
      </c>
      <c r="O180" s="3" t="s">
        <v>65</v>
      </c>
      <c r="P180" s="3" t="s">
        <v>148</v>
      </c>
      <c r="R180" s="3" t="s">
        <v>67</v>
      </c>
      <c r="S180" s="4">
        <v>1</v>
      </c>
      <c r="T180" s="4">
        <v>1</v>
      </c>
      <c r="U180" s="5" t="s">
        <v>2518</v>
      </c>
      <c r="V180" s="5" t="s">
        <v>2518</v>
      </c>
      <c r="W180" s="5" t="s">
        <v>2518</v>
      </c>
      <c r="X180" s="5" t="s">
        <v>2518</v>
      </c>
      <c r="Y180" s="4">
        <v>482</v>
      </c>
      <c r="Z180" s="4">
        <v>423</v>
      </c>
      <c r="AA180" s="4">
        <v>430</v>
      </c>
      <c r="AB180" s="4">
        <v>4</v>
      </c>
      <c r="AC180" s="4">
        <v>4</v>
      </c>
      <c r="AD180" s="4">
        <v>25</v>
      </c>
      <c r="AE180" s="4">
        <v>25</v>
      </c>
      <c r="AF180" s="4">
        <v>11</v>
      </c>
      <c r="AG180" s="4">
        <v>11</v>
      </c>
      <c r="AH180" s="4">
        <v>7</v>
      </c>
      <c r="AI180" s="4">
        <v>7</v>
      </c>
      <c r="AJ180" s="4">
        <v>11</v>
      </c>
      <c r="AK180" s="4">
        <v>11</v>
      </c>
      <c r="AL180" s="4">
        <v>3</v>
      </c>
      <c r="AM180" s="4">
        <v>3</v>
      </c>
      <c r="AN180" s="4">
        <v>0</v>
      </c>
      <c r="AO180" s="4">
        <v>0</v>
      </c>
      <c r="AP180" s="3" t="s">
        <v>58</v>
      </c>
      <c r="AQ180" s="3" t="s">
        <v>87</v>
      </c>
      <c r="AR180" s="6" t="str">
        <f>HYPERLINK("http://catalog.hathitrust.org/Record/004763602","HathiTrust Record")</f>
        <v>HathiTrust Record</v>
      </c>
      <c r="AS180" s="6" t="str">
        <f>HYPERLINK("https://creighton-primo.hosted.exlibrisgroup.com/primo-explore/search?tab=default_tab&amp;search_scope=EVERYTHING&amp;vid=01CRU&amp;lang=en_US&amp;offset=0&amp;query=any,contains,991004994579702656","Catalog Record")</f>
        <v>Catalog Record</v>
      </c>
      <c r="AT180" s="6" t="str">
        <f>HYPERLINK("http://www.worldcat.org/oclc/55595641","WorldCat Record")</f>
        <v>WorldCat Record</v>
      </c>
      <c r="AU180" s="3" t="s">
        <v>2519</v>
      </c>
      <c r="AV180" s="3" t="s">
        <v>2520</v>
      </c>
      <c r="AW180" s="3" t="s">
        <v>2521</v>
      </c>
      <c r="AX180" s="3" t="s">
        <v>2521</v>
      </c>
      <c r="AY180" s="3" t="s">
        <v>2522</v>
      </c>
      <c r="AZ180" s="3" t="s">
        <v>74</v>
      </c>
      <c r="BB180" s="3" t="s">
        <v>2523</v>
      </c>
      <c r="BC180" s="3" t="s">
        <v>2524</v>
      </c>
      <c r="BD180" s="3" t="s">
        <v>2525</v>
      </c>
    </row>
    <row r="181" spans="1:56" ht="45.75" customHeight="1" x14ac:dyDescent="0.25">
      <c r="A181" s="7" t="s">
        <v>58</v>
      </c>
      <c r="B181" s="2" t="s">
        <v>2526</v>
      </c>
      <c r="C181" s="2" t="s">
        <v>2527</v>
      </c>
      <c r="D181" s="2" t="s">
        <v>2528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2529</v>
      </c>
      <c r="L181" s="2" t="s">
        <v>2530</v>
      </c>
      <c r="M181" s="3" t="s">
        <v>307</v>
      </c>
      <c r="O181" s="3" t="s">
        <v>65</v>
      </c>
      <c r="P181" s="3" t="s">
        <v>2531</v>
      </c>
      <c r="R181" s="3" t="s">
        <v>67</v>
      </c>
      <c r="S181" s="4">
        <v>1</v>
      </c>
      <c r="T181" s="4">
        <v>1</v>
      </c>
      <c r="U181" s="5" t="s">
        <v>2532</v>
      </c>
      <c r="V181" s="5" t="s">
        <v>2532</v>
      </c>
      <c r="W181" s="5" t="s">
        <v>2533</v>
      </c>
      <c r="X181" s="5" t="s">
        <v>2533</v>
      </c>
      <c r="Y181" s="4">
        <v>12</v>
      </c>
      <c r="Z181" s="4">
        <v>4</v>
      </c>
      <c r="AA181" s="4">
        <v>4</v>
      </c>
      <c r="AB181" s="4">
        <v>1</v>
      </c>
      <c r="AC181" s="4">
        <v>1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HYPERLINK("https://creighton-primo.hosted.exlibrisgroup.com/primo-explore/search?tab=default_tab&amp;search_scope=EVERYTHING&amp;vid=01CRU&amp;lang=en_US&amp;offset=0&amp;query=any,contains,991002515189702656","Catalog Record")</f>
        <v>Catalog Record</v>
      </c>
      <c r="AT181" s="6" t="str">
        <f>HYPERLINK("http://www.worldcat.org/oclc/32702578","WorldCat Record")</f>
        <v>WorldCat Record</v>
      </c>
      <c r="AU181" s="3" t="s">
        <v>2534</v>
      </c>
      <c r="AV181" s="3" t="s">
        <v>2535</v>
      </c>
      <c r="AW181" s="3" t="s">
        <v>2536</v>
      </c>
      <c r="AX181" s="3" t="s">
        <v>2536</v>
      </c>
      <c r="AY181" s="3" t="s">
        <v>2537</v>
      </c>
      <c r="AZ181" s="3" t="s">
        <v>74</v>
      </c>
      <c r="BB181" s="3" t="s">
        <v>2538</v>
      </c>
      <c r="BC181" s="3" t="s">
        <v>2539</v>
      </c>
      <c r="BD181" s="3" t="s">
        <v>2540</v>
      </c>
    </row>
    <row r="182" spans="1:56" ht="45.75" customHeight="1" x14ac:dyDescent="0.25">
      <c r="A182" s="7" t="s">
        <v>58</v>
      </c>
      <c r="B182" s="2" t="s">
        <v>2541</v>
      </c>
      <c r="C182" s="2" t="s">
        <v>2542</v>
      </c>
      <c r="D182" s="2" t="s">
        <v>2543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K182" s="2" t="s">
        <v>2544</v>
      </c>
      <c r="L182" s="2" t="s">
        <v>2545</v>
      </c>
      <c r="M182" s="3" t="s">
        <v>263</v>
      </c>
      <c r="O182" s="3" t="s">
        <v>65</v>
      </c>
      <c r="P182" s="3" t="s">
        <v>66</v>
      </c>
      <c r="R182" s="3" t="s">
        <v>67</v>
      </c>
      <c r="S182" s="4">
        <v>3</v>
      </c>
      <c r="T182" s="4">
        <v>3</v>
      </c>
      <c r="U182" s="5" t="s">
        <v>2546</v>
      </c>
      <c r="V182" s="5" t="s">
        <v>2546</v>
      </c>
      <c r="W182" s="5" t="s">
        <v>2245</v>
      </c>
      <c r="X182" s="5" t="s">
        <v>2245</v>
      </c>
      <c r="Y182" s="4">
        <v>357</v>
      </c>
      <c r="Z182" s="4">
        <v>293</v>
      </c>
      <c r="AA182" s="4">
        <v>295</v>
      </c>
      <c r="AB182" s="4">
        <v>2</v>
      </c>
      <c r="AC182" s="4">
        <v>2</v>
      </c>
      <c r="AD182" s="4">
        <v>18</v>
      </c>
      <c r="AE182" s="4">
        <v>18</v>
      </c>
      <c r="AF182" s="4">
        <v>7</v>
      </c>
      <c r="AG182" s="4">
        <v>7</v>
      </c>
      <c r="AH182" s="4">
        <v>6</v>
      </c>
      <c r="AI182" s="4">
        <v>6</v>
      </c>
      <c r="AJ182" s="4">
        <v>8</v>
      </c>
      <c r="AK182" s="4">
        <v>8</v>
      </c>
      <c r="AL182" s="4">
        <v>1</v>
      </c>
      <c r="AM182" s="4">
        <v>1</v>
      </c>
      <c r="AN182" s="4">
        <v>0</v>
      </c>
      <c r="AO182" s="4">
        <v>0</v>
      </c>
      <c r="AP182" s="3" t="s">
        <v>58</v>
      </c>
      <c r="AQ182" s="3" t="s">
        <v>87</v>
      </c>
      <c r="AR182" s="6" t="str">
        <f>HYPERLINK("http://catalog.hathitrust.org/Record/003052775","HathiTrust Record")</f>
        <v>HathiTrust Record</v>
      </c>
      <c r="AS182" s="6" t="str">
        <f>HYPERLINK("https://creighton-primo.hosted.exlibrisgroup.com/primo-explore/search?tab=default_tab&amp;search_scope=EVERYTHING&amp;vid=01CRU&amp;lang=en_US&amp;offset=0&amp;query=any,contains,991002590879702656","Catalog Record")</f>
        <v>Catalog Record</v>
      </c>
      <c r="AT182" s="6" t="str">
        <f>HYPERLINK("http://www.worldcat.org/oclc/33948190","WorldCat Record")</f>
        <v>WorldCat Record</v>
      </c>
      <c r="AU182" s="3" t="s">
        <v>2547</v>
      </c>
      <c r="AV182" s="3" t="s">
        <v>2548</v>
      </c>
      <c r="AW182" s="3" t="s">
        <v>2549</v>
      </c>
      <c r="AX182" s="3" t="s">
        <v>2549</v>
      </c>
      <c r="AY182" s="3" t="s">
        <v>2550</v>
      </c>
      <c r="AZ182" s="3" t="s">
        <v>74</v>
      </c>
      <c r="BB182" s="3" t="s">
        <v>2551</v>
      </c>
      <c r="BC182" s="3" t="s">
        <v>2552</v>
      </c>
      <c r="BD182" s="3" t="s">
        <v>2553</v>
      </c>
    </row>
    <row r="183" spans="1:56" ht="45.75" customHeight="1" x14ac:dyDescent="0.25">
      <c r="A183" s="7" t="s">
        <v>58</v>
      </c>
      <c r="B183" s="2" t="s">
        <v>2554</v>
      </c>
      <c r="C183" s="2" t="s">
        <v>2555</v>
      </c>
      <c r="D183" s="2" t="s">
        <v>2556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2557</v>
      </c>
      <c r="L183" s="2" t="s">
        <v>2558</v>
      </c>
      <c r="M183" s="3" t="s">
        <v>1500</v>
      </c>
      <c r="O183" s="3" t="s">
        <v>65</v>
      </c>
      <c r="P183" s="3" t="s">
        <v>132</v>
      </c>
      <c r="Q183" s="2" t="s">
        <v>2559</v>
      </c>
      <c r="R183" s="3" t="s">
        <v>67</v>
      </c>
      <c r="S183" s="4">
        <v>5</v>
      </c>
      <c r="T183" s="4">
        <v>5</v>
      </c>
      <c r="U183" s="5" t="s">
        <v>1919</v>
      </c>
      <c r="V183" s="5" t="s">
        <v>1919</v>
      </c>
      <c r="W183" s="5" t="s">
        <v>715</v>
      </c>
      <c r="X183" s="5" t="s">
        <v>715</v>
      </c>
      <c r="Y183" s="4">
        <v>373</v>
      </c>
      <c r="Z183" s="4">
        <v>288</v>
      </c>
      <c r="AA183" s="4">
        <v>290</v>
      </c>
      <c r="AB183" s="4">
        <v>2</v>
      </c>
      <c r="AC183" s="4">
        <v>2</v>
      </c>
      <c r="AD183" s="4">
        <v>11</v>
      </c>
      <c r="AE183" s="4">
        <v>11</v>
      </c>
      <c r="AF183" s="4">
        <v>4</v>
      </c>
      <c r="AG183" s="4">
        <v>4</v>
      </c>
      <c r="AH183" s="4">
        <v>3</v>
      </c>
      <c r="AI183" s="4">
        <v>3</v>
      </c>
      <c r="AJ183" s="4">
        <v>7</v>
      </c>
      <c r="AK183" s="4">
        <v>7</v>
      </c>
      <c r="AL183" s="4">
        <v>1</v>
      </c>
      <c r="AM183" s="4">
        <v>1</v>
      </c>
      <c r="AN183" s="4">
        <v>0</v>
      </c>
      <c r="AO183" s="4">
        <v>0</v>
      </c>
      <c r="AP183" s="3" t="s">
        <v>58</v>
      </c>
      <c r="AQ183" s="3" t="s">
        <v>87</v>
      </c>
      <c r="AR183" s="6" t="str">
        <f>HYPERLINK("http://catalog.hathitrust.org/Record/000032039","HathiTrust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HYPERLINK("https://creighton-primo.hosted.exlibrisgroup.com/primo-explore/search?tab=default_tab&amp;search_scope=EVERYTHING&amp;vid=01CRU&amp;lang=en_US&amp;offset=0&amp;query=any,contains,991004878139702656","Catalog Record")</f>
        <v>Catalog Record</v>
      </c>
      <c r="AT183" s="6" t="str">
        <f>HYPERLINK("http://www.worldcat.org/oclc/5799931","WorldCat Record")</f>
        <v>WorldCat Record</v>
      </c>
      <c r="AU183" s="3" t="s">
        <v>2560</v>
      </c>
      <c r="AV183" s="3" t="s">
        <v>2561</v>
      </c>
      <c r="AW183" s="3" t="s">
        <v>2562</v>
      </c>
      <c r="AX183" s="3" t="s">
        <v>2562</v>
      </c>
      <c r="AY183" s="3" t="s">
        <v>2563</v>
      </c>
      <c r="AZ183" s="3" t="s">
        <v>74</v>
      </c>
      <c r="BB183" s="3" t="s">
        <v>2564</v>
      </c>
      <c r="BC183" s="3" t="s">
        <v>2565</v>
      </c>
      <c r="BD183" s="3" t="s">
        <v>2566</v>
      </c>
    </row>
    <row r="184" spans="1:56" ht="45.75" customHeight="1" x14ac:dyDescent="0.25">
      <c r="A184" s="7" t="s">
        <v>58</v>
      </c>
      <c r="B184" s="2" t="s">
        <v>2567</v>
      </c>
      <c r="C184" s="2" t="s">
        <v>2568</v>
      </c>
      <c r="D184" s="2" t="s">
        <v>2569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K184" s="2" t="s">
        <v>2570</v>
      </c>
      <c r="L184" s="2" t="s">
        <v>2571</v>
      </c>
      <c r="M184" s="3" t="s">
        <v>923</v>
      </c>
      <c r="O184" s="3" t="s">
        <v>65</v>
      </c>
      <c r="P184" s="3" t="s">
        <v>84</v>
      </c>
      <c r="R184" s="3" t="s">
        <v>67</v>
      </c>
      <c r="S184" s="4">
        <v>2</v>
      </c>
      <c r="T184" s="4">
        <v>2</v>
      </c>
      <c r="U184" s="5" t="s">
        <v>2572</v>
      </c>
      <c r="V184" s="5" t="s">
        <v>2572</v>
      </c>
      <c r="W184" s="5" t="s">
        <v>2573</v>
      </c>
      <c r="X184" s="5" t="s">
        <v>2573</v>
      </c>
      <c r="Y184" s="4">
        <v>339</v>
      </c>
      <c r="Z184" s="4">
        <v>267</v>
      </c>
      <c r="AA184" s="4">
        <v>412</v>
      </c>
      <c r="AB184" s="4">
        <v>3</v>
      </c>
      <c r="AC184" s="4">
        <v>3</v>
      </c>
      <c r="AD184" s="4">
        <v>10</v>
      </c>
      <c r="AE184" s="4">
        <v>19</v>
      </c>
      <c r="AF184" s="4">
        <v>4</v>
      </c>
      <c r="AG184" s="4">
        <v>7</v>
      </c>
      <c r="AH184" s="4">
        <v>3</v>
      </c>
      <c r="AI184" s="4">
        <v>6</v>
      </c>
      <c r="AJ184" s="4">
        <v>5</v>
      </c>
      <c r="AK184" s="4">
        <v>10</v>
      </c>
      <c r="AL184" s="4">
        <v>2</v>
      </c>
      <c r="AM184" s="4">
        <v>2</v>
      </c>
      <c r="AN184" s="4">
        <v>0</v>
      </c>
      <c r="AO184" s="4">
        <v>0</v>
      </c>
      <c r="AP184" s="3" t="s">
        <v>58</v>
      </c>
      <c r="AQ184" s="3" t="s">
        <v>58</v>
      </c>
      <c r="AS184" s="6" t="str">
        <f>HYPERLINK("https://creighton-primo.hosted.exlibrisgroup.com/primo-explore/search?tab=default_tab&amp;search_scope=EVERYTHING&amp;vid=01CRU&amp;lang=en_US&amp;offset=0&amp;query=any,contains,991005141649702656","Catalog Record")</f>
        <v>Catalog Record</v>
      </c>
      <c r="AT184" s="6" t="str">
        <f>HYPERLINK("http://www.worldcat.org/oclc/7615033","WorldCat Record")</f>
        <v>WorldCat Record</v>
      </c>
      <c r="AU184" s="3" t="s">
        <v>2574</v>
      </c>
      <c r="AV184" s="3" t="s">
        <v>2575</v>
      </c>
      <c r="AW184" s="3" t="s">
        <v>2576</v>
      </c>
      <c r="AX184" s="3" t="s">
        <v>2576</v>
      </c>
      <c r="AY184" s="3" t="s">
        <v>2577</v>
      </c>
      <c r="AZ184" s="3" t="s">
        <v>74</v>
      </c>
      <c r="BB184" s="3" t="s">
        <v>2578</v>
      </c>
      <c r="BC184" s="3" t="s">
        <v>2579</v>
      </c>
      <c r="BD184" s="3" t="s">
        <v>2580</v>
      </c>
    </row>
    <row r="185" spans="1:56" ht="45.75" customHeight="1" x14ac:dyDescent="0.25">
      <c r="A185" s="7" t="s">
        <v>58</v>
      </c>
      <c r="B185" s="2" t="s">
        <v>2581</v>
      </c>
      <c r="C185" s="2" t="s">
        <v>2582</v>
      </c>
      <c r="D185" s="2" t="s">
        <v>2583</v>
      </c>
      <c r="F185" s="3" t="s">
        <v>58</v>
      </c>
      <c r="G185" s="3" t="s">
        <v>59</v>
      </c>
      <c r="H185" s="3" t="s">
        <v>58</v>
      </c>
      <c r="I185" s="3" t="s">
        <v>87</v>
      </c>
      <c r="J185" s="3" t="s">
        <v>60</v>
      </c>
      <c r="L185" s="2" t="s">
        <v>2584</v>
      </c>
      <c r="M185" s="3" t="s">
        <v>290</v>
      </c>
      <c r="O185" s="3" t="s">
        <v>65</v>
      </c>
      <c r="P185" s="3" t="s">
        <v>148</v>
      </c>
      <c r="R185" s="3" t="s">
        <v>67</v>
      </c>
      <c r="S185" s="4">
        <v>3</v>
      </c>
      <c r="T185" s="4">
        <v>3</v>
      </c>
      <c r="U185" s="5" t="s">
        <v>2585</v>
      </c>
      <c r="V185" s="5" t="s">
        <v>2585</v>
      </c>
      <c r="W185" s="5" t="s">
        <v>2586</v>
      </c>
      <c r="X185" s="5" t="s">
        <v>2586</v>
      </c>
      <c r="Y185" s="4">
        <v>210</v>
      </c>
      <c r="Z185" s="4">
        <v>169</v>
      </c>
      <c r="AA185" s="4">
        <v>261</v>
      </c>
      <c r="AB185" s="4">
        <v>1</v>
      </c>
      <c r="AC185" s="4">
        <v>1</v>
      </c>
      <c r="AD185" s="4">
        <v>11</v>
      </c>
      <c r="AE185" s="4">
        <v>12</v>
      </c>
      <c r="AF185" s="4">
        <v>3</v>
      </c>
      <c r="AG185" s="4">
        <v>3</v>
      </c>
      <c r="AH185" s="4">
        <v>1</v>
      </c>
      <c r="AI185" s="4">
        <v>2</v>
      </c>
      <c r="AJ185" s="4">
        <v>10</v>
      </c>
      <c r="AK185" s="4">
        <v>11</v>
      </c>
      <c r="AL185" s="4">
        <v>0</v>
      </c>
      <c r="AM185" s="4">
        <v>0</v>
      </c>
      <c r="AN185" s="4">
        <v>0</v>
      </c>
      <c r="AO185" s="4">
        <v>0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HYPERLINK("https://creighton-primo.hosted.exlibrisgroup.com/primo-explore/search?tab=default_tab&amp;search_scope=EVERYTHING&amp;vid=01CRU&amp;lang=en_US&amp;offset=0&amp;query=any,contains,991004424229702656","Catalog Record")</f>
        <v>Catalog Record</v>
      </c>
      <c r="AT185" s="6" t="str">
        <f>HYPERLINK("http://www.worldcat.org/oclc/44634344","WorldCat Record")</f>
        <v>WorldCat Record</v>
      </c>
      <c r="AU185" s="3" t="s">
        <v>2587</v>
      </c>
      <c r="AV185" s="3" t="s">
        <v>2588</v>
      </c>
      <c r="AW185" s="3" t="s">
        <v>2589</v>
      </c>
      <c r="AX185" s="3" t="s">
        <v>2589</v>
      </c>
      <c r="AY185" s="3" t="s">
        <v>2590</v>
      </c>
      <c r="AZ185" s="3" t="s">
        <v>74</v>
      </c>
      <c r="BB185" s="3" t="s">
        <v>2591</v>
      </c>
      <c r="BC185" s="3" t="s">
        <v>2592</v>
      </c>
      <c r="BD185" s="3" t="s">
        <v>2593</v>
      </c>
    </row>
    <row r="186" spans="1:56" ht="45.75" customHeight="1" x14ac:dyDescent="0.25">
      <c r="A186" s="7" t="s">
        <v>58</v>
      </c>
      <c r="B186" s="2" t="s">
        <v>2594</v>
      </c>
      <c r="C186" s="2" t="s">
        <v>2595</v>
      </c>
      <c r="D186" s="2" t="s">
        <v>2596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L186" s="2" t="s">
        <v>2597</v>
      </c>
      <c r="M186" s="3" t="s">
        <v>1058</v>
      </c>
      <c r="O186" s="3" t="s">
        <v>65</v>
      </c>
      <c r="P186" s="3" t="s">
        <v>772</v>
      </c>
      <c r="R186" s="3" t="s">
        <v>67</v>
      </c>
      <c r="S186" s="4">
        <v>8</v>
      </c>
      <c r="T186" s="4">
        <v>8</v>
      </c>
      <c r="U186" s="5" t="s">
        <v>2598</v>
      </c>
      <c r="V186" s="5" t="s">
        <v>2598</v>
      </c>
      <c r="W186" s="5" t="s">
        <v>2599</v>
      </c>
      <c r="X186" s="5" t="s">
        <v>2599</v>
      </c>
      <c r="Y186" s="4">
        <v>640</v>
      </c>
      <c r="Z186" s="4">
        <v>574</v>
      </c>
      <c r="AA186" s="4">
        <v>600</v>
      </c>
      <c r="AB186" s="4">
        <v>6</v>
      </c>
      <c r="AC186" s="4">
        <v>6</v>
      </c>
      <c r="AD186" s="4">
        <v>27</v>
      </c>
      <c r="AE186" s="4">
        <v>28</v>
      </c>
      <c r="AF186" s="4">
        <v>11</v>
      </c>
      <c r="AG186" s="4">
        <v>12</v>
      </c>
      <c r="AH186" s="4">
        <v>6</v>
      </c>
      <c r="AI186" s="4">
        <v>6</v>
      </c>
      <c r="AJ186" s="4">
        <v>9</v>
      </c>
      <c r="AK186" s="4">
        <v>9</v>
      </c>
      <c r="AL186" s="4">
        <v>5</v>
      </c>
      <c r="AM186" s="4">
        <v>5</v>
      </c>
      <c r="AN186" s="4">
        <v>0</v>
      </c>
      <c r="AO186" s="4">
        <v>0</v>
      </c>
      <c r="AP186" s="3" t="s">
        <v>58</v>
      </c>
      <c r="AQ186" s="3" t="s">
        <v>87</v>
      </c>
      <c r="AR186" s="6" t="str">
        <f>HYPERLINK("http://catalog.hathitrust.org/Record/000927964","HathiTrust Record")</f>
        <v>HathiTrust Record</v>
      </c>
      <c r="AS186" s="6" t="str">
        <f>HYPERLINK("https://creighton-primo.hosted.exlibrisgroup.com/primo-explore/search?tab=default_tab&amp;search_scope=EVERYTHING&amp;vid=01CRU&amp;lang=en_US&amp;offset=0&amp;query=any,contains,991001162939702656","Catalog Record")</f>
        <v>Catalog Record</v>
      </c>
      <c r="AT186" s="6" t="str">
        <f>HYPERLINK("http://www.worldcat.org/oclc/16901344","WorldCat Record")</f>
        <v>WorldCat Record</v>
      </c>
      <c r="AU186" s="3" t="s">
        <v>2600</v>
      </c>
      <c r="AV186" s="3" t="s">
        <v>2601</v>
      </c>
      <c r="AW186" s="3" t="s">
        <v>2602</v>
      </c>
      <c r="AX186" s="3" t="s">
        <v>2602</v>
      </c>
      <c r="AY186" s="3" t="s">
        <v>2603</v>
      </c>
      <c r="AZ186" s="3" t="s">
        <v>74</v>
      </c>
      <c r="BB186" s="3" t="s">
        <v>2604</v>
      </c>
      <c r="BC186" s="3" t="s">
        <v>2605</v>
      </c>
      <c r="BD186" s="3" t="s">
        <v>2606</v>
      </c>
    </row>
    <row r="187" spans="1:56" ht="45.75" customHeight="1" x14ac:dyDescent="0.25">
      <c r="A187" s="7" t="s">
        <v>58</v>
      </c>
      <c r="B187" s="2" t="s">
        <v>2607</v>
      </c>
      <c r="C187" s="2" t="s">
        <v>2608</v>
      </c>
      <c r="D187" s="2" t="s">
        <v>2609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2610</v>
      </c>
      <c r="L187" s="2" t="s">
        <v>2611</v>
      </c>
      <c r="M187" s="3" t="s">
        <v>248</v>
      </c>
      <c r="N187" s="2" t="s">
        <v>64</v>
      </c>
      <c r="O187" s="3" t="s">
        <v>65</v>
      </c>
      <c r="P187" s="3" t="s">
        <v>190</v>
      </c>
      <c r="R187" s="3" t="s">
        <v>67</v>
      </c>
      <c r="S187" s="4">
        <v>1</v>
      </c>
      <c r="T187" s="4">
        <v>1</v>
      </c>
      <c r="U187" s="5" t="s">
        <v>2612</v>
      </c>
      <c r="V187" s="5" t="s">
        <v>2612</v>
      </c>
      <c r="W187" s="5" t="s">
        <v>2612</v>
      </c>
      <c r="X187" s="5" t="s">
        <v>2612</v>
      </c>
      <c r="Y187" s="4">
        <v>164</v>
      </c>
      <c r="Z187" s="4">
        <v>140</v>
      </c>
      <c r="AA187" s="4">
        <v>146</v>
      </c>
      <c r="AB187" s="4">
        <v>2</v>
      </c>
      <c r="AC187" s="4">
        <v>2</v>
      </c>
      <c r="AD187" s="4">
        <v>6</v>
      </c>
      <c r="AE187" s="4">
        <v>7</v>
      </c>
      <c r="AF187" s="4">
        <v>1</v>
      </c>
      <c r="AG187" s="4">
        <v>2</v>
      </c>
      <c r="AH187" s="4">
        <v>1</v>
      </c>
      <c r="AI187" s="4">
        <v>2</v>
      </c>
      <c r="AJ187" s="4">
        <v>3</v>
      </c>
      <c r="AK187" s="4">
        <v>3</v>
      </c>
      <c r="AL187" s="4">
        <v>1</v>
      </c>
      <c r="AM187" s="4">
        <v>1</v>
      </c>
      <c r="AN187" s="4">
        <v>0</v>
      </c>
      <c r="AO187" s="4">
        <v>0</v>
      </c>
      <c r="AP187" s="3" t="s">
        <v>58</v>
      </c>
      <c r="AQ187" s="3" t="s">
        <v>87</v>
      </c>
      <c r="AR187" s="6" t="str">
        <f>HYPERLINK("http://catalog.hathitrust.org/Record/005563522","HathiTrust Record")</f>
        <v>HathiTrust Record</v>
      </c>
      <c r="AS187" s="6" t="str">
        <f>HYPERLINK("https://creighton-primo.hosted.exlibrisgroup.com/primo-explore/search?tab=default_tab&amp;search_scope=EVERYTHING&amp;vid=01CRU&amp;lang=en_US&amp;offset=0&amp;query=any,contains,991005167299702656","Catalog Record")</f>
        <v>Catalog Record</v>
      </c>
      <c r="AT187" s="6" t="str">
        <f>HYPERLINK("http://www.worldcat.org/oclc/70175006","WorldCat Record")</f>
        <v>WorldCat Record</v>
      </c>
      <c r="AU187" s="3" t="s">
        <v>2613</v>
      </c>
      <c r="AV187" s="3" t="s">
        <v>2614</v>
      </c>
      <c r="AW187" s="3" t="s">
        <v>2615</v>
      </c>
      <c r="AX187" s="3" t="s">
        <v>2615</v>
      </c>
      <c r="AY187" s="3" t="s">
        <v>2616</v>
      </c>
      <c r="AZ187" s="3" t="s">
        <v>74</v>
      </c>
      <c r="BB187" s="3" t="s">
        <v>2617</v>
      </c>
      <c r="BC187" s="3" t="s">
        <v>2618</v>
      </c>
      <c r="BD187" s="3" t="s">
        <v>2619</v>
      </c>
    </row>
    <row r="188" spans="1:56" ht="45.75" customHeight="1" x14ac:dyDescent="0.25">
      <c r="A188" s="7" t="s">
        <v>58</v>
      </c>
      <c r="B188" s="2" t="s">
        <v>2620</v>
      </c>
      <c r="C188" s="2" t="s">
        <v>2621</v>
      </c>
      <c r="D188" s="2" t="s">
        <v>2622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L188" s="2" t="s">
        <v>2623</v>
      </c>
      <c r="M188" s="3" t="s">
        <v>713</v>
      </c>
      <c r="O188" s="3" t="s">
        <v>65</v>
      </c>
      <c r="P188" s="3" t="s">
        <v>772</v>
      </c>
      <c r="R188" s="3" t="s">
        <v>67</v>
      </c>
      <c r="S188" s="4">
        <v>11</v>
      </c>
      <c r="T188" s="4">
        <v>11</v>
      </c>
      <c r="U188" s="5" t="s">
        <v>2624</v>
      </c>
      <c r="V188" s="5" t="s">
        <v>2624</v>
      </c>
      <c r="W188" s="5" t="s">
        <v>1211</v>
      </c>
      <c r="X188" s="5" t="s">
        <v>1211</v>
      </c>
      <c r="Y188" s="4">
        <v>479</v>
      </c>
      <c r="Z188" s="4">
        <v>442</v>
      </c>
      <c r="AA188" s="4">
        <v>444</v>
      </c>
      <c r="AB188" s="4">
        <v>7</v>
      </c>
      <c r="AC188" s="4">
        <v>7</v>
      </c>
      <c r="AD188" s="4">
        <v>26</v>
      </c>
      <c r="AE188" s="4">
        <v>26</v>
      </c>
      <c r="AF188" s="4">
        <v>11</v>
      </c>
      <c r="AG188" s="4">
        <v>11</v>
      </c>
      <c r="AH188" s="4">
        <v>3</v>
      </c>
      <c r="AI188" s="4">
        <v>3</v>
      </c>
      <c r="AJ188" s="4">
        <v>10</v>
      </c>
      <c r="AK188" s="4">
        <v>10</v>
      </c>
      <c r="AL188" s="4">
        <v>6</v>
      </c>
      <c r="AM188" s="4">
        <v>6</v>
      </c>
      <c r="AN188" s="4">
        <v>0</v>
      </c>
      <c r="AO188" s="4">
        <v>0</v>
      </c>
      <c r="AP188" s="3" t="s">
        <v>58</v>
      </c>
      <c r="AQ188" s="3" t="s">
        <v>87</v>
      </c>
      <c r="AR188" s="6" t="str">
        <f>HYPERLINK("http://catalog.hathitrust.org/Record/000268089","HathiTrust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HYPERLINK("https://creighton-primo.hosted.exlibrisgroup.com/primo-explore/search?tab=default_tab&amp;search_scope=EVERYTHING&amp;vid=01CRU&amp;lang=en_US&amp;offset=0&amp;query=any,contains,991005168199702656","Catalog Record")</f>
        <v>Catalog Record</v>
      </c>
      <c r="AT188" s="6" t="str">
        <f>HYPERLINK("http://www.worldcat.org/oclc/7837313","WorldCat Record")</f>
        <v>WorldCat Record</v>
      </c>
      <c r="AU188" s="3" t="s">
        <v>2625</v>
      </c>
      <c r="AV188" s="3" t="s">
        <v>2626</v>
      </c>
      <c r="AW188" s="3" t="s">
        <v>2627</v>
      </c>
      <c r="AX188" s="3" t="s">
        <v>2627</v>
      </c>
      <c r="AY188" s="3" t="s">
        <v>2628</v>
      </c>
      <c r="AZ188" s="3" t="s">
        <v>74</v>
      </c>
      <c r="BB188" s="3" t="s">
        <v>2629</v>
      </c>
      <c r="BC188" s="3" t="s">
        <v>2630</v>
      </c>
      <c r="BD188" s="3" t="s">
        <v>2631</v>
      </c>
    </row>
    <row r="189" spans="1:56" ht="45.75" customHeight="1" x14ac:dyDescent="0.25">
      <c r="A189" s="7" t="s">
        <v>58</v>
      </c>
      <c r="B189" s="2" t="s">
        <v>2632</v>
      </c>
      <c r="C189" s="2" t="s">
        <v>2633</v>
      </c>
      <c r="D189" s="2" t="s">
        <v>2634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L189" s="2" t="s">
        <v>2635</v>
      </c>
      <c r="M189" s="3" t="s">
        <v>923</v>
      </c>
      <c r="O189" s="3" t="s">
        <v>65</v>
      </c>
      <c r="P189" s="3" t="s">
        <v>336</v>
      </c>
      <c r="R189" s="3" t="s">
        <v>67</v>
      </c>
      <c r="S189" s="4">
        <v>5</v>
      </c>
      <c r="T189" s="4">
        <v>5</v>
      </c>
      <c r="U189" s="5" t="s">
        <v>2636</v>
      </c>
      <c r="V189" s="5" t="s">
        <v>2636</v>
      </c>
      <c r="W189" s="5" t="s">
        <v>1211</v>
      </c>
      <c r="X189" s="5" t="s">
        <v>1211</v>
      </c>
      <c r="Y189" s="4">
        <v>260</v>
      </c>
      <c r="Z189" s="4">
        <v>217</v>
      </c>
      <c r="AA189" s="4">
        <v>387</v>
      </c>
      <c r="AB189" s="4">
        <v>2</v>
      </c>
      <c r="AC189" s="4">
        <v>4</v>
      </c>
      <c r="AD189" s="4">
        <v>8</v>
      </c>
      <c r="AE189" s="4">
        <v>18</v>
      </c>
      <c r="AF189" s="4">
        <v>4</v>
      </c>
      <c r="AG189" s="4">
        <v>7</v>
      </c>
      <c r="AH189" s="4">
        <v>2</v>
      </c>
      <c r="AI189" s="4">
        <v>5</v>
      </c>
      <c r="AJ189" s="4">
        <v>2</v>
      </c>
      <c r="AK189" s="4">
        <v>6</v>
      </c>
      <c r="AL189" s="4">
        <v>1</v>
      </c>
      <c r="AM189" s="4">
        <v>3</v>
      </c>
      <c r="AN189" s="4">
        <v>0</v>
      </c>
      <c r="AO189" s="4">
        <v>0</v>
      </c>
      <c r="AP189" s="3" t="s">
        <v>58</v>
      </c>
      <c r="AQ189" s="3" t="s">
        <v>87</v>
      </c>
      <c r="AR189" s="6" t="str">
        <f>HYPERLINK("http://catalog.hathitrust.org/Record/003865990","HathiTrust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HYPERLINK("https://creighton-primo.hosted.exlibrisgroup.com/primo-explore/search?tab=default_tab&amp;search_scope=EVERYTHING&amp;vid=01CRU&amp;lang=en_US&amp;offset=0&amp;query=any,contains,991005162219702656","Catalog Record")</f>
        <v>Catalog Record</v>
      </c>
      <c r="AT189" s="6" t="str">
        <f>HYPERLINK("http://www.worldcat.org/oclc/7796016","WorldCat Record")</f>
        <v>WorldCat Record</v>
      </c>
      <c r="AU189" s="3" t="s">
        <v>2637</v>
      </c>
      <c r="AV189" s="3" t="s">
        <v>2638</v>
      </c>
      <c r="AW189" s="3" t="s">
        <v>2639</v>
      </c>
      <c r="AX189" s="3" t="s">
        <v>2639</v>
      </c>
      <c r="AY189" s="3" t="s">
        <v>2640</v>
      </c>
      <c r="AZ189" s="3" t="s">
        <v>74</v>
      </c>
      <c r="BB189" s="3" t="s">
        <v>2641</v>
      </c>
      <c r="BC189" s="3" t="s">
        <v>2642</v>
      </c>
      <c r="BD189" s="3" t="s">
        <v>2643</v>
      </c>
    </row>
    <row r="190" spans="1:56" ht="45.75" customHeight="1" x14ac:dyDescent="0.25">
      <c r="A190" s="7" t="s">
        <v>58</v>
      </c>
      <c r="B190" s="2" t="s">
        <v>2644</v>
      </c>
      <c r="C190" s="2" t="s">
        <v>2645</v>
      </c>
      <c r="D190" s="2" t="s">
        <v>2646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2647</v>
      </c>
      <c r="L190" s="2" t="s">
        <v>2648</v>
      </c>
      <c r="M190" s="3" t="s">
        <v>162</v>
      </c>
      <c r="O190" s="3" t="s">
        <v>65</v>
      </c>
      <c r="P190" s="3" t="s">
        <v>175</v>
      </c>
      <c r="R190" s="3" t="s">
        <v>67</v>
      </c>
      <c r="S190" s="4">
        <v>1</v>
      </c>
      <c r="T190" s="4">
        <v>1</v>
      </c>
      <c r="U190" s="5" t="s">
        <v>250</v>
      </c>
      <c r="V190" s="5" t="s">
        <v>250</v>
      </c>
      <c r="W190" s="5" t="s">
        <v>250</v>
      </c>
      <c r="X190" s="5" t="s">
        <v>250</v>
      </c>
      <c r="Y190" s="4">
        <v>380</v>
      </c>
      <c r="Z190" s="4">
        <v>277</v>
      </c>
      <c r="AA190" s="4">
        <v>280</v>
      </c>
      <c r="AB190" s="4">
        <v>2</v>
      </c>
      <c r="AC190" s="4">
        <v>2</v>
      </c>
      <c r="AD190" s="4">
        <v>14</v>
      </c>
      <c r="AE190" s="4">
        <v>14</v>
      </c>
      <c r="AF190" s="4">
        <v>4</v>
      </c>
      <c r="AG190" s="4">
        <v>4</v>
      </c>
      <c r="AH190" s="4">
        <v>2</v>
      </c>
      <c r="AI190" s="4">
        <v>2</v>
      </c>
      <c r="AJ190" s="4">
        <v>10</v>
      </c>
      <c r="AK190" s="4">
        <v>10</v>
      </c>
      <c r="AL190" s="4">
        <v>1</v>
      </c>
      <c r="AM190" s="4">
        <v>1</v>
      </c>
      <c r="AN190" s="4">
        <v>0</v>
      </c>
      <c r="AO190" s="4">
        <v>0</v>
      </c>
      <c r="AP190" s="3" t="s">
        <v>58</v>
      </c>
      <c r="AQ190" s="3" t="s">
        <v>58</v>
      </c>
      <c r="AS190" s="6" t="str">
        <f>HYPERLINK("https://creighton-primo.hosted.exlibrisgroup.com/primo-explore/search?tab=default_tab&amp;search_scope=EVERYTHING&amp;vid=01CRU&amp;lang=en_US&amp;offset=0&amp;query=any,contains,991005293559702656","Catalog Record")</f>
        <v>Catalog Record</v>
      </c>
      <c r="AT190" s="6" t="str">
        <f>HYPERLINK("http://www.worldcat.org/oclc/176925626","WorldCat Record")</f>
        <v>WorldCat Record</v>
      </c>
      <c r="AU190" s="3" t="s">
        <v>2649</v>
      </c>
      <c r="AV190" s="3" t="s">
        <v>2650</v>
      </c>
      <c r="AW190" s="3" t="s">
        <v>2651</v>
      </c>
      <c r="AX190" s="3" t="s">
        <v>2651</v>
      </c>
      <c r="AY190" s="3" t="s">
        <v>2652</v>
      </c>
      <c r="AZ190" s="3" t="s">
        <v>74</v>
      </c>
      <c r="BB190" s="3" t="s">
        <v>2653</v>
      </c>
      <c r="BC190" s="3" t="s">
        <v>2654</v>
      </c>
      <c r="BD190" s="3" t="s">
        <v>2655</v>
      </c>
    </row>
    <row r="191" spans="1:56" ht="45.75" customHeight="1" x14ac:dyDescent="0.25">
      <c r="A191" s="7" t="s">
        <v>58</v>
      </c>
      <c r="B191" s="2" t="s">
        <v>2656</v>
      </c>
      <c r="C191" s="2" t="s">
        <v>2657</v>
      </c>
      <c r="D191" s="2" t="s">
        <v>2658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L191" s="2" t="s">
        <v>2659</v>
      </c>
      <c r="M191" s="3" t="s">
        <v>263</v>
      </c>
      <c r="O191" s="3" t="s">
        <v>65</v>
      </c>
      <c r="P191" s="3" t="s">
        <v>1282</v>
      </c>
      <c r="R191" s="3" t="s">
        <v>67</v>
      </c>
      <c r="S191" s="4">
        <v>5</v>
      </c>
      <c r="T191" s="4">
        <v>5</v>
      </c>
      <c r="U191" s="5" t="s">
        <v>2660</v>
      </c>
      <c r="V191" s="5" t="s">
        <v>2660</v>
      </c>
      <c r="W191" s="5" t="s">
        <v>2661</v>
      </c>
      <c r="X191" s="5" t="s">
        <v>2661</v>
      </c>
      <c r="Y191" s="4">
        <v>312</v>
      </c>
      <c r="Z191" s="4">
        <v>289</v>
      </c>
      <c r="AA191" s="4">
        <v>497</v>
      </c>
      <c r="AB191" s="4">
        <v>1</v>
      </c>
      <c r="AC191" s="4">
        <v>3</v>
      </c>
      <c r="AD191" s="4">
        <v>12</v>
      </c>
      <c r="AE191" s="4">
        <v>21</v>
      </c>
      <c r="AF191" s="4">
        <v>3</v>
      </c>
      <c r="AG191" s="4">
        <v>8</v>
      </c>
      <c r="AH191" s="4">
        <v>5</v>
      </c>
      <c r="AI191" s="4">
        <v>6</v>
      </c>
      <c r="AJ191" s="4">
        <v>9</v>
      </c>
      <c r="AK191" s="4">
        <v>13</v>
      </c>
      <c r="AL191" s="4">
        <v>0</v>
      </c>
      <c r="AM191" s="4">
        <v>2</v>
      </c>
      <c r="AN191" s="4">
        <v>0</v>
      </c>
      <c r="AO191" s="4">
        <v>0</v>
      </c>
      <c r="AP191" s="3" t="s">
        <v>58</v>
      </c>
      <c r="AQ191" s="3" t="s">
        <v>87</v>
      </c>
      <c r="AR191" s="6" t="str">
        <f>HYPERLINK("http://catalog.hathitrust.org/Record/003071609","HathiTrust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HYPERLINK("https://creighton-primo.hosted.exlibrisgroup.com/primo-explore/search?tab=default_tab&amp;search_scope=EVERYTHING&amp;vid=01CRU&amp;lang=en_US&amp;offset=0&amp;query=any,contains,991002615349702656","Catalog Record")</f>
        <v>Catalog Record</v>
      </c>
      <c r="AT191" s="6" t="str">
        <f>HYPERLINK("http://www.worldcat.org/oclc/34283280","WorldCat Record")</f>
        <v>WorldCat Record</v>
      </c>
      <c r="AU191" s="3" t="s">
        <v>2662</v>
      </c>
      <c r="AV191" s="3" t="s">
        <v>2663</v>
      </c>
      <c r="AW191" s="3" t="s">
        <v>2664</v>
      </c>
      <c r="AX191" s="3" t="s">
        <v>2664</v>
      </c>
      <c r="AY191" s="3" t="s">
        <v>2665</v>
      </c>
      <c r="AZ191" s="3" t="s">
        <v>74</v>
      </c>
      <c r="BB191" s="3" t="s">
        <v>2666</v>
      </c>
      <c r="BC191" s="3" t="s">
        <v>2667</v>
      </c>
      <c r="BD191" s="3" t="s">
        <v>2668</v>
      </c>
    </row>
    <row r="192" spans="1:56" ht="45.75" customHeight="1" x14ac:dyDescent="0.25">
      <c r="A192" s="7" t="s">
        <v>58</v>
      </c>
      <c r="B192" s="2" t="s">
        <v>2669</v>
      </c>
      <c r="C192" s="2" t="s">
        <v>2670</v>
      </c>
      <c r="D192" s="2" t="s">
        <v>2671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K192" s="2" t="s">
        <v>2672</v>
      </c>
      <c r="L192" s="2" t="s">
        <v>2673</v>
      </c>
      <c r="M192" s="3" t="s">
        <v>203</v>
      </c>
      <c r="O192" s="3" t="s">
        <v>65</v>
      </c>
      <c r="P192" s="3" t="s">
        <v>66</v>
      </c>
      <c r="R192" s="3" t="s">
        <v>67</v>
      </c>
      <c r="S192" s="4">
        <v>1</v>
      </c>
      <c r="T192" s="4">
        <v>1</v>
      </c>
      <c r="U192" s="5" t="s">
        <v>2674</v>
      </c>
      <c r="V192" s="5" t="s">
        <v>2674</v>
      </c>
      <c r="W192" s="5" t="s">
        <v>2674</v>
      </c>
      <c r="X192" s="5" t="s">
        <v>2674</v>
      </c>
      <c r="Y192" s="4">
        <v>467</v>
      </c>
      <c r="Z192" s="4">
        <v>449</v>
      </c>
      <c r="AA192" s="4">
        <v>474</v>
      </c>
      <c r="AB192" s="4">
        <v>6</v>
      </c>
      <c r="AC192" s="4">
        <v>6</v>
      </c>
      <c r="AD192" s="4">
        <v>27</v>
      </c>
      <c r="AE192" s="4">
        <v>28</v>
      </c>
      <c r="AF192" s="4">
        <v>10</v>
      </c>
      <c r="AG192" s="4">
        <v>11</v>
      </c>
      <c r="AH192" s="4">
        <v>7</v>
      </c>
      <c r="AI192" s="4">
        <v>7</v>
      </c>
      <c r="AJ192" s="4">
        <v>10</v>
      </c>
      <c r="AK192" s="4">
        <v>11</v>
      </c>
      <c r="AL192" s="4">
        <v>5</v>
      </c>
      <c r="AM192" s="4">
        <v>5</v>
      </c>
      <c r="AN192" s="4">
        <v>0</v>
      </c>
      <c r="AO192" s="4">
        <v>0</v>
      </c>
      <c r="AP192" s="3" t="s">
        <v>58</v>
      </c>
      <c r="AQ192" s="3" t="s">
        <v>87</v>
      </c>
      <c r="AR192" s="6" t="str">
        <f>HYPERLINK("http://catalog.hathitrust.org/Record/003839163","HathiTrust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HYPERLINK("https://creighton-primo.hosted.exlibrisgroup.com/primo-explore/search?tab=default_tab&amp;search_scope=EVERYTHING&amp;vid=01CRU&amp;lang=en_US&amp;offset=0&amp;query=any,contains,991004008379702656","Catalog Record")</f>
        <v>Catalog Record</v>
      </c>
      <c r="AT192" s="6" t="str">
        <f>HYPERLINK("http://www.worldcat.org/oclc/49525783","WorldCat Record")</f>
        <v>WorldCat Record</v>
      </c>
      <c r="AU192" s="3" t="s">
        <v>2675</v>
      </c>
      <c r="AV192" s="3" t="s">
        <v>2676</v>
      </c>
      <c r="AW192" s="3" t="s">
        <v>2677</v>
      </c>
      <c r="AX192" s="3" t="s">
        <v>2677</v>
      </c>
      <c r="AY192" s="3" t="s">
        <v>2678</v>
      </c>
      <c r="AZ192" s="3" t="s">
        <v>74</v>
      </c>
      <c r="BB192" s="3" t="s">
        <v>2679</v>
      </c>
      <c r="BC192" s="3" t="s">
        <v>2680</v>
      </c>
      <c r="BD192" s="3" t="s">
        <v>2681</v>
      </c>
    </row>
    <row r="193" spans="1:56" ht="45.75" customHeight="1" x14ac:dyDescent="0.25">
      <c r="A193" s="7" t="s">
        <v>58</v>
      </c>
      <c r="B193" s="2" t="s">
        <v>2682</v>
      </c>
      <c r="C193" s="2" t="s">
        <v>2683</v>
      </c>
      <c r="D193" s="2" t="s">
        <v>2684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L193" s="2" t="s">
        <v>2685</v>
      </c>
      <c r="M193" s="3" t="s">
        <v>162</v>
      </c>
      <c r="O193" s="3" t="s">
        <v>65</v>
      </c>
      <c r="P193" s="3" t="s">
        <v>84</v>
      </c>
      <c r="Q193" s="2" t="s">
        <v>2686</v>
      </c>
      <c r="R193" s="3" t="s">
        <v>67</v>
      </c>
      <c r="S193" s="4">
        <v>1</v>
      </c>
      <c r="T193" s="4">
        <v>1</v>
      </c>
      <c r="U193" s="5" t="s">
        <v>2687</v>
      </c>
      <c r="V193" s="5" t="s">
        <v>2687</v>
      </c>
      <c r="W193" s="5" t="s">
        <v>2687</v>
      </c>
      <c r="X193" s="5" t="s">
        <v>2687</v>
      </c>
      <c r="Y193" s="4">
        <v>358</v>
      </c>
      <c r="Z193" s="4">
        <v>334</v>
      </c>
      <c r="AA193" s="4">
        <v>554</v>
      </c>
      <c r="AB193" s="4">
        <v>4</v>
      </c>
      <c r="AC193" s="4">
        <v>6</v>
      </c>
      <c r="AD193" s="4">
        <v>18</v>
      </c>
      <c r="AE193" s="4">
        <v>27</v>
      </c>
      <c r="AF193" s="4">
        <v>8</v>
      </c>
      <c r="AG193" s="4">
        <v>13</v>
      </c>
      <c r="AH193" s="4">
        <v>2</v>
      </c>
      <c r="AI193" s="4">
        <v>3</v>
      </c>
      <c r="AJ193" s="4">
        <v>9</v>
      </c>
      <c r="AK193" s="4">
        <v>11</v>
      </c>
      <c r="AL193" s="4">
        <v>3</v>
      </c>
      <c r="AM193" s="4">
        <v>5</v>
      </c>
      <c r="AN193" s="4">
        <v>0</v>
      </c>
      <c r="AO193" s="4">
        <v>0</v>
      </c>
      <c r="AP193" s="3" t="s">
        <v>58</v>
      </c>
      <c r="AQ193" s="3" t="s">
        <v>87</v>
      </c>
      <c r="AR193" s="6" t="str">
        <f>HYPERLINK("http://catalog.hathitrust.org/Record/005806039","HathiTrust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HYPERLINK("https://creighton-primo.hosted.exlibrisgroup.com/primo-explore/search?tab=default_tab&amp;search_scope=EVERYTHING&amp;vid=01CRU&amp;lang=en_US&amp;offset=0&amp;query=any,contains,991005255699702656","Catalog Record")</f>
        <v>Catalog Record</v>
      </c>
      <c r="AT193" s="6" t="str">
        <f>HYPERLINK("http://www.worldcat.org/oclc/173659548","WorldCat Record")</f>
        <v>WorldCat Record</v>
      </c>
      <c r="AU193" s="3" t="s">
        <v>2688</v>
      </c>
      <c r="AV193" s="3" t="s">
        <v>2689</v>
      </c>
      <c r="AW193" s="3" t="s">
        <v>2690</v>
      </c>
      <c r="AX193" s="3" t="s">
        <v>2690</v>
      </c>
      <c r="AY193" s="3" t="s">
        <v>2691</v>
      </c>
      <c r="AZ193" s="3" t="s">
        <v>74</v>
      </c>
      <c r="BB193" s="3" t="s">
        <v>2692</v>
      </c>
      <c r="BC193" s="3" t="s">
        <v>2693</v>
      </c>
      <c r="BD193" s="3" t="s">
        <v>2694</v>
      </c>
    </row>
    <row r="194" spans="1:56" ht="45.75" customHeight="1" x14ac:dyDescent="0.25">
      <c r="A194" s="7" t="s">
        <v>58</v>
      </c>
      <c r="B194" s="2" t="s">
        <v>2695</v>
      </c>
      <c r="C194" s="2" t="s">
        <v>2696</v>
      </c>
      <c r="D194" s="2" t="s">
        <v>2697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L194" s="2" t="s">
        <v>2698</v>
      </c>
      <c r="M194" s="3" t="s">
        <v>528</v>
      </c>
      <c r="O194" s="3" t="s">
        <v>65</v>
      </c>
      <c r="P194" s="3" t="s">
        <v>84</v>
      </c>
      <c r="R194" s="3" t="s">
        <v>67</v>
      </c>
      <c r="S194" s="4">
        <v>10</v>
      </c>
      <c r="T194" s="4">
        <v>10</v>
      </c>
      <c r="U194" s="5" t="s">
        <v>2699</v>
      </c>
      <c r="V194" s="5" t="s">
        <v>2699</v>
      </c>
      <c r="W194" s="5" t="s">
        <v>2700</v>
      </c>
      <c r="X194" s="5" t="s">
        <v>2700</v>
      </c>
      <c r="Y194" s="4">
        <v>452</v>
      </c>
      <c r="Z194" s="4">
        <v>419</v>
      </c>
      <c r="AA194" s="4">
        <v>428</v>
      </c>
      <c r="AB194" s="4">
        <v>4</v>
      </c>
      <c r="AC194" s="4">
        <v>4</v>
      </c>
      <c r="AD194" s="4">
        <v>21</v>
      </c>
      <c r="AE194" s="4">
        <v>21</v>
      </c>
      <c r="AF194" s="4">
        <v>6</v>
      </c>
      <c r="AG194" s="4">
        <v>6</v>
      </c>
      <c r="AH194" s="4">
        <v>7</v>
      </c>
      <c r="AI194" s="4">
        <v>7</v>
      </c>
      <c r="AJ194" s="4">
        <v>10</v>
      </c>
      <c r="AK194" s="4">
        <v>10</v>
      </c>
      <c r="AL194" s="4">
        <v>3</v>
      </c>
      <c r="AM194" s="4">
        <v>3</v>
      </c>
      <c r="AN194" s="4">
        <v>0</v>
      </c>
      <c r="AO194" s="4">
        <v>0</v>
      </c>
      <c r="AP194" s="3" t="s">
        <v>58</v>
      </c>
      <c r="AQ194" s="3" t="s">
        <v>87</v>
      </c>
      <c r="AR194" s="6" t="str">
        <f>HYPERLINK("http://catalog.hathitrust.org/Record/001550132","HathiTrust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HYPERLINK("https://creighton-primo.hosted.exlibrisgroup.com/primo-explore/search?tab=default_tab&amp;search_scope=EVERYTHING&amp;vid=01CRU&amp;lang=en_US&amp;offset=0&amp;query=any,contains,991001412849702656","Catalog Record")</f>
        <v>Catalog Record</v>
      </c>
      <c r="AT194" s="6" t="str">
        <f>HYPERLINK("http://www.worldcat.org/oclc/18909442","WorldCat Record")</f>
        <v>WorldCat Record</v>
      </c>
      <c r="AU194" s="3" t="s">
        <v>2701</v>
      </c>
      <c r="AV194" s="3" t="s">
        <v>2702</v>
      </c>
      <c r="AW194" s="3" t="s">
        <v>2703</v>
      </c>
      <c r="AX194" s="3" t="s">
        <v>2703</v>
      </c>
      <c r="AY194" s="3" t="s">
        <v>2704</v>
      </c>
      <c r="AZ194" s="3" t="s">
        <v>74</v>
      </c>
      <c r="BB194" s="3" t="s">
        <v>2705</v>
      </c>
      <c r="BC194" s="3" t="s">
        <v>2706</v>
      </c>
      <c r="BD194" s="3" t="s">
        <v>2707</v>
      </c>
    </row>
    <row r="195" spans="1:56" ht="45.75" customHeight="1" x14ac:dyDescent="0.25">
      <c r="A195" s="7" t="s">
        <v>58</v>
      </c>
      <c r="B195" s="2" t="s">
        <v>2708</v>
      </c>
      <c r="C195" s="2" t="s">
        <v>2709</v>
      </c>
      <c r="D195" s="2" t="s">
        <v>2710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K195" s="2" t="s">
        <v>2711</v>
      </c>
      <c r="L195" s="2" t="s">
        <v>2712</v>
      </c>
      <c r="M195" s="3" t="s">
        <v>248</v>
      </c>
      <c r="O195" s="3" t="s">
        <v>65</v>
      </c>
      <c r="P195" s="3" t="s">
        <v>175</v>
      </c>
      <c r="R195" s="3" t="s">
        <v>67</v>
      </c>
      <c r="S195" s="4">
        <v>1</v>
      </c>
      <c r="T195" s="4">
        <v>1</v>
      </c>
      <c r="U195" s="5" t="s">
        <v>2713</v>
      </c>
      <c r="V195" s="5" t="s">
        <v>2713</v>
      </c>
      <c r="W195" s="5" t="s">
        <v>2713</v>
      </c>
      <c r="X195" s="5" t="s">
        <v>2713</v>
      </c>
      <c r="Y195" s="4">
        <v>225</v>
      </c>
      <c r="Z195" s="4">
        <v>156</v>
      </c>
      <c r="AA195" s="4">
        <v>172</v>
      </c>
      <c r="AB195" s="4">
        <v>1</v>
      </c>
      <c r="AC195" s="4">
        <v>1</v>
      </c>
      <c r="AD195" s="4">
        <v>6</v>
      </c>
      <c r="AE195" s="4">
        <v>6</v>
      </c>
      <c r="AF195" s="4">
        <v>2</v>
      </c>
      <c r="AG195" s="4">
        <v>2</v>
      </c>
      <c r="AH195" s="4">
        <v>1</v>
      </c>
      <c r="AI195" s="4">
        <v>1</v>
      </c>
      <c r="AJ195" s="4">
        <v>5</v>
      </c>
      <c r="AK195" s="4">
        <v>5</v>
      </c>
      <c r="AL195" s="4">
        <v>0</v>
      </c>
      <c r="AM195" s="4">
        <v>0</v>
      </c>
      <c r="AN195" s="4">
        <v>0</v>
      </c>
      <c r="AO195" s="4">
        <v>0</v>
      </c>
      <c r="AP195" s="3" t="s">
        <v>58</v>
      </c>
      <c r="AQ195" s="3" t="s">
        <v>87</v>
      </c>
      <c r="AR195" s="6" t="str">
        <f>HYPERLINK("http://catalog.hathitrust.org/Record/005587255","HathiTrust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HYPERLINK("https://creighton-primo.hosted.exlibrisgroup.com/primo-explore/search?tab=default_tab&amp;search_scope=EVERYTHING&amp;vid=01CRU&amp;lang=en_US&amp;offset=0&amp;query=any,contains,991005361639702656","Catalog Record")</f>
        <v>Catalog Record</v>
      </c>
      <c r="AT195" s="6" t="str">
        <f>HYPERLINK("http://www.worldcat.org/oclc/85830177","WorldCat Record")</f>
        <v>WorldCat Record</v>
      </c>
      <c r="AU195" s="3" t="s">
        <v>2714</v>
      </c>
      <c r="AV195" s="3" t="s">
        <v>2715</v>
      </c>
      <c r="AW195" s="3" t="s">
        <v>2716</v>
      </c>
      <c r="AX195" s="3" t="s">
        <v>2716</v>
      </c>
      <c r="AY195" s="3" t="s">
        <v>2717</v>
      </c>
      <c r="AZ195" s="3" t="s">
        <v>74</v>
      </c>
      <c r="BB195" s="3" t="s">
        <v>2718</v>
      </c>
      <c r="BC195" s="3" t="s">
        <v>2719</v>
      </c>
      <c r="BD195" s="3" t="s">
        <v>2720</v>
      </c>
    </row>
    <row r="196" spans="1:56" ht="45.75" customHeight="1" x14ac:dyDescent="0.25">
      <c r="A196" s="7" t="s">
        <v>58</v>
      </c>
      <c r="B196" s="2" t="s">
        <v>2721</v>
      </c>
      <c r="C196" s="2" t="s">
        <v>2722</v>
      </c>
      <c r="D196" s="2" t="s">
        <v>2723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L196" s="2" t="s">
        <v>2724</v>
      </c>
      <c r="M196" s="3" t="s">
        <v>248</v>
      </c>
      <c r="O196" s="3" t="s">
        <v>65</v>
      </c>
      <c r="P196" s="3" t="s">
        <v>175</v>
      </c>
      <c r="R196" s="3" t="s">
        <v>67</v>
      </c>
      <c r="S196" s="4">
        <v>1</v>
      </c>
      <c r="T196" s="4">
        <v>1</v>
      </c>
      <c r="U196" s="5" t="s">
        <v>250</v>
      </c>
      <c r="V196" s="5" t="s">
        <v>250</v>
      </c>
      <c r="W196" s="5" t="s">
        <v>250</v>
      </c>
      <c r="X196" s="5" t="s">
        <v>250</v>
      </c>
      <c r="Y196" s="4">
        <v>88</v>
      </c>
      <c r="Z196" s="4">
        <v>48</v>
      </c>
      <c r="AA196" s="4">
        <v>48</v>
      </c>
      <c r="AB196" s="4">
        <v>1</v>
      </c>
      <c r="AC196" s="4">
        <v>1</v>
      </c>
      <c r="AD196" s="4">
        <v>2</v>
      </c>
      <c r="AE196" s="4">
        <v>2</v>
      </c>
      <c r="AF196" s="4">
        <v>0</v>
      </c>
      <c r="AG196" s="4">
        <v>0</v>
      </c>
      <c r="AH196" s="4">
        <v>1</v>
      </c>
      <c r="AI196" s="4">
        <v>1</v>
      </c>
      <c r="AJ196" s="4">
        <v>2</v>
      </c>
      <c r="AK196" s="4">
        <v>2</v>
      </c>
      <c r="AL196" s="4">
        <v>0</v>
      </c>
      <c r="AM196" s="4">
        <v>0</v>
      </c>
      <c r="AN196" s="4">
        <v>0</v>
      </c>
      <c r="AO196" s="4">
        <v>0</v>
      </c>
      <c r="AP196" s="3" t="s">
        <v>58</v>
      </c>
      <c r="AQ196" s="3" t="s">
        <v>58</v>
      </c>
      <c r="AS196" s="6" t="str">
        <f>HYPERLINK("https://creighton-primo.hosted.exlibrisgroup.com/primo-explore/search?tab=default_tab&amp;search_scope=EVERYTHING&amp;vid=01CRU&amp;lang=en_US&amp;offset=0&amp;query=any,contains,991005293549702656","Catalog Record")</f>
        <v>Catalog Record</v>
      </c>
      <c r="AT196" s="6" t="str">
        <f>HYPERLINK("http://www.worldcat.org/oclc/84999464","WorldCat Record")</f>
        <v>WorldCat Record</v>
      </c>
      <c r="AU196" s="3" t="s">
        <v>2725</v>
      </c>
      <c r="AV196" s="3" t="s">
        <v>2726</v>
      </c>
      <c r="AW196" s="3" t="s">
        <v>2727</v>
      </c>
      <c r="AX196" s="3" t="s">
        <v>2727</v>
      </c>
      <c r="AY196" s="3" t="s">
        <v>2728</v>
      </c>
      <c r="AZ196" s="3" t="s">
        <v>74</v>
      </c>
      <c r="BB196" s="3" t="s">
        <v>2729</v>
      </c>
      <c r="BC196" s="3" t="s">
        <v>2730</v>
      </c>
      <c r="BD196" s="3" t="s">
        <v>2731</v>
      </c>
    </row>
    <row r="197" spans="1:56" ht="45.75" customHeight="1" x14ac:dyDescent="0.25">
      <c r="A197" s="7" t="s">
        <v>58</v>
      </c>
      <c r="B197" s="2" t="s">
        <v>2732</v>
      </c>
      <c r="C197" s="2" t="s">
        <v>2733</v>
      </c>
      <c r="D197" s="2" t="s">
        <v>2734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K197" s="2" t="s">
        <v>2735</v>
      </c>
      <c r="L197" s="2" t="s">
        <v>2736</v>
      </c>
      <c r="M197" s="3" t="s">
        <v>1254</v>
      </c>
      <c r="O197" s="3" t="s">
        <v>65</v>
      </c>
      <c r="P197" s="3" t="s">
        <v>772</v>
      </c>
      <c r="R197" s="3" t="s">
        <v>67</v>
      </c>
      <c r="S197" s="4">
        <v>6</v>
      </c>
      <c r="T197" s="4">
        <v>6</v>
      </c>
      <c r="U197" s="5" t="s">
        <v>350</v>
      </c>
      <c r="V197" s="5" t="s">
        <v>350</v>
      </c>
      <c r="W197" s="5" t="s">
        <v>2737</v>
      </c>
      <c r="X197" s="5" t="s">
        <v>2737</v>
      </c>
      <c r="Y197" s="4">
        <v>475</v>
      </c>
      <c r="Z197" s="4">
        <v>448</v>
      </c>
      <c r="AA197" s="4">
        <v>455</v>
      </c>
      <c r="AB197" s="4">
        <v>8</v>
      </c>
      <c r="AC197" s="4">
        <v>8</v>
      </c>
      <c r="AD197" s="4">
        <v>20</v>
      </c>
      <c r="AE197" s="4">
        <v>20</v>
      </c>
      <c r="AF197" s="4">
        <v>5</v>
      </c>
      <c r="AG197" s="4">
        <v>5</v>
      </c>
      <c r="AH197" s="4">
        <v>4</v>
      </c>
      <c r="AI197" s="4">
        <v>4</v>
      </c>
      <c r="AJ197" s="4">
        <v>8</v>
      </c>
      <c r="AK197" s="4">
        <v>8</v>
      </c>
      <c r="AL197" s="4">
        <v>6</v>
      </c>
      <c r="AM197" s="4">
        <v>6</v>
      </c>
      <c r="AN197" s="4">
        <v>0</v>
      </c>
      <c r="AO197" s="4">
        <v>0</v>
      </c>
      <c r="AP197" s="3" t="s">
        <v>58</v>
      </c>
      <c r="AQ197" s="3" t="s">
        <v>87</v>
      </c>
      <c r="AR197" s="6" t="str">
        <f>HYPERLINK("http://catalog.hathitrust.org/Record/000587727","HathiTrust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HYPERLINK("https://creighton-primo.hosted.exlibrisgroup.com/primo-explore/search?tab=default_tab&amp;search_scope=EVERYTHING&amp;vid=01CRU&amp;lang=en_US&amp;offset=0&amp;query=any,contains,991000486839702656","Catalog Record")</f>
        <v>Catalog Record</v>
      </c>
      <c r="AT197" s="6" t="str">
        <f>HYPERLINK("http://www.worldcat.org/oclc/11089064","WorldCat Record")</f>
        <v>WorldCat Record</v>
      </c>
      <c r="AU197" s="3" t="s">
        <v>2738</v>
      </c>
      <c r="AV197" s="3" t="s">
        <v>2739</v>
      </c>
      <c r="AW197" s="3" t="s">
        <v>2740</v>
      </c>
      <c r="AX197" s="3" t="s">
        <v>2740</v>
      </c>
      <c r="AY197" s="3" t="s">
        <v>2741</v>
      </c>
      <c r="AZ197" s="3" t="s">
        <v>74</v>
      </c>
      <c r="BB197" s="3" t="s">
        <v>2742</v>
      </c>
      <c r="BC197" s="3" t="s">
        <v>2743</v>
      </c>
      <c r="BD197" s="3" t="s">
        <v>2744</v>
      </c>
    </row>
    <row r="198" spans="1:56" ht="45.75" customHeight="1" x14ac:dyDescent="0.25">
      <c r="A198" s="7" t="s">
        <v>58</v>
      </c>
      <c r="B198" s="2" t="s">
        <v>2745</v>
      </c>
      <c r="C198" s="2" t="s">
        <v>2746</v>
      </c>
      <c r="D198" s="2" t="s">
        <v>2747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L198" s="2" t="s">
        <v>2748</v>
      </c>
      <c r="M198" s="3" t="s">
        <v>1419</v>
      </c>
      <c r="N198" s="2" t="s">
        <v>543</v>
      </c>
      <c r="O198" s="3" t="s">
        <v>65</v>
      </c>
      <c r="P198" s="3" t="s">
        <v>84</v>
      </c>
      <c r="R198" s="3" t="s">
        <v>67</v>
      </c>
      <c r="S198" s="4">
        <v>2</v>
      </c>
      <c r="T198" s="4">
        <v>2</v>
      </c>
      <c r="U198" s="5" t="s">
        <v>2749</v>
      </c>
      <c r="V198" s="5" t="s">
        <v>2749</v>
      </c>
      <c r="W198" s="5" t="s">
        <v>2573</v>
      </c>
      <c r="X198" s="5" t="s">
        <v>2573</v>
      </c>
      <c r="Y198" s="4">
        <v>902</v>
      </c>
      <c r="Z198" s="4">
        <v>819</v>
      </c>
      <c r="AA198" s="4">
        <v>910</v>
      </c>
      <c r="AB198" s="4">
        <v>4</v>
      </c>
      <c r="AC198" s="4">
        <v>5</v>
      </c>
      <c r="AD198" s="4">
        <v>41</v>
      </c>
      <c r="AE198" s="4">
        <v>46</v>
      </c>
      <c r="AF198" s="4">
        <v>14</v>
      </c>
      <c r="AG198" s="4">
        <v>15</v>
      </c>
      <c r="AH198" s="4">
        <v>5</v>
      </c>
      <c r="AI198" s="4">
        <v>7</v>
      </c>
      <c r="AJ198" s="4">
        <v>15</v>
      </c>
      <c r="AK198" s="4">
        <v>16</v>
      </c>
      <c r="AL198" s="4">
        <v>3</v>
      </c>
      <c r="AM198" s="4">
        <v>4</v>
      </c>
      <c r="AN198" s="4">
        <v>10</v>
      </c>
      <c r="AO198" s="4">
        <v>10</v>
      </c>
      <c r="AP198" s="3" t="s">
        <v>58</v>
      </c>
      <c r="AQ198" s="3" t="s">
        <v>87</v>
      </c>
      <c r="AR198" s="6" t="str">
        <f>HYPERLINK("http://catalog.hathitrust.org/Record/000133871","HathiTrust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HYPERLINK("https://creighton-primo.hosted.exlibrisgroup.com/primo-explore/search?tab=default_tab&amp;search_scope=EVERYTHING&amp;vid=01CRU&amp;lang=en_US&amp;offset=0&amp;query=any,contains,991004515299702656","Catalog Record")</f>
        <v>Catalog Record</v>
      </c>
      <c r="AT198" s="6" t="str">
        <f>HYPERLINK("http://www.worldcat.org/oclc/3413766","WorldCat Record")</f>
        <v>WorldCat Record</v>
      </c>
      <c r="AU198" s="3" t="s">
        <v>2750</v>
      </c>
      <c r="AV198" s="3" t="s">
        <v>2751</v>
      </c>
      <c r="AW198" s="3" t="s">
        <v>2752</v>
      </c>
      <c r="AX198" s="3" t="s">
        <v>2752</v>
      </c>
      <c r="AY198" s="3" t="s">
        <v>2753</v>
      </c>
      <c r="AZ198" s="3" t="s">
        <v>74</v>
      </c>
      <c r="BB198" s="3" t="s">
        <v>2754</v>
      </c>
      <c r="BC198" s="3" t="s">
        <v>2755</v>
      </c>
      <c r="BD198" s="3" t="s">
        <v>2756</v>
      </c>
    </row>
    <row r="199" spans="1:56" ht="45.75" customHeight="1" x14ac:dyDescent="0.25">
      <c r="A199" s="7" t="s">
        <v>58</v>
      </c>
      <c r="B199" s="2" t="s">
        <v>2757</v>
      </c>
      <c r="C199" s="2" t="s">
        <v>2758</v>
      </c>
      <c r="D199" s="2" t="s">
        <v>2759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2760</v>
      </c>
      <c r="L199" s="2" t="s">
        <v>2761</v>
      </c>
      <c r="M199" s="3" t="s">
        <v>742</v>
      </c>
      <c r="O199" s="3" t="s">
        <v>65</v>
      </c>
      <c r="P199" s="3" t="s">
        <v>175</v>
      </c>
      <c r="Q199" s="2" t="s">
        <v>2762</v>
      </c>
      <c r="R199" s="3" t="s">
        <v>67</v>
      </c>
      <c r="S199" s="4">
        <v>15</v>
      </c>
      <c r="T199" s="4">
        <v>15</v>
      </c>
      <c r="U199" s="5" t="s">
        <v>2763</v>
      </c>
      <c r="V199" s="5" t="s">
        <v>2763</v>
      </c>
      <c r="W199" s="5" t="s">
        <v>1061</v>
      </c>
      <c r="X199" s="5" t="s">
        <v>1061</v>
      </c>
      <c r="Y199" s="4">
        <v>443</v>
      </c>
      <c r="Z199" s="4">
        <v>326</v>
      </c>
      <c r="AA199" s="4">
        <v>380</v>
      </c>
      <c r="AB199" s="4">
        <v>3</v>
      </c>
      <c r="AC199" s="4">
        <v>3</v>
      </c>
      <c r="AD199" s="4">
        <v>18</v>
      </c>
      <c r="AE199" s="4">
        <v>18</v>
      </c>
      <c r="AF199" s="4">
        <v>4</v>
      </c>
      <c r="AG199" s="4">
        <v>4</v>
      </c>
      <c r="AH199" s="4">
        <v>6</v>
      </c>
      <c r="AI199" s="4">
        <v>6</v>
      </c>
      <c r="AJ199" s="4">
        <v>11</v>
      </c>
      <c r="AK199" s="4">
        <v>11</v>
      </c>
      <c r="AL199" s="4">
        <v>2</v>
      </c>
      <c r="AM199" s="4">
        <v>2</v>
      </c>
      <c r="AN199" s="4">
        <v>1</v>
      </c>
      <c r="AO199" s="4">
        <v>1</v>
      </c>
      <c r="AP199" s="3" t="s">
        <v>58</v>
      </c>
      <c r="AQ199" s="3" t="s">
        <v>58</v>
      </c>
      <c r="AS199" s="6" t="str">
        <f>HYPERLINK("https://creighton-primo.hosted.exlibrisgroup.com/primo-explore/search?tab=default_tab&amp;search_scope=EVERYTHING&amp;vid=01CRU&amp;lang=en_US&amp;offset=0&amp;query=any,contains,991001446099702656","Catalog Record")</f>
        <v>Catalog Record</v>
      </c>
      <c r="AT199" s="6" t="str">
        <f>HYPERLINK("http://www.worldcat.org/oclc/19271566","WorldCat Record")</f>
        <v>WorldCat Record</v>
      </c>
      <c r="AU199" s="3" t="s">
        <v>2764</v>
      </c>
      <c r="AV199" s="3" t="s">
        <v>2765</v>
      </c>
      <c r="AW199" s="3" t="s">
        <v>2766</v>
      </c>
      <c r="AX199" s="3" t="s">
        <v>2766</v>
      </c>
      <c r="AY199" s="3" t="s">
        <v>2767</v>
      </c>
      <c r="AZ199" s="3" t="s">
        <v>74</v>
      </c>
      <c r="BC199" s="3" t="s">
        <v>2768</v>
      </c>
      <c r="BD199" s="3" t="s">
        <v>2769</v>
      </c>
    </row>
    <row r="200" spans="1:56" ht="45.75" customHeight="1" x14ac:dyDescent="0.25">
      <c r="A200" s="7" t="s">
        <v>58</v>
      </c>
      <c r="B200" s="2" t="s">
        <v>2770</v>
      </c>
      <c r="C200" s="2" t="s">
        <v>2771</v>
      </c>
      <c r="D200" s="2" t="s">
        <v>2772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2773</v>
      </c>
      <c r="L200" s="2" t="s">
        <v>1971</v>
      </c>
      <c r="M200" s="3" t="s">
        <v>867</v>
      </c>
      <c r="O200" s="3" t="s">
        <v>65</v>
      </c>
      <c r="P200" s="3" t="s">
        <v>190</v>
      </c>
      <c r="R200" s="3" t="s">
        <v>67</v>
      </c>
      <c r="S200" s="4">
        <v>1</v>
      </c>
      <c r="T200" s="4">
        <v>1</v>
      </c>
      <c r="U200" s="5" t="s">
        <v>2774</v>
      </c>
      <c r="V200" s="5" t="s">
        <v>2774</v>
      </c>
      <c r="W200" s="5" t="s">
        <v>2775</v>
      </c>
      <c r="X200" s="5" t="s">
        <v>2775</v>
      </c>
      <c r="Y200" s="4">
        <v>148</v>
      </c>
      <c r="Z200" s="4">
        <v>119</v>
      </c>
      <c r="AA200" s="4">
        <v>119</v>
      </c>
      <c r="AB200" s="4">
        <v>1</v>
      </c>
      <c r="AC200" s="4">
        <v>1</v>
      </c>
      <c r="AD200" s="4">
        <v>5</v>
      </c>
      <c r="AE200" s="4">
        <v>5</v>
      </c>
      <c r="AF200" s="4">
        <v>1</v>
      </c>
      <c r="AG200" s="4">
        <v>1</v>
      </c>
      <c r="AH200" s="4">
        <v>0</v>
      </c>
      <c r="AI200" s="4">
        <v>0</v>
      </c>
      <c r="AJ200" s="4">
        <v>4</v>
      </c>
      <c r="AK200" s="4">
        <v>4</v>
      </c>
      <c r="AL200" s="4">
        <v>0</v>
      </c>
      <c r="AM200" s="4">
        <v>0</v>
      </c>
      <c r="AN200" s="4">
        <v>0</v>
      </c>
      <c r="AO200" s="4">
        <v>0</v>
      </c>
      <c r="AP200" s="3" t="s">
        <v>58</v>
      </c>
      <c r="AQ200" s="3" t="s">
        <v>58</v>
      </c>
      <c r="AS200" s="6" t="str">
        <f>HYPERLINK("https://creighton-primo.hosted.exlibrisgroup.com/primo-explore/search?tab=default_tab&amp;search_scope=EVERYTHING&amp;vid=01CRU&amp;lang=en_US&amp;offset=0&amp;query=any,contains,991001999849702656","Catalog Record")</f>
        <v>Catalog Record</v>
      </c>
      <c r="AT200" s="6" t="str">
        <f>HYPERLINK("http://www.worldcat.org/oclc/25410589","WorldCat Record")</f>
        <v>WorldCat Record</v>
      </c>
      <c r="AU200" s="3" t="s">
        <v>2776</v>
      </c>
      <c r="AV200" s="3" t="s">
        <v>2777</v>
      </c>
      <c r="AW200" s="3" t="s">
        <v>2778</v>
      </c>
      <c r="AX200" s="3" t="s">
        <v>2778</v>
      </c>
      <c r="AY200" s="3" t="s">
        <v>2779</v>
      </c>
      <c r="AZ200" s="3" t="s">
        <v>74</v>
      </c>
      <c r="BB200" s="3" t="s">
        <v>2780</v>
      </c>
      <c r="BC200" s="3" t="s">
        <v>2781</v>
      </c>
      <c r="BD200" s="3" t="s">
        <v>2782</v>
      </c>
    </row>
    <row r="201" spans="1:56" ht="45.75" customHeight="1" x14ac:dyDescent="0.25">
      <c r="A201" s="7" t="s">
        <v>58</v>
      </c>
      <c r="B201" s="2" t="s">
        <v>2783</v>
      </c>
      <c r="C201" s="2" t="s">
        <v>2784</v>
      </c>
      <c r="D201" s="2" t="s">
        <v>2785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2786</v>
      </c>
      <c r="L201" s="2" t="s">
        <v>2787</v>
      </c>
      <c r="M201" s="3" t="s">
        <v>63</v>
      </c>
      <c r="O201" s="3" t="s">
        <v>65</v>
      </c>
      <c r="P201" s="3" t="s">
        <v>190</v>
      </c>
      <c r="R201" s="3" t="s">
        <v>67</v>
      </c>
      <c r="S201" s="4">
        <v>1</v>
      </c>
      <c r="T201" s="4">
        <v>1</v>
      </c>
      <c r="U201" s="5" t="s">
        <v>2229</v>
      </c>
      <c r="V201" s="5" t="s">
        <v>2229</v>
      </c>
      <c r="W201" s="5" t="s">
        <v>2229</v>
      </c>
      <c r="X201" s="5" t="s">
        <v>2229</v>
      </c>
      <c r="Y201" s="4">
        <v>136</v>
      </c>
      <c r="Z201" s="4">
        <v>112</v>
      </c>
      <c r="AA201" s="4">
        <v>114</v>
      </c>
      <c r="AB201" s="4">
        <v>1</v>
      </c>
      <c r="AC201" s="4">
        <v>1</v>
      </c>
      <c r="AD201" s="4">
        <v>6</v>
      </c>
      <c r="AE201" s="4">
        <v>6</v>
      </c>
      <c r="AF201" s="4">
        <v>2</v>
      </c>
      <c r="AG201" s="4">
        <v>2</v>
      </c>
      <c r="AH201" s="4">
        <v>1</v>
      </c>
      <c r="AI201" s="4">
        <v>1</v>
      </c>
      <c r="AJ201" s="4">
        <v>4</v>
      </c>
      <c r="AK201" s="4">
        <v>4</v>
      </c>
      <c r="AL201" s="4">
        <v>0</v>
      </c>
      <c r="AM201" s="4">
        <v>0</v>
      </c>
      <c r="AN201" s="4">
        <v>0</v>
      </c>
      <c r="AO201" s="4">
        <v>0</v>
      </c>
      <c r="AP201" s="3" t="s">
        <v>58</v>
      </c>
      <c r="AQ201" s="3" t="s">
        <v>87</v>
      </c>
      <c r="AR201" s="6" t="str">
        <f>HYPERLINK("http://catalog.hathitrust.org/Record/005565887","HathiTrust Record")</f>
        <v>HathiTrust Record</v>
      </c>
      <c r="AS201" s="6" t="str">
        <f>HYPERLINK("https://creighton-primo.hosted.exlibrisgroup.com/primo-explore/search?tab=default_tab&amp;search_scope=EVERYTHING&amp;vid=01CRU&amp;lang=en_US&amp;offset=0&amp;query=any,contains,991004926369702656","Catalog Record")</f>
        <v>Catalog Record</v>
      </c>
      <c r="AT201" s="6" t="str">
        <f>HYPERLINK("http://www.worldcat.org/oclc/58919771","WorldCat Record")</f>
        <v>WorldCat Record</v>
      </c>
      <c r="AU201" s="3" t="s">
        <v>2788</v>
      </c>
      <c r="AV201" s="3" t="s">
        <v>2789</v>
      </c>
      <c r="AW201" s="3" t="s">
        <v>2790</v>
      </c>
      <c r="AX201" s="3" t="s">
        <v>2790</v>
      </c>
      <c r="AY201" s="3" t="s">
        <v>2791</v>
      </c>
      <c r="AZ201" s="3" t="s">
        <v>74</v>
      </c>
      <c r="BB201" s="3" t="s">
        <v>2792</v>
      </c>
      <c r="BC201" s="3" t="s">
        <v>2793</v>
      </c>
      <c r="BD201" s="3" t="s">
        <v>2794</v>
      </c>
    </row>
    <row r="202" spans="1:56" ht="45.75" customHeight="1" x14ac:dyDescent="0.25">
      <c r="A202" s="7" t="s">
        <v>58</v>
      </c>
      <c r="B202" s="2" t="s">
        <v>2795</v>
      </c>
      <c r="C202" s="2" t="s">
        <v>2796</v>
      </c>
      <c r="D202" s="2" t="s">
        <v>2797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2798</v>
      </c>
      <c r="L202" s="2" t="s">
        <v>2799</v>
      </c>
      <c r="M202" s="3" t="s">
        <v>63</v>
      </c>
      <c r="O202" s="3" t="s">
        <v>65</v>
      </c>
      <c r="P202" s="3" t="s">
        <v>2800</v>
      </c>
      <c r="R202" s="3" t="s">
        <v>67</v>
      </c>
      <c r="S202" s="4">
        <v>2</v>
      </c>
      <c r="T202" s="4">
        <v>2</v>
      </c>
      <c r="U202" s="5" t="s">
        <v>2572</v>
      </c>
      <c r="V202" s="5" t="s">
        <v>2572</v>
      </c>
      <c r="W202" s="5" t="s">
        <v>2801</v>
      </c>
      <c r="X202" s="5" t="s">
        <v>2801</v>
      </c>
      <c r="Y202" s="4">
        <v>24</v>
      </c>
      <c r="Z202" s="4">
        <v>15</v>
      </c>
      <c r="AA202" s="4">
        <v>15</v>
      </c>
      <c r="AB202" s="4">
        <v>1</v>
      </c>
      <c r="AC202" s="4">
        <v>1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3" t="s">
        <v>58</v>
      </c>
      <c r="AQ202" s="3" t="s">
        <v>58</v>
      </c>
      <c r="AS202" s="6" t="str">
        <f>HYPERLINK("https://creighton-primo.hosted.exlibrisgroup.com/primo-explore/search?tab=default_tab&amp;search_scope=EVERYTHING&amp;vid=01CRU&amp;lang=en_US&amp;offset=0&amp;query=any,contains,991004475509702656","Catalog Record")</f>
        <v>Catalog Record</v>
      </c>
      <c r="AT202" s="6" t="str">
        <f>HYPERLINK("http://www.worldcat.org/oclc/64403845","WorldCat Record")</f>
        <v>WorldCat Record</v>
      </c>
      <c r="AU202" s="3" t="s">
        <v>2802</v>
      </c>
      <c r="AV202" s="3" t="s">
        <v>2803</v>
      </c>
      <c r="AW202" s="3" t="s">
        <v>2804</v>
      </c>
      <c r="AX202" s="3" t="s">
        <v>2804</v>
      </c>
      <c r="AY202" s="3" t="s">
        <v>2805</v>
      </c>
      <c r="AZ202" s="3" t="s">
        <v>74</v>
      </c>
      <c r="BB202" s="3" t="s">
        <v>2806</v>
      </c>
      <c r="BC202" s="3" t="s">
        <v>2807</v>
      </c>
      <c r="BD202" s="3" t="s">
        <v>2808</v>
      </c>
    </row>
    <row r="203" spans="1:56" ht="45.75" customHeight="1" x14ac:dyDescent="0.25">
      <c r="A203" s="7" t="s">
        <v>58</v>
      </c>
      <c r="B203" s="2" t="s">
        <v>2809</v>
      </c>
      <c r="C203" s="2" t="s">
        <v>2810</v>
      </c>
      <c r="D203" s="2" t="s">
        <v>2811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2812</v>
      </c>
      <c r="L203" s="2" t="s">
        <v>2813</v>
      </c>
      <c r="M203" s="3" t="s">
        <v>63</v>
      </c>
      <c r="O203" s="3" t="s">
        <v>65</v>
      </c>
      <c r="P203" s="3" t="s">
        <v>175</v>
      </c>
      <c r="R203" s="3" t="s">
        <v>67</v>
      </c>
      <c r="S203" s="4">
        <v>1</v>
      </c>
      <c r="T203" s="4">
        <v>1</v>
      </c>
      <c r="U203" s="5" t="s">
        <v>2814</v>
      </c>
      <c r="V203" s="5" t="s">
        <v>2814</v>
      </c>
      <c r="W203" s="5" t="s">
        <v>2814</v>
      </c>
      <c r="X203" s="5" t="s">
        <v>2814</v>
      </c>
      <c r="Y203" s="4">
        <v>302</v>
      </c>
      <c r="Z203" s="4">
        <v>228</v>
      </c>
      <c r="AA203" s="4">
        <v>811</v>
      </c>
      <c r="AB203" s="4">
        <v>5</v>
      </c>
      <c r="AC203" s="4">
        <v>20</v>
      </c>
      <c r="AD203" s="4">
        <v>12</v>
      </c>
      <c r="AE203" s="4">
        <v>40</v>
      </c>
      <c r="AF203" s="4">
        <v>3</v>
      </c>
      <c r="AG203" s="4">
        <v>12</v>
      </c>
      <c r="AH203" s="4">
        <v>1</v>
      </c>
      <c r="AI203" s="4">
        <v>8</v>
      </c>
      <c r="AJ203" s="4">
        <v>5</v>
      </c>
      <c r="AK203" s="4">
        <v>11</v>
      </c>
      <c r="AL203" s="4">
        <v>4</v>
      </c>
      <c r="AM203" s="4">
        <v>12</v>
      </c>
      <c r="AN203" s="4">
        <v>0</v>
      </c>
      <c r="AO203" s="4">
        <v>1</v>
      </c>
      <c r="AP203" s="3" t="s">
        <v>58</v>
      </c>
      <c r="AQ203" s="3" t="s">
        <v>87</v>
      </c>
      <c r="AR203" s="6" t="str">
        <f>HYPERLINK("http://catalog.hathitrust.org/Record/004764090","HathiTrust Record")</f>
        <v>HathiTrust Record</v>
      </c>
      <c r="AS203" s="6" t="str">
        <f>HYPERLINK("https://creighton-primo.hosted.exlibrisgroup.com/primo-explore/search?tab=default_tab&amp;search_scope=EVERYTHING&amp;vid=01CRU&amp;lang=en_US&amp;offset=0&amp;query=any,contains,991005061499702656","Catalog Record")</f>
        <v>Catalog Record</v>
      </c>
      <c r="AT203" s="6" t="str">
        <f>HYPERLINK("http://www.worldcat.org/oclc/55511458","WorldCat Record")</f>
        <v>WorldCat Record</v>
      </c>
      <c r="AU203" s="3" t="s">
        <v>2815</v>
      </c>
      <c r="AV203" s="3" t="s">
        <v>2816</v>
      </c>
      <c r="AW203" s="3" t="s">
        <v>2817</v>
      </c>
      <c r="AX203" s="3" t="s">
        <v>2817</v>
      </c>
      <c r="AY203" s="3" t="s">
        <v>2818</v>
      </c>
      <c r="AZ203" s="3" t="s">
        <v>74</v>
      </c>
      <c r="BB203" s="3" t="s">
        <v>2819</v>
      </c>
      <c r="BC203" s="3" t="s">
        <v>2820</v>
      </c>
      <c r="BD203" s="3" t="s">
        <v>2821</v>
      </c>
    </row>
    <row r="204" spans="1:56" ht="45.75" customHeight="1" x14ac:dyDescent="0.25">
      <c r="A204" s="7" t="s">
        <v>58</v>
      </c>
      <c r="B204" s="2" t="s">
        <v>2822</v>
      </c>
      <c r="C204" s="2" t="s">
        <v>2823</v>
      </c>
      <c r="D204" s="2" t="s">
        <v>2824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2825</v>
      </c>
      <c r="L204" s="2" t="s">
        <v>2826</v>
      </c>
      <c r="M204" s="3" t="s">
        <v>220</v>
      </c>
      <c r="O204" s="3" t="s">
        <v>65</v>
      </c>
      <c r="P204" s="3" t="s">
        <v>84</v>
      </c>
      <c r="R204" s="3" t="s">
        <v>67</v>
      </c>
      <c r="S204" s="4">
        <v>2</v>
      </c>
      <c r="T204" s="4">
        <v>2</v>
      </c>
      <c r="U204" s="5" t="s">
        <v>2827</v>
      </c>
      <c r="V204" s="5" t="s">
        <v>2827</v>
      </c>
      <c r="W204" s="5" t="s">
        <v>1381</v>
      </c>
      <c r="X204" s="5" t="s">
        <v>1381</v>
      </c>
      <c r="Y204" s="4">
        <v>319</v>
      </c>
      <c r="Z204" s="4">
        <v>256</v>
      </c>
      <c r="AA204" s="4">
        <v>825</v>
      </c>
      <c r="AB204" s="4">
        <v>3</v>
      </c>
      <c r="AC204" s="4">
        <v>9</v>
      </c>
      <c r="AD204" s="4">
        <v>14</v>
      </c>
      <c r="AE204" s="4">
        <v>37</v>
      </c>
      <c r="AF204" s="4">
        <v>6</v>
      </c>
      <c r="AG204" s="4">
        <v>13</v>
      </c>
      <c r="AH204" s="4">
        <v>0</v>
      </c>
      <c r="AI204" s="4">
        <v>7</v>
      </c>
      <c r="AJ204" s="4">
        <v>9</v>
      </c>
      <c r="AK204" s="4">
        <v>14</v>
      </c>
      <c r="AL204" s="4">
        <v>2</v>
      </c>
      <c r="AM204" s="4">
        <v>8</v>
      </c>
      <c r="AN204" s="4">
        <v>0</v>
      </c>
      <c r="AO204" s="4">
        <v>1</v>
      </c>
      <c r="AP204" s="3" t="s">
        <v>58</v>
      </c>
      <c r="AQ204" s="3" t="s">
        <v>58</v>
      </c>
      <c r="AS204" s="6" t="str">
        <f>HYPERLINK("https://creighton-primo.hosted.exlibrisgroup.com/primo-explore/search?tab=default_tab&amp;search_scope=EVERYTHING&amp;vid=01CRU&amp;lang=en_US&amp;offset=0&amp;query=any,contains,991002988249702656","Catalog Record")</f>
        <v>Catalog Record</v>
      </c>
      <c r="AT204" s="6" t="str">
        <f>HYPERLINK("http://www.worldcat.org/oclc/40298462","WorldCat Record")</f>
        <v>WorldCat Record</v>
      </c>
      <c r="AU204" s="3" t="s">
        <v>2828</v>
      </c>
      <c r="AV204" s="3" t="s">
        <v>2829</v>
      </c>
      <c r="AW204" s="3" t="s">
        <v>2830</v>
      </c>
      <c r="AX204" s="3" t="s">
        <v>2830</v>
      </c>
      <c r="AY204" s="3" t="s">
        <v>2831</v>
      </c>
      <c r="AZ204" s="3" t="s">
        <v>74</v>
      </c>
      <c r="BB204" s="3" t="s">
        <v>2832</v>
      </c>
      <c r="BC204" s="3" t="s">
        <v>2833</v>
      </c>
      <c r="BD204" s="3" t="s">
        <v>2834</v>
      </c>
    </row>
    <row r="205" spans="1:56" ht="45.75" customHeight="1" x14ac:dyDescent="0.25">
      <c r="A205" s="7" t="s">
        <v>58</v>
      </c>
      <c r="B205" s="2" t="s">
        <v>2835</v>
      </c>
      <c r="C205" s="2" t="s">
        <v>2836</v>
      </c>
      <c r="D205" s="2" t="s">
        <v>2837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2838</v>
      </c>
      <c r="L205" s="2" t="s">
        <v>2839</v>
      </c>
      <c r="M205" s="3" t="s">
        <v>2324</v>
      </c>
      <c r="O205" s="3" t="s">
        <v>65</v>
      </c>
      <c r="P205" s="3" t="s">
        <v>132</v>
      </c>
      <c r="R205" s="3" t="s">
        <v>67</v>
      </c>
      <c r="S205" s="4">
        <v>3</v>
      </c>
      <c r="T205" s="4">
        <v>3</v>
      </c>
      <c r="U205" s="5" t="s">
        <v>2840</v>
      </c>
      <c r="V205" s="5" t="s">
        <v>2840</v>
      </c>
      <c r="W205" s="5" t="s">
        <v>2841</v>
      </c>
      <c r="X205" s="5" t="s">
        <v>2841</v>
      </c>
      <c r="Y205" s="4">
        <v>380</v>
      </c>
      <c r="Z205" s="4">
        <v>287</v>
      </c>
      <c r="AA205" s="4">
        <v>294</v>
      </c>
      <c r="AB205" s="4">
        <v>4</v>
      </c>
      <c r="AC205" s="4">
        <v>4</v>
      </c>
      <c r="AD205" s="4">
        <v>16</v>
      </c>
      <c r="AE205" s="4">
        <v>16</v>
      </c>
      <c r="AF205" s="4">
        <v>3</v>
      </c>
      <c r="AG205" s="4">
        <v>3</v>
      </c>
      <c r="AH205" s="4">
        <v>6</v>
      </c>
      <c r="AI205" s="4">
        <v>6</v>
      </c>
      <c r="AJ205" s="4">
        <v>6</v>
      </c>
      <c r="AK205" s="4">
        <v>6</v>
      </c>
      <c r="AL205" s="4">
        <v>3</v>
      </c>
      <c r="AM205" s="4">
        <v>3</v>
      </c>
      <c r="AN205" s="4">
        <v>1</v>
      </c>
      <c r="AO205" s="4">
        <v>1</v>
      </c>
      <c r="AP205" s="3" t="s">
        <v>58</v>
      </c>
      <c r="AQ205" s="3" t="s">
        <v>87</v>
      </c>
      <c r="AR205" s="6" t="str">
        <f>HYPERLINK("http://catalog.hathitrust.org/Record/000773598","HathiTrust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HYPERLINK("https://creighton-primo.hosted.exlibrisgroup.com/primo-explore/search?tab=default_tab&amp;search_scope=EVERYTHING&amp;vid=01CRU&amp;lang=en_US&amp;offset=0&amp;query=any,contains,991000178769702656","Catalog Record")</f>
        <v>Catalog Record</v>
      </c>
      <c r="AT205" s="6" t="str">
        <f>HYPERLINK("http://www.worldcat.org/oclc/9370885","WorldCat Record")</f>
        <v>WorldCat Record</v>
      </c>
      <c r="AU205" s="3" t="s">
        <v>2842</v>
      </c>
      <c r="AV205" s="3" t="s">
        <v>2843</v>
      </c>
      <c r="AW205" s="3" t="s">
        <v>2844</v>
      </c>
      <c r="AX205" s="3" t="s">
        <v>2844</v>
      </c>
      <c r="AY205" s="3" t="s">
        <v>2845</v>
      </c>
      <c r="AZ205" s="3" t="s">
        <v>74</v>
      </c>
      <c r="BB205" s="3" t="s">
        <v>2846</v>
      </c>
      <c r="BC205" s="3" t="s">
        <v>2847</v>
      </c>
      <c r="BD205" s="3" t="s">
        <v>2848</v>
      </c>
    </row>
    <row r="206" spans="1:56" ht="45.75" customHeight="1" x14ac:dyDescent="0.25">
      <c r="A206" s="7" t="s">
        <v>58</v>
      </c>
      <c r="B206" s="2" t="s">
        <v>2849</v>
      </c>
      <c r="C206" s="2" t="s">
        <v>2850</v>
      </c>
      <c r="D206" s="2" t="s">
        <v>2851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L206" s="2" t="s">
        <v>2852</v>
      </c>
      <c r="M206" s="3" t="s">
        <v>248</v>
      </c>
      <c r="N206" s="2" t="s">
        <v>291</v>
      </c>
      <c r="O206" s="3" t="s">
        <v>65</v>
      </c>
      <c r="P206" s="3" t="s">
        <v>66</v>
      </c>
      <c r="R206" s="3" t="s">
        <v>67</v>
      </c>
      <c r="S206" s="4">
        <v>1</v>
      </c>
      <c r="T206" s="4">
        <v>1</v>
      </c>
      <c r="U206" s="5" t="s">
        <v>2853</v>
      </c>
      <c r="V206" s="5" t="s">
        <v>2853</v>
      </c>
      <c r="W206" s="5" t="s">
        <v>2853</v>
      </c>
      <c r="X206" s="5" t="s">
        <v>2853</v>
      </c>
      <c r="Y206" s="4">
        <v>144</v>
      </c>
      <c r="Z206" s="4">
        <v>117</v>
      </c>
      <c r="AA206" s="4">
        <v>374</v>
      </c>
      <c r="AB206" s="4">
        <v>2</v>
      </c>
      <c r="AC206" s="4">
        <v>2</v>
      </c>
      <c r="AD206" s="4">
        <v>5</v>
      </c>
      <c r="AE206" s="4">
        <v>12</v>
      </c>
      <c r="AF206" s="4">
        <v>0</v>
      </c>
      <c r="AG206" s="4">
        <v>2</v>
      </c>
      <c r="AH206" s="4">
        <v>2</v>
      </c>
      <c r="AI206" s="4">
        <v>5</v>
      </c>
      <c r="AJ206" s="4">
        <v>2</v>
      </c>
      <c r="AK206" s="4">
        <v>7</v>
      </c>
      <c r="AL206" s="4">
        <v>1</v>
      </c>
      <c r="AM206" s="4">
        <v>1</v>
      </c>
      <c r="AN206" s="4">
        <v>0</v>
      </c>
      <c r="AO206" s="4">
        <v>0</v>
      </c>
      <c r="AP206" s="3" t="s">
        <v>58</v>
      </c>
      <c r="AQ206" s="3" t="s">
        <v>58</v>
      </c>
      <c r="AS206" s="6" t="str">
        <f>HYPERLINK("https://creighton-primo.hosted.exlibrisgroup.com/primo-explore/search?tab=default_tab&amp;search_scope=EVERYTHING&amp;vid=01CRU&amp;lang=en_US&amp;offset=0&amp;query=any,contains,991005264039702656","Catalog Record")</f>
        <v>Catalog Record</v>
      </c>
      <c r="AT206" s="6" t="str">
        <f>HYPERLINK("http://www.worldcat.org/oclc/71329904","WorldCat Record")</f>
        <v>WorldCat Record</v>
      </c>
      <c r="AU206" s="3" t="s">
        <v>2854</v>
      </c>
      <c r="AV206" s="3" t="s">
        <v>2855</v>
      </c>
      <c r="AW206" s="3" t="s">
        <v>2856</v>
      </c>
      <c r="AX206" s="3" t="s">
        <v>2856</v>
      </c>
      <c r="AY206" s="3" t="s">
        <v>2857</v>
      </c>
      <c r="AZ206" s="3" t="s">
        <v>74</v>
      </c>
      <c r="BB206" s="3" t="s">
        <v>2858</v>
      </c>
      <c r="BC206" s="3" t="s">
        <v>2859</v>
      </c>
      <c r="BD206" s="3" t="s">
        <v>2860</v>
      </c>
    </row>
    <row r="207" spans="1:56" ht="45.75" customHeight="1" x14ac:dyDescent="0.25">
      <c r="A207" s="7" t="s">
        <v>58</v>
      </c>
      <c r="B207" s="2" t="s">
        <v>2861</v>
      </c>
      <c r="C207" s="2" t="s">
        <v>2862</v>
      </c>
      <c r="D207" s="2" t="s">
        <v>2863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K207" s="2" t="s">
        <v>2864</v>
      </c>
      <c r="L207" s="2" t="s">
        <v>2865</v>
      </c>
      <c r="M207" s="3" t="s">
        <v>131</v>
      </c>
      <c r="O207" s="3" t="s">
        <v>65</v>
      </c>
      <c r="P207" s="3" t="s">
        <v>84</v>
      </c>
      <c r="Q207" s="2" t="s">
        <v>2686</v>
      </c>
      <c r="R207" s="3" t="s">
        <v>67</v>
      </c>
      <c r="S207" s="4">
        <v>1</v>
      </c>
      <c r="T207" s="4">
        <v>1</v>
      </c>
      <c r="U207" s="5" t="s">
        <v>2866</v>
      </c>
      <c r="V207" s="5" t="s">
        <v>2866</v>
      </c>
      <c r="W207" s="5" t="s">
        <v>2866</v>
      </c>
      <c r="X207" s="5" t="s">
        <v>2866</v>
      </c>
      <c r="Y207" s="4">
        <v>328</v>
      </c>
      <c r="Z207" s="4">
        <v>245</v>
      </c>
      <c r="AA207" s="4">
        <v>476</v>
      </c>
      <c r="AB207" s="4">
        <v>2</v>
      </c>
      <c r="AC207" s="4">
        <v>4</v>
      </c>
      <c r="AD207" s="4">
        <v>9</v>
      </c>
      <c r="AE207" s="4">
        <v>20</v>
      </c>
      <c r="AF207" s="4">
        <v>1</v>
      </c>
      <c r="AG207" s="4">
        <v>8</v>
      </c>
      <c r="AH207" s="4">
        <v>4</v>
      </c>
      <c r="AI207" s="4">
        <v>5</v>
      </c>
      <c r="AJ207" s="4">
        <v>5</v>
      </c>
      <c r="AK207" s="4">
        <v>7</v>
      </c>
      <c r="AL207" s="4">
        <v>1</v>
      </c>
      <c r="AM207" s="4">
        <v>3</v>
      </c>
      <c r="AN207" s="4">
        <v>0</v>
      </c>
      <c r="AO207" s="4">
        <v>0</v>
      </c>
      <c r="AP207" s="3" t="s">
        <v>58</v>
      </c>
      <c r="AQ207" s="3" t="s">
        <v>87</v>
      </c>
      <c r="AR207" s="6" t="str">
        <f>HYPERLINK("http://catalog.hathitrust.org/Record/005291008","HathiTrust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HYPERLINK("https://creighton-primo.hosted.exlibrisgroup.com/primo-explore/search?tab=default_tab&amp;search_scope=EVERYTHING&amp;vid=01CRU&amp;lang=en_US&amp;offset=0&amp;query=any,contains,991004924239702656","Catalog Record")</f>
        <v>Catalog Record</v>
      </c>
      <c r="AT207" s="6" t="str">
        <f>HYPERLINK("http://www.worldcat.org/oclc/61879719","WorldCat Record")</f>
        <v>WorldCat Record</v>
      </c>
      <c r="AU207" s="3" t="s">
        <v>2867</v>
      </c>
      <c r="AV207" s="3" t="s">
        <v>2868</v>
      </c>
      <c r="AW207" s="3" t="s">
        <v>2869</v>
      </c>
      <c r="AX207" s="3" t="s">
        <v>2869</v>
      </c>
      <c r="AY207" s="3" t="s">
        <v>2870</v>
      </c>
      <c r="AZ207" s="3" t="s">
        <v>74</v>
      </c>
      <c r="BB207" s="3" t="s">
        <v>2871</v>
      </c>
      <c r="BC207" s="3" t="s">
        <v>2872</v>
      </c>
      <c r="BD207" s="3" t="s">
        <v>2873</v>
      </c>
    </row>
    <row r="208" spans="1:56" ht="45.75" customHeight="1" x14ac:dyDescent="0.25">
      <c r="A208" s="7" t="s">
        <v>58</v>
      </c>
      <c r="B208" s="2" t="s">
        <v>2874</v>
      </c>
      <c r="C208" s="2" t="s">
        <v>2875</v>
      </c>
      <c r="D208" s="2" t="s">
        <v>2876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K208" s="2" t="s">
        <v>2877</v>
      </c>
      <c r="L208" s="2" t="s">
        <v>2878</v>
      </c>
      <c r="M208" s="3" t="s">
        <v>1662</v>
      </c>
      <c r="N208" s="2" t="s">
        <v>1624</v>
      </c>
      <c r="O208" s="3" t="s">
        <v>65</v>
      </c>
      <c r="P208" s="3" t="s">
        <v>84</v>
      </c>
      <c r="R208" s="3" t="s">
        <v>67</v>
      </c>
      <c r="S208" s="4">
        <v>4</v>
      </c>
      <c r="T208" s="4">
        <v>4</v>
      </c>
      <c r="U208" s="5" t="s">
        <v>2879</v>
      </c>
      <c r="V208" s="5" t="s">
        <v>2879</v>
      </c>
      <c r="W208" s="5" t="s">
        <v>2880</v>
      </c>
      <c r="X208" s="5" t="s">
        <v>2880</v>
      </c>
      <c r="Y208" s="4">
        <v>660</v>
      </c>
      <c r="Z208" s="4">
        <v>502</v>
      </c>
      <c r="AA208" s="4">
        <v>506</v>
      </c>
      <c r="AB208" s="4">
        <v>4</v>
      </c>
      <c r="AC208" s="4">
        <v>4</v>
      </c>
      <c r="AD208" s="4">
        <v>23</v>
      </c>
      <c r="AE208" s="4">
        <v>23</v>
      </c>
      <c r="AF208" s="4">
        <v>9</v>
      </c>
      <c r="AG208" s="4">
        <v>9</v>
      </c>
      <c r="AH208" s="4">
        <v>5</v>
      </c>
      <c r="AI208" s="4">
        <v>5</v>
      </c>
      <c r="AJ208" s="4">
        <v>13</v>
      </c>
      <c r="AK208" s="4">
        <v>13</v>
      </c>
      <c r="AL208" s="4">
        <v>3</v>
      </c>
      <c r="AM208" s="4">
        <v>3</v>
      </c>
      <c r="AN208" s="4">
        <v>0</v>
      </c>
      <c r="AO208" s="4">
        <v>0</v>
      </c>
      <c r="AP208" s="3" t="s">
        <v>58</v>
      </c>
      <c r="AQ208" s="3" t="s">
        <v>87</v>
      </c>
      <c r="AR208" s="6" t="str">
        <f>HYPERLINK("http://catalog.hathitrust.org/Record/001131390","HathiTrust Record")</f>
        <v>HathiTrust Record</v>
      </c>
      <c r="AS208" s="6" t="str">
        <f>HYPERLINK("https://creighton-primo.hosted.exlibrisgroup.com/primo-explore/search?tab=default_tab&amp;search_scope=EVERYTHING&amp;vid=01CRU&amp;lang=en_US&amp;offset=0&amp;query=any,contains,991002052659702656","Catalog Record")</f>
        <v>Catalog Record</v>
      </c>
      <c r="AT208" s="6" t="str">
        <f>HYPERLINK("http://www.worldcat.org/oclc/262029","WorldCat Record")</f>
        <v>WorldCat Record</v>
      </c>
      <c r="AU208" s="3" t="s">
        <v>2881</v>
      </c>
      <c r="AV208" s="3" t="s">
        <v>2882</v>
      </c>
      <c r="AW208" s="3" t="s">
        <v>2883</v>
      </c>
      <c r="AX208" s="3" t="s">
        <v>2883</v>
      </c>
      <c r="AY208" s="3" t="s">
        <v>2884</v>
      </c>
      <c r="AZ208" s="3" t="s">
        <v>74</v>
      </c>
      <c r="BC208" s="3" t="s">
        <v>2885</v>
      </c>
      <c r="BD208" s="3" t="s">
        <v>2886</v>
      </c>
    </row>
    <row r="209" spans="1:56" ht="45.75" customHeight="1" x14ac:dyDescent="0.25">
      <c r="A209" s="7" t="s">
        <v>58</v>
      </c>
      <c r="B209" s="2" t="s">
        <v>2887</v>
      </c>
      <c r="C209" s="2" t="s">
        <v>2888</v>
      </c>
      <c r="D209" s="2" t="s">
        <v>2889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K209" s="2" t="s">
        <v>2890</v>
      </c>
      <c r="L209" s="2" t="s">
        <v>2891</v>
      </c>
      <c r="M209" s="3" t="s">
        <v>147</v>
      </c>
      <c r="N209" s="2" t="s">
        <v>2892</v>
      </c>
      <c r="O209" s="3" t="s">
        <v>65</v>
      </c>
      <c r="P209" s="3" t="s">
        <v>84</v>
      </c>
      <c r="R209" s="3" t="s">
        <v>67</v>
      </c>
      <c r="S209" s="4">
        <v>4</v>
      </c>
      <c r="T209" s="4">
        <v>4</v>
      </c>
      <c r="U209" s="5" t="s">
        <v>2893</v>
      </c>
      <c r="V209" s="5" t="s">
        <v>2893</v>
      </c>
      <c r="W209" s="5" t="s">
        <v>2894</v>
      </c>
      <c r="X209" s="5" t="s">
        <v>2894</v>
      </c>
      <c r="Y209" s="4">
        <v>673</v>
      </c>
      <c r="Z209" s="4">
        <v>571</v>
      </c>
      <c r="AA209" s="4">
        <v>575</v>
      </c>
      <c r="AB209" s="4">
        <v>4</v>
      </c>
      <c r="AC209" s="4">
        <v>4</v>
      </c>
      <c r="AD209" s="4">
        <v>22</v>
      </c>
      <c r="AE209" s="4">
        <v>22</v>
      </c>
      <c r="AF209" s="4">
        <v>10</v>
      </c>
      <c r="AG209" s="4">
        <v>10</v>
      </c>
      <c r="AH209" s="4">
        <v>5</v>
      </c>
      <c r="AI209" s="4">
        <v>5</v>
      </c>
      <c r="AJ209" s="4">
        <v>11</v>
      </c>
      <c r="AK209" s="4">
        <v>11</v>
      </c>
      <c r="AL209" s="4">
        <v>3</v>
      </c>
      <c r="AM209" s="4">
        <v>3</v>
      </c>
      <c r="AN209" s="4">
        <v>0</v>
      </c>
      <c r="AO209" s="4">
        <v>0</v>
      </c>
      <c r="AP209" s="3" t="s">
        <v>58</v>
      </c>
      <c r="AQ209" s="3" t="s">
        <v>58</v>
      </c>
      <c r="AS209" s="6" t="str">
        <f>HYPERLINK("https://creighton-primo.hosted.exlibrisgroup.com/primo-explore/search?tab=default_tab&amp;search_scope=EVERYTHING&amp;vid=01CRU&amp;lang=en_US&amp;offset=0&amp;query=any,contains,991004364199702656","Catalog Record")</f>
        <v>Catalog Record</v>
      </c>
      <c r="AT209" s="6" t="str">
        <f>HYPERLINK("http://www.worldcat.org/oclc/50447793","WorldCat Record")</f>
        <v>WorldCat Record</v>
      </c>
      <c r="AU209" s="3" t="s">
        <v>2895</v>
      </c>
      <c r="AV209" s="3" t="s">
        <v>2896</v>
      </c>
      <c r="AW209" s="3" t="s">
        <v>2897</v>
      </c>
      <c r="AX209" s="3" t="s">
        <v>2897</v>
      </c>
      <c r="AY209" s="3" t="s">
        <v>2898</v>
      </c>
      <c r="AZ209" s="3" t="s">
        <v>74</v>
      </c>
      <c r="BB209" s="3" t="s">
        <v>2899</v>
      </c>
      <c r="BC209" s="3" t="s">
        <v>2900</v>
      </c>
      <c r="BD209" s="3" t="s">
        <v>2901</v>
      </c>
    </row>
    <row r="210" spans="1:56" ht="45.75" customHeight="1" x14ac:dyDescent="0.25">
      <c r="A210" s="7" t="s">
        <v>58</v>
      </c>
      <c r="B210" s="2" t="s">
        <v>2902</v>
      </c>
      <c r="C210" s="2" t="s">
        <v>2903</v>
      </c>
      <c r="D210" s="2" t="s">
        <v>2904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2905</v>
      </c>
      <c r="L210" s="2" t="s">
        <v>2906</v>
      </c>
      <c r="M210" s="3" t="s">
        <v>220</v>
      </c>
      <c r="O210" s="3" t="s">
        <v>65</v>
      </c>
      <c r="P210" s="3" t="s">
        <v>84</v>
      </c>
      <c r="R210" s="3" t="s">
        <v>67</v>
      </c>
      <c r="S210" s="4">
        <v>3</v>
      </c>
      <c r="T210" s="4">
        <v>3</v>
      </c>
      <c r="U210" s="5" t="s">
        <v>2065</v>
      </c>
      <c r="V210" s="5" t="s">
        <v>2065</v>
      </c>
      <c r="W210" s="5" t="s">
        <v>2907</v>
      </c>
      <c r="X210" s="5" t="s">
        <v>2907</v>
      </c>
      <c r="Y210" s="4">
        <v>955</v>
      </c>
      <c r="Z210" s="4">
        <v>917</v>
      </c>
      <c r="AA210" s="4">
        <v>922</v>
      </c>
      <c r="AB210" s="4">
        <v>8</v>
      </c>
      <c r="AC210" s="4">
        <v>8</v>
      </c>
      <c r="AD210" s="4">
        <v>28</v>
      </c>
      <c r="AE210" s="4">
        <v>28</v>
      </c>
      <c r="AF210" s="4">
        <v>13</v>
      </c>
      <c r="AG210" s="4">
        <v>13</v>
      </c>
      <c r="AH210" s="4">
        <v>8</v>
      </c>
      <c r="AI210" s="4">
        <v>8</v>
      </c>
      <c r="AJ210" s="4">
        <v>13</v>
      </c>
      <c r="AK210" s="4">
        <v>13</v>
      </c>
      <c r="AL210" s="4">
        <v>5</v>
      </c>
      <c r="AM210" s="4">
        <v>5</v>
      </c>
      <c r="AN210" s="4">
        <v>0</v>
      </c>
      <c r="AO210" s="4">
        <v>0</v>
      </c>
      <c r="AP210" s="3" t="s">
        <v>58</v>
      </c>
      <c r="AQ210" s="3" t="s">
        <v>87</v>
      </c>
      <c r="AR210" s="6" t="str">
        <f>HYPERLINK("http://catalog.hathitrust.org/Record/004037532","HathiTrust Record")</f>
        <v>HathiTrust Record</v>
      </c>
      <c r="AS210" s="6" t="str">
        <f>HYPERLINK("https://creighton-primo.hosted.exlibrisgroup.com/primo-explore/search?tab=default_tab&amp;search_scope=EVERYTHING&amp;vid=01CRU&amp;lang=en_US&amp;offset=0&amp;query=any,contains,991002982539702656","Catalog Record")</f>
        <v>Catalog Record</v>
      </c>
      <c r="AT210" s="6" t="str">
        <f>HYPERLINK("http://www.worldcat.org/oclc/40150519","WorldCat Record")</f>
        <v>WorldCat Record</v>
      </c>
      <c r="AU210" s="3" t="s">
        <v>2908</v>
      </c>
      <c r="AV210" s="3" t="s">
        <v>2909</v>
      </c>
      <c r="AW210" s="3" t="s">
        <v>2910</v>
      </c>
      <c r="AX210" s="3" t="s">
        <v>2910</v>
      </c>
      <c r="AY210" s="3" t="s">
        <v>2911</v>
      </c>
      <c r="AZ210" s="3" t="s">
        <v>74</v>
      </c>
      <c r="BB210" s="3" t="s">
        <v>2912</v>
      </c>
      <c r="BC210" s="3" t="s">
        <v>2913</v>
      </c>
      <c r="BD210" s="3" t="s">
        <v>2914</v>
      </c>
    </row>
    <row r="211" spans="1:56" ht="45.75" customHeight="1" x14ac:dyDescent="0.25">
      <c r="A211" s="7" t="s">
        <v>58</v>
      </c>
      <c r="B211" s="2" t="s">
        <v>2915</v>
      </c>
      <c r="C211" s="2" t="s">
        <v>2916</v>
      </c>
      <c r="D211" s="2" t="s">
        <v>2917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2918</v>
      </c>
      <c r="L211" s="2" t="s">
        <v>2919</v>
      </c>
      <c r="M211" s="3" t="s">
        <v>147</v>
      </c>
      <c r="O211" s="3" t="s">
        <v>65</v>
      </c>
      <c r="P211" s="3" t="s">
        <v>190</v>
      </c>
      <c r="R211" s="3" t="s">
        <v>67</v>
      </c>
      <c r="S211" s="4">
        <v>1</v>
      </c>
      <c r="T211" s="4">
        <v>1</v>
      </c>
      <c r="U211" s="5" t="s">
        <v>2920</v>
      </c>
      <c r="V211" s="5" t="s">
        <v>2920</v>
      </c>
      <c r="W211" s="5" t="s">
        <v>2920</v>
      </c>
      <c r="X211" s="5" t="s">
        <v>2920</v>
      </c>
      <c r="Y211" s="4">
        <v>596</v>
      </c>
      <c r="Z211" s="4">
        <v>539</v>
      </c>
      <c r="AA211" s="4">
        <v>539</v>
      </c>
      <c r="AB211" s="4">
        <v>6</v>
      </c>
      <c r="AC211" s="4">
        <v>6</v>
      </c>
      <c r="AD211" s="4">
        <v>26</v>
      </c>
      <c r="AE211" s="4">
        <v>26</v>
      </c>
      <c r="AF211" s="4">
        <v>11</v>
      </c>
      <c r="AG211" s="4">
        <v>11</v>
      </c>
      <c r="AH211" s="4">
        <v>5</v>
      </c>
      <c r="AI211" s="4">
        <v>5</v>
      </c>
      <c r="AJ211" s="4">
        <v>12</v>
      </c>
      <c r="AK211" s="4">
        <v>12</v>
      </c>
      <c r="AL211" s="4">
        <v>5</v>
      </c>
      <c r="AM211" s="4">
        <v>5</v>
      </c>
      <c r="AN211" s="4">
        <v>0</v>
      </c>
      <c r="AO211" s="4">
        <v>0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HYPERLINK("https://creighton-primo.hosted.exlibrisgroup.com/primo-explore/search?tab=default_tab&amp;search_scope=EVERYTHING&amp;vid=01CRU&amp;lang=en_US&amp;offset=0&amp;query=any,contains,991004250879702656","Catalog Record")</f>
        <v>Catalog Record</v>
      </c>
      <c r="AT211" s="6" t="str">
        <f>HYPERLINK("http://www.worldcat.org/oclc/51848398","WorldCat Record")</f>
        <v>WorldCat Record</v>
      </c>
      <c r="AU211" s="3" t="s">
        <v>2921</v>
      </c>
      <c r="AV211" s="3" t="s">
        <v>2922</v>
      </c>
      <c r="AW211" s="3" t="s">
        <v>2923</v>
      </c>
      <c r="AX211" s="3" t="s">
        <v>2923</v>
      </c>
      <c r="AY211" s="3" t="s">
        <v>2924</v>
      </c>
      <c r="AZ211" s="3" t="s">
        <v>74</v>
      </c>
      <c r="BB211" s="3" t="s">
        <v>2925</v>
      </c>
      <c r="BC211" s="3" t="s">
        <v>2926</v>
      </c>
      <c r="BD211" s="3" t="s">
        <v>2927</v>
      </c>
    </row>
    <row r="212" spans="1:56" ht="45.75" customHeight="1" x14ac:dyDescent="0.25">
      <c r="A212" s="7" t="s">
        <v>58</v>
      </c>
      <c r="B212" s="2" t="s">
        <v>2928</v>
      </c>
      <c r="C212" s="2" t="s">
        <v>2929</v>
      </c>
      <c r="D212" s="2" t="s">
        <v>2930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2931</v>
      </c>
      <c r="L212" s="2" t="s">
        <v>2932</v>
      </c>
      <c r="M212" s="3" t="s">
        <v>1032</v>
      </c>
      <c r="O212" s="3" t="s">
        <v>65</v>
      </c>
      <c r="P212" s="3" t="s">
        <v>66</v>
      </c>
      <c r="R212" s="3" t="s">
        <v>67</v>
      </c>
      <c r="S212" s="4">
        <v>9</v>
      </c>
      <c r="T212" s="4">
        <v>9</v>
      </c>
      <c r="U212" s="5" t="s">
        <v>2933</v>
      </c>
      <c r="V212" s="5" t="s">
        <v>2933</v>
      </c>
      <c r="W212" s="5" t="s">
        <v>2934</v>
      </c>
      <c r="X212" s="5" t="s">
        <v>2934</v>
      </c>
      <c r="Y212" s="4">
        <v>254</v>
      </c>
      <c r="Z212" s="4">
        <v>240</v>
      </c>
      <c r="AA212" s="4">
        <v>243</v>
      </c>
      <c r="AB212" s="4">
        <v>5</v>
      </c>
      <c r="AC212" s="4">
        <v>5</v>
      </c>
      <c r="AD212" s="4">
        <v>14</v>
      </c>
      <c r="AE212" s="4">
        <v>14</v>
      </c>
      <c r="AF212" s="4">
        <v>2</v>
      </c>
      <c r="AG212" s="4">
        <v>2</v>
      </c>
      <c r="AH212" s="4">
        <v>5</v>
      </c>
      <c r="AI212" s="4">
        <v>5</v>
      </c>
      <c r="AJ212" s="4">
        <v>6</v>
      </c>
      <c r="AK212" s="4">
        <v>6</v>
      </c>
      <c r="AL212" s="4">
        <v>4</v>
      </c>
      <c r="AM212" s="4">
        <v>4</v>
      </c>
      <c r="AN212" s="4">
        <v>0</v>
      </c>
      <c r="AO212" s="4">
        <v>0</v>
      </c>
      <c r="AP212" s="3" t="s">
        <v>58</v>
      </c>
      <c r="AQ212" s="3" t="s">
        <v>87</v>
      </c>
      <c r="AR212" s="6" t="str">
        <f>HYPERLINK("http://catalog.hathitrust.org/Record/003118534","HathiTrust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HYPERLINK("https://creighton-primo.hosted.exlibrisgroup.com/primo-explore/search?tab=default_tab&amp;search_scope=EVERYTHING&amp;vid=01CRU&amp;lang=en_US&amp;offset=0&amp;query=any,contains,991002726409702656","Catalog Record")</f>
        <v>Catalog Record</v>
      </c>
      <c r="AT212" s="6" t="str">
        <f>HYPERLINK("http://www.worldcat.org/oclc/35762621","WorldCat Record")</f>
        <v>WorldCat Record</v>
      </c>
      <c r="AU212" s="3" t="s">
        <v>2935</v>
      </c>
      <c r="AV212" s="3" t="s">
        <v>2936</v>
      </c>
      <c r="AW212" s="3" t="s">
        <v>2937</v>
      </c>
      <c r="AX212" s="3" t="s">
        <v>2937</v>
      </c>
      <c r="AY212" s="3" t="s">
        <v>2938</v>
      </c>
      <c r="AZ212" s="3" t="s">
        <v>74</v>
      </c>
      <c r="BB212" s="3" t="s">
        <v>2939</v>
      </c>
      <c r="BC212" s="3" t="s">
        <v>2940</v>
      </c>
      <c r="BD212" s="3" t="s">
        <v>2941</v>
      </c>
    </row>
    <row r="213" spans="1:56" ht="45.75" customHeight="1" x14ac:dyDescent="0.25">
      <c r="A213" s="7" t="s">
        <v>58</v>
      </c>
      <c r="B213" s="2" t="s">
        <v>2942</v>
      </c>
      <c r="C213" s="2" t="s">
        <v>2943</v>
      </c>
      <c r="D213" s="2" t="s">
        <v>2944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2825</v>
      </c>
      <c r="L213" s="2" t="s">
        <v>2945</v>
      </c>
      <c r="M213" s="3" t="s">
        <v>63</v>
      </c>
      <c r="O213" s="3" t="s">
        <v>65</v>
      </c>
      <c r="P213" s="3" t="s">
        <v>148</v>
      </c>
      <c r="R213" s="3" t="s">
        <v>67</v>
      </c>
      <c r="S213" s="4">
        <v>1</v>
      </c>
      <c r="T213" s="4">
        <v>1</v>
      </c>
      <c r="U213" s="5" t="s">
        <v>2946</v>
      </c>
      <c r="V213" s="5" t="s">
        <v>2946</v>
      </c>
      <c r="W213" s="5" t="s">
        <v>2946</v>
      </c>
      <c r="X213" s="5" t="s">
        <v>2946</v>
      </c>
      <c r="Y213" s="4">
        <v>174</v>
      </c>
      <c r="Z213" s="4">
        <v>148</v>
      </c>
      <c r="AA213" s="4">
        <v>148</v>
      </c>
      <c r="AB213" s="4">
        <v>4</v>
      </c>
      <c r="AC213" s="4">
        <v>4</v>
      </c>
      <c r="AD213" s="4">
        <v>10</v>
      </c>
      <c r="AE213" s="4">
        <v>10</v>
      </c>
      <c r="AF213" s="4">
        <v>2</v>
      </c>
      <c r="AG213" s="4">
        <v>2</v>
      </c>
      <c r="AH213" s="4">
        <v>2</v>
      </c>
      <c r="AI213" s="4">
        <v>2</v>
      </c>
      <c r="AJ213" s="4">
        <v>4</v>
      </c>
      <c r="AK213" s="4">
        <v>4</v>
      </c>
      <c r="AL213" s="4">
        <v>3</v>
      </c>
      <c r="AM213" s="4">
        <v>3</v>
      </c>
      <c r="AN213" s="4">
        <v>0</v>
      </c>
      <c r="AO213" s="4">
        <v>0</v>
      </c>
      <c r="AP213" s="3" t="s">
        <v>58</v>
      </c>
      <c r="AQ213" s="3" t="s">
        <v>58</v>
      </c>
      <c r="AS213" s="6" t="str">
        <f>HYPERLINK("https://creighton-primo.hosted.exlibrisgroup.com/primo-explore/search?tab=default_tab&amp;search_scope=EVERYTHING&amp;vid=01CRU&amp;lang=en_US&amp;offset=0&amp;query=any,contains,991005035799702656","Catalog Record")</f>
        <v>Catalog Record</v>
      </c>
      <c r="AT213" s="6" t="str">
        <f>HYPERLINK("http://www.worldcat.org/oclc/55228903","WorldCat Record")</f>
        <v>WorldCat Record</v>
      </c>
      <c r="AU213" s="3" t="s">
        <v>2947</v>
      </c>
      <c r="AV213" s="3" t="s">
        <v>2948</v>
      </c>
      <c r="AW213" s="3" t="s">
        <v>2949</v>
      </c>
      <c r="AX213" s="3" t="s">
        <v>2949</v>
      </c>
      <c r="AY213" s="3" t="s">
        <v>2950</v>
      </c>
      <c r="AZ213" s="3" t="s">
        <v>74</v>
      </c>
      <c r="BB213" s="3" t="s">
        <v>2951</v>
      </c>
      <c r="BC213" s="3" t="s">
        <v>2952</v>
      </c>
      <c r="BD213" s="3" t="s">
        <v>2953</v>
      </c>
    </row>
    <row r="214" spans="1:56" ht="45.75" customHeight="1" x14ac:dyDescent="0.25">
      <c r="A214" s="7" t="s">
        <v>58</v>
      </c>
      <c r="B214" s="2" t="s">
        <v>2954</v>
      </c>
      <c r="C214" s="2" t="s">
        <v>2955</v>
      </c>
      <c r="D214" s="2" t="s">
        <v>2956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2957</v>
      </c>
      <c r="L214" s="2" t="s">
        <v>2958</v>
      </c>
      <c r="M214" s="3" t="s">
        <v>203</v>
      </c>
      <c r="O214" s="3" t="s">
        <v>65</v>
      </c>
      <c r="P214" s="3" t="s">
        <v>84</v>
      </c>
      <c r="R214" s="3" t="s">
        <v>67</v>
      </c>
      <c r="S214" s="4">
        <v>3</v>
      </c>
      <c r="T214" s="4">
        <v>3</v>
      </c>
      <c r="U214" s="5" t="s">
        <v>1268</v>
      </c>
      <c r="V214" s="5" t="s">
        <v>1268</v>
      </c>
      <c r="W214" s="5" t="s">
        <v>2959</v>
      </c>
      <c r="X214" s="5" t="s">
        <v>2959</v>
      </c>
      <c r="Y214" s="4">
        <v>414</v>
      </c>
      <c r="Z214" s="4">
        <v>329</v>
      </c>
      <c r="AA214" s="4">
        <v>1043</v>
      </c>
      <c r="AB214" s="4">
        <v>3</v>
      </c>
      <c r="AC214" s="4">
        <v>27</v>
      </c>
      <c r="AD214" s="4">
        <v>17</v>
      </c>
      <c r="AE214" s="4">
        <v>46</v>
      </c>
      <c r="AF214" s="4">
        <v>4</v>
      </c>
      <c r="AG214" s="4">
        <v>14</v>
      </c>
      <c r="AH214" s="4">
        <v>5</v>
      </c>
      <c r="AI214" s="4">
        <v>8</v>
      </c>
      <c r="AJ214" s="4">
        <v>9</v>
      </c>
      <c r="AK214" s="4">
        <v>16</v>
      </c>
      <c r="AL214" s="4">
        <v>2</v>
      </c>
      <c r="AM214" s="4">
        <v>12</v>
      </c>
      <c r="AN214" s="4">
        <v>0</v>
      </c>
      <c r="AO214" s="4">
        <v>2</v>
      </c>
      <c r="AP214" s="3" t="s">
        <v>58</v>
      </c>
      <c r="AQ214" s="3" t="s">
        <v>58</v>
      </c>
      <c r="AS214" s="6" t="str">
        <f>HYPERLINK("https://creighton-primo.hosted.exlibrisgroup.com/primo-explore/search?tab=default_tab&amp;search_scope=EVERYTHING&amp;vid=01CRU&amp;lang=en_US&amp;offset=0&amp;query=any,contains,991004744219702656","Catalog Record")</f>
        <v>Catalog Record</v>
      </c>
      <c r="AT214" s="6" t="str">
        <f>HYPERLINK("http://www.worldcat.org/oclc/48493902","WorldCat Record")</f>
        <v>WorldCat Record</v>
      </c>
      <c r="AU214" s="3" t="s">
        <v>2960</v>
      </c>
      <c r="AV214" s="3" t="s">
        <v>2961</v>
      </c>
      <c r="AW214" s="3" t="s">
        <v>2962</v>
      </c>
      <c r="AX214" s="3" t="s">
        <v>2962</v>
      </c>
      <c r="AY214" s="3" t="s">
        <v>2963</v>
      </c>
      <c r="AZ214" s="3" t="s">
        <v>74</v>
      </c>
      <c r="BB214" s="3" t="s">
        <v>2964</v>
      </c>
      <c r="BC214" s="3" t="s">
        <v>2965</v>
      </c>
      <c r="BD214" s="3" t="s">
        <v>2966</v>
      </c>
    </row>
    <row r="215" spans="1:56" ht="45.75" customHeight="1" x14ac:dyDescent="0.25">
      <c r="A215" s="7" t="s">
        <v>58</v>
      </c>
      <c r="B215" s="2" t="s">
        <v>2967</v>
      </c>
      <c r="C215" s="2" t="s">
        <v>2968</v>
      </c>
      <c r="D215" s="2" t="s">
        <v>2969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L215" s="2" t="s">
        <v>2970</v>
      </c>
      <c r="M215" s="3" t="s">
        <v>867</v>
      </c>
      <c r="O215" s="3" t="s">
        <v>65</v>
      </c>
      <c r="P215" s="3" t="s">
        <v>84</v>
      </c>
      <c r="R215" s="3" t="s">
        <v>67</v>
      </c>
      <c r="S215" s="4">
        <v>6</v>
      </c>
      <c r="T215" s="4">
        <v>6</v>
      </c>
      <c r="U215" s="5" t="s">
        <v>2971</v>
      </c>
      <c r="V215" s="5" t="s">
        <v>2971</v>
      </c>
      <c r="W215" s="5" t="s">
        <v>2375</v>
      </c>
      <c r="X215" s="5" t="s">
        <v>2375</v>
      </c>
      <c r="Y215" s="4">
        <v>187</v>
      </c>
      <c r="Z215" s="4">
        <v>149</v>
      </c>
      <c r="AA215" s="4">
        <v>157</v>
      </c>
      <c r="AB215" s="4">
        <v>4</v>
      </c>
      <c r="AC215" s="4">
        <v>4</v>
      </c>
      <c r="AD215" s="4">
        <v>11</v>
      </c>
      <c r="AE215" s="4">
        <v>11</v>
      </c>
      <c r="AF215" s="4">
        <v>4</v>
      </c>
      <c r="AG215" s="4">
        <v>4</v>
      </c>
      <c r="AH215" s="4">
        <v>2</v>
      </c>
      <c r="AI215" s="4">
        <v>2</v>
      </c>
      <c r="AJ215" s="4">
        <v>3</v>
      </c>
      <c r="AK215" s="4">
        <v>3</v>
      </c>
      <c r="AL215" s="4">
        <v>3</v>
      </c>
      <c r="AM215" s="4">
        <v>3</v>
      </c>
      <c r="AN215" s="4">
        <v>0</v>
      </c>
      <c r="AO215" s="4">
        <v>0</v>
      </c>
      <c r="AP215" s="3" t="s">
        <v>58</v>
      </c>
      <c r="AQ215" s="3" t="s">
        <v>87</v>
      </c>
      <c r="AR215" s="6" t="str">
        <f>HYPERLINK("http://catalog.hathitrust.org/Record/002780035","HathiTrust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HYPERLINK("https://creighton-primo.hosted.exlibrisgroup.com/primo-explore/search?tab=default_tab&amp;search_scope=EVERYTHING&amp;vid=01CRU&amp;lang=en_US&amp;offset=0&amp;query=any,contains,991002072359702656","Catalog Record")</f>
        <v>Catalog Record</v>
      </c>
      <c r="AT215" s="6" t="str">
        <f>HYPERLINK("http://www.worldcat.org/oclc/26547714","WorldCat Record")</f>
        <v>WorldCat Record</v>
      </c>
      <c r="AU215" s="3" t="s">
        <v>2972</v>
      </c>
      <c r="AV215" s="3" t="s">
        <v>2973</v>
      </c>
      <c r="AW215" s="3" t="s">
        <v>2974</v>
      </c>
      <c r="AX215" s="3" t="s">
        <v>2974</v>
      </c>
      <c r="AY215" s="3" t="s">
        <v>2975</v>
      </c>
      <c r="AZ215" s="3" t="s">
        <v>74</v>
      </c>
      <c r="BB215" s="3" t="s">
        <v>2976</v>
      </c>
      <c r="BC215" s="3" t="s">
        <v>2977</v>
      </c>
      <c r="BD215" s="3" t="s">
        <v>2978</v>
      </c>
    </row>
    <row r="216" spans="1:56" ht="45.75" customHeight="1" x14ac:dyDescent="0.25">
      <c r="A216" s="7" t="s">
        <v>58</v>
      </c>
      <c r="B216" s="2" t="s">
        <v>2979</v>
      </c>
      <c r="C216" s="2" t="s">
        <v>2980</v>
      </c>
      <c r="D216" s="2" t="s">
        <v>2981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L216" s="2" t="s">
        <v>2982</v>
      </c>
      <c r="M216" s="3" t="s">
        <v>573</v>
      </c>
      <c r="O216" s="3" t="s">
        <v>65</v>
      </c>
      <c r="P216" s="3" t="s">
        <v>175</v>
      </c>
      <c r="R216" s="3" t="s">
        <v>67</v>
      </c>
      <c r="S216" s="4">
        <v>1</v>
      </c>
      <c r="T216" s="4">
        <v>1</v>
      </c>
      <c r="U216" s="5" t="s">
        <v>2983</v>
      </c>
      <c r="V216" s="5" t="s">
        <v>2983</v>
      </c>
      <c r="W216" s="5" t="s">
        <v>2983</v>
      </c>
      <c r="X216" s="5" t="s">
        <v>2983</v>
      </c>
      <c r="Y216" s="4">
        <v>281</v>
      </c>
      <c r="Z216" s="4">
        <v>198</v>
      </c>
      <c r="AA216" s="4">
        <v>216</v>
      </c>
      <c r="AB216" s="4">
        <v>2</v>
      </c>
      <c r="AC216" s="4">
        <v>2</v>
      </c>
      <c r="AD216" s="4">
        <v>14</v>
      </c>
      <c r="AE216" s="4">
        <v>14</v>
      </c>
      <c r="AF216" s="4">
        <v>6</v>
      </c>
      <c r="AG216" s="4">
        <v>6</v>
      </c>
      <c r="AH216" s="4">
        <v>3</v>
      </c>
      <c r="AI216" s="4">
        <v>3</v>
      </c>
      <c r="AJ216" s="4">
        <v>9</v>
      </c>
      <c r="AK216" s="4">
        <v>9</v>
      </c>
      <c r="AL216" s="4">
        <v>1</v>
      </c>
      <c r="AM216" s="4">
        <v>1</v>
      </c>
      <c r="AN216" s="4">
        <v>0</v>
      </c>
      <c r="AO216" s="4">
        <v>0</v>
      </c>
      <c r="AP216" s="3" t="s">
        <v>58</v>
      </c>
      <c r="AQ216" s="3" t="s">
        <v>58</v>
      </c>
      <c r="AS216" s="6" t="str">
        <f>HYPERLINK("https://creighton-primo.hosted.exlibrisgroup.com/primo-explore/search?tab=default_tab&amp;search_scope=EVERYTHING&amp;vid=01CRU&amp;lang=en_US&amp;offset=0&amp;query=any,contains,991004368529702656","Catalog Record")</f>
        <v>Catalog Record</v>
      </c>
      <c r="AT216" s="6" t="str">
        <f>HYPERLINK("http://www.worldcat.org/oclc/50164717","WorldCat Record")</f>
        <v>WorldCat Record</v>
      </c>
      <c r="AU216" s="3" t="s">
        <v>2984</v>
      </c>
      <c r="AV216" s="3" t="s">
        <v>2985</v>
      </c>
      <c r="AW216" s="3" t="s">
        <v>2986</v>
      </c>
      <c r="AX216" s="3" t="s">
        <v>2986</v>
      </c>
      <c r="AY216" s="3" t="s">
        <v>2987</v>
      </c>
      <c r="AZ216" s="3" t="s">
        <v>74</v>
      </c>
      <c r="BB216" s="3" t="s">
        <v>2988</v>
      </c>
      <c r="BC216" s="3" t="s">
        <v>2989</v>
      </c>
      <c r="BD216" s="3" t="s">
        <v>2990</v>
      </c>
    </row>
    <row r="217" spans="1:56" ht="45.75" customHeight="1" x14ac:dyDescent="0.25">
      <c r="A217" s="7" t="s">
        <v>58</v>
      </c>
      <c r="B217" s="2" t="s">
        <v>2991</v>
      </c>
      <c r="C217" s="2" t="s">
        <v>2992</v>
      </c>
      <c r="D217" s="2" t="s">
        <v>2993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K217" s="2" t="s">
        <v>2994</v>
      </c>
      <c r="L217" s="2" t="s">
        <v>2995</v>
      </c>
      <c r="M217" s="3" t="s">
        <v>742</v>
      </c>
      <c r="O217" s="3" t="s">
        <v>65</v>
      </c>
      <c r="P217" s="3" t="s">
        <v>175</v>
      </c>
      <c r="Q217" s="2" t="s">
        <v>2996</v>
      </c>
      <c r="R217" s="3" t="s">
        <v>67</v>
      </c>
      <c r="S217" s="4">
        <v>9</v>
      </c>
      <c r="T217" s="4">
        <v>9</v>
      </c>
      <c r="U217" s="5" t="s">
        <v>2997</v>
      </c>
      <c r="V217" s="5" t="s">
        <v>2997</v>
      </c>
      <c r="W217" s="5" t="s">
        <v>2415</v>
      </c>
      <c r="X217" s="5" t="s">
        <v>2415</v>
      </c>
      <c r="Y217" s="4">
        <v>747</v>
      </c>
      <c r="Z217" s="4">
        <v>589</v>
      </c>
      <c r="AA217" s="4">
        <v>594</v>
      </c>
      <c r="AB217" s="4">
        <v>4</v>
      </c>
      <c r="AC217" s="4">
        <v>4</v>
      </c>
      <c r="AD217" s="4">
        <v>28</v>
      </c>
      <c r="AE217" s="4">
        <v>28</v>
      </c>
      <c r="AF217" s="4">
        <v>10</v>
      </c>
      <c r="AG217" s="4">
        <v>10</v>
      </c>
      <c r="AH217" s="4">
        <v>8</v>
      </c>
      <c r="AI217" s="4">
        <v>8</v>
      </c>
      <c r="AJ217" s="4">
        <v>16</v>
      </c>
      <c r="AK217" s="4">
        <v>16</v>
      </c>
      <c r="AL217" s="4">
        <v>3</v>
      </c>
      <c r="AM217" s="4">
        <v>3</v>
      </c>
      <c r="AN217" s="4">
        <v>0</v>
      </c>
      <c r="AO217" s="4">
        <v>0</v>
      </c>
      <c r="AP217" s="3" t="s">
        <v>58</v>
      </c>
      <c r="AQ217" s="3" t="s">
        <v>58</v>
      </c>
      <c r="AS217" s="6" t="str">
        <f>HYPERLINK("https://creighton-primo.hosted.exlibrisgroup.com/primo-explore/search?tab=default_tab&amp;search_scope=EVERYTHING&amp;vid=01CRU&amp;lang=en_US&amp;offset=0&amp;query=any,contains,991001389119702656","Catalog Record")</f>
        <v>Catalog Record</v>
      </c>
      <c r="AT217" s="6" t="str">
        <f>HYPERLINK("http://www.worldcat.org/oclc/19640851","WorldCat Record")</f>
        <v>WorldCat Record</v>
      </c>
      <c r="AU217" s="3" t="s">
        <v>2998</v>
      </c>
      <c r="AV217" s="3" t="s">
        <v>2999</v>
      </c>
      <c r="AW217" s="3" t="s">
        <v>3000</v>
      </c>
      <c r="AX217" s="3" t="s">
        <v>3000</v>
      </c>
      <c r="AY217" s="3" t="s">
        <v>3001</v>
      </c>
      <c r="AZ217" s="3" t="s">
        <v>74</v>
      </c>
      <c r="BB217" s="3" t="s">
        <v>3002</v>
      </c>
      <c r="BC217" s="3" t="s">
        <v>3003</v>
      </c>
      <c r="BD217" s="3" t="s">
        <v>3004</v>
      </c>
    </row>
    <row r="218" spans="1:56" ht="45.75" customHeight="1" x14ac:dyDescent="0.25">
      <c r="A218" s="7" t="s">
        <v>58</v>
      </c>
      <c r="B218" s="2" t="s">
        <v>3005</v>
      </c>
      <c r="C218" s="2" t="s">
        <v>3006</v>
      </c>
      <c r="D218" s="2" t="s">
        <v>3007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L218" s="2" t="s">
        <v>3008</v>
      </c>
      <c r="M218" s="3" t="s">
        <v>573</v>
      </c>
      <c r="O218" s="3" t="s">
        <v>65</v>
      </c>
      <c r="P218" s="3" t="s">
        <v>84</v>
      </c>
      <c r="R218" s="3" t="s">
        <v>67</v>
      </c>
      <c r="S218" s="4">
        <v>2</v>
      </c>
      <c r="T218" s="4">
        <v>2</v>
      </c>
      <c r="U218" s="5" t="s">
        <v>2190</v>
      </c>
      <c r="V218" s="5" t="s">
        <v>2190</v>
      </c>
      <c r="W218" s="5" t="s">
        <v>3009</v>
      </c>
      <c r="X218" s="5" t="s">
        <v>3009</v>
      </c>
      <c r="Y218" s="4">
        <v>143</v>
      </c>
      <c r="Z218" s="4">
        <v>121</v>
      </c>
      <c r="AA218" s="4">
        <v>149</v>
      </c>
      <c r="AB218" s="4">
        <v>3</v>
      </c>
      <c r="AC218" s="4">
        <v>3</v>
      </c>
      <c r="AD218" s="4">
        <v>3</v>
      </c>
      <c r="AE218" s="4">
        <v>3</v>
      </c>
      <c r="AF218" s="4">
        <v>0</v>
      </c>
      <c r="AG218" s="4">
        <v>0</v>
      </c>
      <c r="AH218" s="4">
        <v>0</v>
      </c>
      <c r="AI218" s="4">
        <v>0</v>
      </c>
      <c r="AJ218" s="4">
        <v>1</v>
      </c>
      <c r="AK218" s="4">
        <v>1</v>
      </c>
      <c r="AL218" s="4">
        <v>2</v>
      </c>
      <c r="AM218" s="4">
        <v>2</v>
      </c>
      <c r="AN218" s="4">
        <v>0</v>
      </c>
      <c r="AO218" s="4">
        <v>0</v>
      </c>
      <c r="AP218" s="3" t="s">
        <v>58</v>
      </c>
      <c r="AQ218" s="3" t="s">
        <v>58</v>
      </c>
      <c r="AS218" s="6" t="str">
        <f>HYPERLINK("https://creighton-primo.hosted.exlibrisgroup.com/primo-explore/search?tab=default_tab&amp;search_scope=EVERYTHING&amp;vid=01CRU&amp;lang=en_US&amp;offset=0&amp;query=any,contains,991004547909702656","Catalog Record")</f>
        <v>Catalog Record</v>
      </c>
      <c r="AT218" s="6" t="str">
        <f>HYPERLINK("http://www.worldcat.org/oclc/51726837","WorldCat Record")</f>
        <v>WorldCat Record</v>
      </c>
      <c r="AU218" s="3" t="s">
        <v>3010</v>
      </c>
      <c r="AV218" s="3" t="s">
        <v>3011</v>
      </c>
      <c r="AW218" s="3" t="s">
        <v>3012</v>
      </c>
      <c r="AX218" s="3" t="s">
        <v>3012</v>
      </c>
      <c r="AY218" s="3" t="s">
        <v>3013</v>
      </c>
      <c r="AZ218" s="3" t="s">
        <v>74</v>
      </c>
      <c r="BB218" s="3" t="s">
        <v>3014</v>
      </c>
      <c r="BC218" s="3" t="s">
        <v>3015</v>
      </c>
      <c r="BD218" s="3" t="s">
        <v>3016</v>
      </c>
    </row>
    <row r="219" spans="1:56" ht="45.75" customHeight="1" x14ac:dyDescent="0.25">
      <c r="A219" s="7" t="s">
        <v>58</v>
      </c>
      <c r="B219" s="2" t="s">
        <v>3017</v>
      </c>
      <c r="C219" s="2" t="s">
        <v>3018</v>
      </c>
      <c r="D219" s="2" t="s">
        <v>3019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L219" s="2" t="s">
        <v>3020</v>
      </c>
      <c r="M219" s="3" t="s">
        <v>528</v>
      </c>
      <c r="O219" s="3" t="s">
        <v>65</v>
      </c>
      <c r="P219" s="3" t="s">
        <v>66</v>
      </c>
      <c r="R219" s="3" t="s">
        <v>67</v>
      </c>
      <c r="S219" s="4">
        <v>12</v>
      </c>
      <c r="T219" s="4">
        <v>12</v>
      </c>
      <c r="U219" s="5" t="s">
        <v>3021</v>
      </c>
      <c r="V219" s="5" t="s">
        <v>3021</v>
      </c>
      <c r="W219" s="5" t="s">
        <v>3022</v>
      </c>
      <c r="X219" s="5" t="s">
        <v>3022</v>
      </c>
      <c r="Y219" s="4">
        <v>1152</v>
      </c>
      <c r="Z219" s="4">
        <v>1015</v>
      </c>
      <c r="AA219" s="4">
        <v>1429</v>
      </c>
      <c r="AB219" s="4">
        <v>8</v>
      </c>
      <c r="AC219" s="4">
        <v>11</v>
      </c>
      <c r="AD219" s="4">
        <v>51</v>
      </c>
      <c r="AE219" s="4">
        <v>56</v>
      </c>
      <c r="AF219" s="4">
        <v>20</v>
      </c>
      <c r="AG219" s="4">
        <v>22</v>
      </c>
      <c r="AH219" s="4">
        <v>10</v>
      </c>
      <c r="AI219" s="4">
        <v>10</v>
      </c>
      <c r="AJ219" s="4">
        <v>22</v>
      </c>
      <c r="AK219" s="4">
        <v>22</v>
      </c>
      <c r="AL219" s="4">
        <v>7</v>
      </c>
      <c r="AM219" s="4">
        <v>10</v>
      </c>
      <c r="AN219" s="4">
        <v>5</v>
      </c>
      <c r="AO219" s="4">
        <v>5</v>
      </c>
      <c r="AP219" s="3" t="s">
        <v>58</v>
      </c>
      <c r="AQ219" s="3" t="s">
        <v>87</v>
      </c>
      <c r="AR219" s="6" t="str">
        <f>HYPERLINK("http://catalog.hathitrust.org/Record/002448346","HathiTrust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HYPERLINK("https://creighton-primo.hosted.exlibrisgroup.com/primo-explore/search?tab=default_tab&amp;search_scope=EVERYTHING&amp;vid=01CRU&amp;lang=en_US&amp;offset=0&amp;query=any,contains,991001815019702656","Catalog Record")</f>
        <v>Catalog Record</v>
      </c>
      <c r="AT219" s="6" t="str">
        <f>HYPERLINK("http://www.worldcat.org/oclc/22809295","WorldCat Record")</f>
        <v>WorldCat Record</v>
      </c>
      <c r="AU219" s="3" t="s">
        <v>3023</v>
      </c>
      <c r="AV219" s="3" t="s">
        <v>3024</v>
      </c>
      <c r="AW219" s="3" t="s">
        <v>3025</v>
      </c>
      <c r="AX219" s="3" t="s">
        <v>3025</v>
      </c>
      <c r="AY219" s="3" t="s">
        <v>3026</v>
      </c>
      <c r="AZ219" s="3" t="s">
        <v>74</v>
      </c>
      <c r="BB219" s="3" t="s">
        <v>3027</v>
      </c>
      <c r="BC219" s="3" t="s">
        <v>3028</v>
      </c>
      <c r="BD219" s="3" t="s">
        <v>3029</v>
      </c>
    </row>
    <row r="220" spans="1:56" ht="45.75" customHeight="1" x14ac:dyDescent="0.25">
      <c r="A220" s="7" t="s">
        <v>58</v>
      </c>
      <c r="B220" s="2" t="s">
        <v>3030</v>
      </c>
      <c r="C220" s="2" t="s">
        <v>3031</v>
      </c>
      <c r="D220" s="2" t="s">
        <v>3032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K220" s="2" t="s">
        <v>3033</v>
      </c>
      <c r="L220" s="2" t="s">
        <v>3034</v>
      </c>
      <c r="M220" s="3" t="s">
        <v>573</v>
      </c>
      <c r="N220" s="2" t="s">
        <v>543</v>
      </c>
      <c r="O220" s="3" t="s">
        <v>65</v>
      </c>
      <c r="P220" s="3" t="s">
        <v>84</v>
      </c>
      <c r="R220" s="3" t="s">
        <v>67</v>
      </c>
      <c r="S220" s="4">
        <v>1</v>
      </c>
      <c r="T220" s="4">
        <v>1</v>
      </c>
      <c r="U220" s="5" t="s">
        <v>2273</v>
      </c>
      <c r="V220" s="5" t="s">
        <v>2273</v>
      </c>
      <c r="W220" s="5" t="s">
        <v>2273</v>
      </c>
      <c r="X220" s="5" t="s">
        <v>2273</v>
      </c>
      <c r="Y220" s="4">
        <v>1093</v>
      </c>
      <c r="Z220" s="4">
        <v>1078</v>
      </c>
      <c r="AA220" s="4">
        <v>1091</v>
      </c>
      <c r="AB220" s="4">
        <v>11</v>
      </c>
      <c r="AC220" s="4">
        <v>11</v>
      </c>
      <c r="AD220" s="4">
        <v>17</v>
      </c>
      <c r="AE220" s="4">
        <v>17</v>
      </c>
      <c r="AF220" s="4">
        <v>7</v>
      </c>
      <c r="AG220" s="4">
        <v>7</v>
      </c>
      <c r="AH220" s="4">
        <v>3</v>
      </c>
      <c r="AI220" s="4">
        <v>3</v>
      </c>
      <c r="AJ220" s="4">
        <v>7</v>
      </c>
      <c r="AK220" s="4">
        <v>7</v>
      </c>
      <c r="AL220" s="4">
        <v>3</v>
      </c>
      <c r="AM220" s="4">
        <v>3</v>
      </c>
      <c r="AN220" s="4">
        <v>0</v>
      </c>
      <c r="AO220" s="4">
        <v>0</v>
      </c>
      <c r="AP220" s="3" t="s">
        <v>58</v>
      </c>
      <c r="AQ220" s="3" t="s">
        <v>58</v>
      </c>
      <c r="AS220" s="6" t="str">
        <f>HYPERLINK("https://creighton-primo.hosted.exlibrisgroup.com/primo-explore/search?tab=default_tab&amp;search_scope=EVERYTHING&amp;vid=01CRU&amp;lang=en_US&amp;offset=0&amp;query=any,contains,991004286289702656","Catalog Record")</f>
        <v>Catalog Record</v>
      </c>
      <c r="AT220" s="6" t="str">
        <f>HYPERLINK("http://www.worldcat.org/oclc/51477151","WorldCat Record")</f>
        <v>WorldCat Record</v>
      </c>
      <c r="AU220" s="3" t="s">
        <v>3035</v>
      </c>
      <c r="AV220" s="3" t="s">
        <v>3036</v>
      </c>
      <c r="AW220" s="3" t="s">
        <v>3037</v>
      </c>
      <c r="AX220" s="3" t="s">
        <v>3037</v>
      </c>
      <c r="AY220" s="3" t="s">
        <v>3038</v>
      </c>
      <c r="AZ220" s="3" t="s">
        <v>74</v>
      </c>
      <c r="BB220" s="3" t="s">
        <v>3039</v>
      </c>
      <c r="BC220" s="3" t="s">
        <v>3040</v>
      </c>
      <c r="BD220" s="3" t="s">
        <v>3041</v>
      </c>
    </row>
    <row r="221" spans="1:56" ht="45.75" customHeight="1" x14ac:dyDescent="0.25">
      <c r="A221" s="7" t="s">
        <v>58</v>
      </c>
      <c r="B221" s="2" t="s">
        <v>3042</v>
      </c>
      <c r="C221" s="2" t="s">
        <v>3043</v>
      </c>
      <c r="D221" s="2" t="s">
        <v>3044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3045</v>
      </c>
      <c r="L221" s="2" t="s">
        <v>3046</v>
      </c>
      <c r="M221" s="3" t="s">
        <v>307</v>
      </c>
      <c r="O221" s="3" t="s">
        <v>65</v>
      </c>
      <c r="P221" s="3" t="s">
        <v>204</v>
      </c>
      <c r="R221" s="3" t="s">
        <v>67</v>
      </c>
      <c r="S221" s="4">
        <v>11</v>
      </c>
      <c r="T221" s="4">
        <v>11</v>
      </c>
      <c r="U221" s="5" t="s">
        <v>3047</v>
      </c>
      <c r="V221" s="5" t="s">
        <v>3047</v>
      </c>
      <c r="W221" s="5" t="s">
        <v>3048</v>
      </c>
      <c r="X221" s="5" t="s">
        <v>3048</v>
      </c>
      <c r="Y221" s="4">
        <v>386</v>
      </c>
      <c r="Z221" s="4">
        <v>328</v>
      </c>
      <c r="AA221" s="4">
        <v>536</v>
      </c>
      <c r="AB221" s="4">
        <v>3</v>
      </c>
      <c r="AC221" s="4">
        <v>4</v>
      </c>
      <c r="AD221" s="4">
        <v>20</v>
      </c>
      <c r="AE221" s="4">
        <v>27</v>
      </c>
      <c r="AF221" s="4">
        <v>5</v>
      </c>
      <c r="AG221" s="4">
        <v>10</v>
      </c>
      <c r="AH221" s="4">
        <v>7</v>
      </c>
      <c r="AI221" s="4">
        <v>9</v>
      </c>
      <c r="AJ221" s="4">
        <v>13</v>
      </c>
      <c r="AK221" s="4">
        <v>14</v>
      </c>
      <c r="AL221" s="4">
        <v>2</v>
      </c>
      <c r="AM221" s="4">
        <v>3</v>
      </c>
      <c r="AN221" s="4">
        <v>0</v>
      </c>
      <c r="AO221" s="4">
        <v>0</v>
      </c>
      <c r="AP221" s="3" t="s">
        <v>58</v>
      </c>
      <c r="AQ221" s="3" t="s">
        <v>58</v>
      </c>
      <c r="AS221" s="6" t="str">
        <f>HYPERLINK("https://creighton-primo.hosted.exlibrisgroup.com/primo-explore/search?tab=default_tab&amp;search_scope=EVERYTHING&amp;vid=01CRU&amp;lang=en_US&amp;offset=0&amp;query=any,contains,991002449429702656","Catalog Record")</f>
        <v>Catalog Record</v>
      </c>
      <c r="AT221" s="6" t="str">
        <f>HYPERLINK("http://www.worldcat.org/oclc/31937655","WorldCat Record")</f>
        <v>WorldCat Record</v>
      </c>
      <c r="AU221" s="3" t="s">
        <v>3049</v>
      </c>
      <c r="AV221" s="3" t="s">
        <v>3050</v>
      </c>
      <c r="AW221" s="3" t="s">
        <v>3051</v>
      </c>
      <c r="AX221" s="3" t="s">
        <v>3051</v>
      </c>
      <c r="AY221" s="3" t="s">
        <v>3052</v>
      </c>
      <c r="AZ221" s="3" t="s">
        <v>74</v>
      </c>
      <c r="BB221" s="3" t="s">
        <v>3053</v>
      </c>
      <c r="BC221" s="3" t="s">
        <v>3054</v>
      </c>
      <c r="BD221" s="3" t="s">
        <v>3055</v>
      </c>
    </row>
    <row r="222" spans="1:56" ht="45.75" customHeight="1" x14ac:dyDescent="0.25">
      <c r="A222" s="7" t="s">
        <v>58</v>
      </c>
      <c r="B222" s="2" t="s">
        <v>3056</v>
      </c>
      <c r="C222" s="2" t="s">
        <v>3057</v>
      </c>
      <c r="D222" s="2" t="s">
        <v>3058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3059</v>
      </c>
      <c r="L222" s="2" t="s">
        <v>3060</v>
      </c>
      <c r="M222" s="3" t="s">
        <v>131</v>
      </c>
      <c r="O222" s="3" t="s">
        <v>65</v>
      </c>
      <c r="P222" s="3" t="s">
        <v>175</v>
      </c>
      <c r="R222" s="3" t="s">
        <v>67</v>
      </c>
      <c r="S222" s="4">
        <v>2</v>
      </c>
      <c r="T222" s="4">
        <v>2</v>
      </c>
      <c r="U222" s="5" t="s">
        <v>3061</v>
      </c>
      <c r="V222" s="5" t="s">
        <v>3061</v>
      </c>
      <c r="W222" s="5" t="s">
        <v>3061</v>
      </c>
      <c r="X222" s="5" t="s">
        <v>3061</v>
      </c>
      <c r="Y222" s="4">
        <v>212</v>
      </c>
      <c r="Z222" s="4">
        <v>131</v>
      </c>
      <c r="AA222" s="4">
        <v>490</v>
      </c>
      <c r="AB222" s="4">
        <v>1</v>
      </c>
      <c r="AC222" s="4">
        <v>3</v>
      </c>
      <c r="AD222" s="4">
        <v>8</v>
      </c>
      <c r="AE222" s="4">
        <v>14</v>
      </c>
      <c r="AF222" s="4">
        <v>2</v>
      </c>
      <c r="AG222" s="4">
        <v>6</v>
      </c>
      <c r="AH222" s="4">
        <v>2</v>
      </c>
      <c r="AI222" s="4">
        <v>3</v>
      </c>
      <c r="AJ222" s="4">
        <v>6</v>
      </c>
      <c r="AK222" s="4">
        <v>7</v>
      </c>
      <c r="AL222" s="4">
        <v>0</v>
      </c>
      <c r="AM222" s="4">
        <v>2</v>
      </c>
      <c r="AN222" s="4">
        <v>0</v>
      </c>
      <c r="AO222" s="4">
        <v>0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HYPERLINK("https://creighton-primo.hosted.exlibrisgroup.com/primo-explore/search?tab=default_tab&amp;search_scope=EVERYTHING&amp;vid=01CRU&amp;lang=en_US&amp;offset=0&amp;query=any,contains,991005263229702656","Catalog Record")</f>
        <v>Catalog Record</v>
      </c>
      <c r="AT222" s="6" t="str">
        <f>HYPERLINK("http://www.worldcat.org/oclc/57528642","WorldCat Record")</f>
        <v>WorldCat Record</v>
      </c>
      <c r="AU222" s="3" t="s">
        <v>3062</v>
      </c>
      <c r="AV222" s="3" t="s">
        <v>3063</v>
      </c>
      <c r="AW222" s="3" t="s">
        <v>3064</v>
      </c>
      <c r="AX222" s="3" t="s">
        <v>3064</v>
      </c>
      <c r="AY222" s="3" t="s">
        <v>3065</v>
      </c>
      <c r="AZ222" s="3" t="s">
        <v>74</v>
      </c>
      <c r="BB222" s="3" t="s">
        <v>3066</v>
      </c>
      <c r="BC222" s="3" t="s">
        <v>3067</v>
      </c>
      <c r="BD222" s="3" t="s">
        <v>3068</v>
      </c>
    </row>
    <row r="223" spans="1:56" ht="45.75" customHeight="1" x14ac:dyDescent="0.25">
      <c r="A223" s="7" t="s">
        <v>58</v>
      </c>
      <c r="B223" s="2" t="s">
        <v>3069</v>
      </c>
      <c r="C223" s="2" t="s">
        <v>3070</v>
      </c>
      <c r="D223" s="2" t="s">
        <v>3071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3072</v>
      </c>
      <c r="L223" s="2" t="s">
        <v>3073</v>
      </c>
      <c r="M223" s="3" t="s">
        <v>147</v>
      </c>
      <c r="O223" s="3" t="s">
        <v>65</v>
      </c>
      <c r="P223" s="3" t="s">
        <v>336</v>
      </c>
      <c r="R223" s="3" t="s">
        <v>67</v>
      </c>
      <c r="S223" s="4">
        <v>5</v>
      </c>
      <c r="T223" s="4">
        <v>5</v>
      </c>
      <c r="U223" s="5" t="s">
        <v>3074</v>
      </c>
      <c r="V223" s="5" t="s">
        <v>3074</v>
      </c>
      <c r="W223" s="5" t="s">
        <v>3075</v>
      </c>
      <c r="X223" s="5" t="s">
        <v>3075</v>
      </c>
      <c r="Y223" s="4">
        <v>504</v>
      </c>
      <c r="Z223" s="4">
        <v>356</v>
      </c>
      <c r="AA223" s="4">
        <v>861</v>
      </c>
      <c r="AB223" s="4">
        <v>2</v>
      </c>
      <c r="AC223" s="4">
        <v>6</v>
      </c>
      <c r="AD223" s="4">
        <v>20</v>
      </c>
      <c r="AE223" s="4">
        <v>41</v>
      </c>
      <c r="AF223" s="4">
        <v>8</v>
      </c>
      <c r="AG223" s="4">
        <v>17</v>
      </c>
      <c r="AH223" s="4">
        <v>7</v>
      </c>
      <c r="AI223" s="4">
        <v>9</v>
      </c>
      <c r="AJ223" s="4">
        <v>9</v>
      </c>
      <c r="AK223" s="4">
        <v>18</v>
      </c>
      <c r="AL223" s="4">
        <v>1</v>
      </c>
      <c r="AM223" s="4">
        <v>5</v>
      </c>
      <c r="AN223" s="4">
        <v>0</v>
      </c>
      <c r="AO223" s="4">
        <v>1</v>
      </c>
      <c r="AP223" s="3" t="s">
        <v>58</v>
      </c>
      <c r="AQ223" s="3" t="s">
        <v>58</v>
      </c>
      <c r="AS223" s="6" t="str">
        <f>HYPERLINK("https://creighton-primo.hosted.exlibrisgroup.com/primo-explore/search?tab=default_tab&amp;search_scope=EVERYTHING&amp;vid=01CRU&amp;lang=en_US&amp;offset=0&amp;query=any,contains,991005030649702656","Catalog Record")</f>
        <v>Catalog Record</v>
      </c>
      <c r="AT223" s="6" t="str">
        <f>HYPERLINK("http://www.worldcat.org/oclc/53096998","WorldCat Record")</f>
        <v>WorldCat Record</v>
      </c>
      <c r="AU223" s="3" t="s">
        <v>3076</v>
      </c>
      <c r="AV223" s="3" t="s">
        <v>3077</v>
      </c>
      <c r="AW223" s="3" t="s">
        <v>3078</v>
      </c>
      <c r="AX223" s="3" t="s">
        <v>3078</v>
      </c>
      <c r="AY223" s="3" t="s">
        <v>3079</v>
      </c>
      <c r="AZ223" s="3" t="s">
        <v>74</v>
      </c>
      <c r="BB223" s="3" t="s">
        <v>3080</v>
      </c>
      <c r="BC223" s="3" t="s">
        <v>3081</v>
      </c>
      <c r="BD223" s="3" t="s">
        <v>3082</v>
      </c>
    </row>
    <row r="224" spans="1:56" ht="45.75" customHeight="1" x14ac:dyDescent="0.25">
      <c r="A224" s="7" t="s">
        <v>58</v>
      </c>
      <c r="B224" s="2" t="s">
        <v>3083</v>
      </c>
      <c r="C224" s="2" t="s">
        <v>3084</v>
      </c>
      <c r="D224" s="2" t="s">
        <v>3085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3086</v>
      </c>
      <c r="L224" s="2" t="s">
        <v>3087</v>
      </c>
      <c r="M224" s="3" t="s">
        <v>1998</v>
      </c>
      <c r="O224" s="3" t="s">
        <v>65</v>
      </c>
      <c r="P224" s="3" t="s">
        <v>175</v>
      </c>
      <c r="Q224" s="2" t="s">
        <v>3088</v>
      </c>
      <c r="R224" s="3" t="s">
        <v>67</v>
      </c>
      <c r="S224" s="4">
        <v>2</v>
      </c>
      <c r="T224" s="4">
        <v>2</v>
      </c>
      <c r="U224" s="5" t="s">
        <v>2879</v>
      </c>
      <c r="V224" s="5" t="s">
        <v>2879</v>
      </c>
      <c r="W224" s="5" t="s">
        <v>2880</v>
      </c>
      <c r="X224" s="5" t="s">
        <v>2880</v>
      </c>
      <c r="Y224" s="4">
        <v>384</v>
      </c>
      <c r="Z224" s="4">
        <v>225</v>
      </c>
      <c r="AA224" s="4">
        <v>226</v>
      </c>
      <c r="AB224" s="4">
        <v>4</v>
      </c>
      <c r="AC224" s="4">
        <v>4</v>
      </c>
      <c r="AD224" s="4">
        <v>11</v>
      </c>
      <c r="AE224" s="4">
        <v>11</v>
      </c>
      <c r="AF224" s="4">
        <v>4</v>
      </c>
      <c r="AG224" s="4">
        <v>4</v>
      </c>
      <c r="AH224" s="4">
        <v>2</v>
      </c>
      <c r="AI224" s="4">
        <v>2</v>
      </c>
      <c r="AJ224" s="4">
        <v>4</v>
      </c>
      <c r="AK224" s="4">
        <v>4</v>
      </c>
      <c r="AL224" s="4">
        <v>3</v>
      </c>
      <c r="AM224" s="4">
        <v>3</v>
      </c>
      <c r="AN224" s="4">
        <v>0</v>
      </c>
      <c r="AO224" s="4">
        <v>0</v>
      </c>
      <c r="AP224" s="3" t="s">
        <v>58</v>
      </c>
      <c r="AQ224" s="3" t="s">
        <v>87</v>
      </c>
      <c r="AR224" s="6" t="str">
        <f>HYPERLINK("http://catalog.hathitrust.org/Record/000028125","HathiTrust Record")</f>
        <v>HathiTrust Record</v>
      </c>
      <c r="AS224" s="6" t="str">
        <f>HYPERLINK("https://creighton-primo.hosted.exlibrisgroup.com/primo-explore/search?tab=default_tab&amp;search_scope=EVERYTHING&amp;vid=01CRU&amp;lang=en_US&amp;offset=0&amp;query=any,contains,991003659019702656","Catalog Record")</f>
        <v>Catalog Record</v>
      </c>
      <c r="AT224" s="6" t="str">
        <f>HYPERLINK("http://www.worldcat.org/oclc/1265463","WorldCat Record")</f>
        <v>WorldCat Record</v>
      </c>
      <c r="AU224" s="3" t="s">
        <v>3089</v>
      </c>
      <c r="AV224" s="3" t="s">
        <v>3090</v>
      </c>
      <c r="AW224" s="3" t="s">
        <v>3091</v>
      </c>
      <c r="AX224" s="3" t="s">
        <v>3091</v>
      </c>
      <c r="AY224" s="3" t="s">
        <v>3092</v>
      </c>
      <c r="AZ224" s="3" t="s">
        <v>74</v>
      </c>
      <c r="BB224" s="3" t="s">
        <v>3093</v>
      </c>
      <c r="BC224" s="3" t="s">
        <v>3094</v>
      </c>
      <c r="BD224" s="3" t="s">
        <v>3095</v>
      </c>
    </row>
    <row r="225" spans="1:56" ht="45.75" customHeight="1" x14ac:dyDescent="0.25">
      <c r="A225" s="7" t="s">
        <v>58</v>
      </c>
      <c r="B225" s="2" t="s">
        <v>3096</v>
      </c>
      <c r="C225" s="2" t="s">
        <v>3097</v>
      </c>
      <c r="D225" s="2" t="s">
        <v>3098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3099</v>
      </c>
      <c r="L225" s="2" t="s">
        <v>3100</v>
      </c>
      <c r="M225" s="3" t="s">
        <v>100</v>
      </c>
      <c r="O225" s="3" t="s">
        <v>65</v>
      </c>
      <c r="P225" s="3" t="s">
        <v>84</v>
      </c>
      <c r="R225" s="3" t="s">
        <v>67</v>
      </c>
      <c r="S225" s="4">
        <v>3</v>
      </c>
      <c r="T225" s="4">
        <v>3</v>
      </c>
      <c r="U225" s="5" t="s">
        <v>3101</v>
      </c>
      <c r="V225" s="5" t="s">
        <v>3101</v>
      </c>
      <c r="W225" s="5" t="s">
        <v>2880</v>
      </c>
      <c r="X225" s="5" t="s">
        <v>2880</v>
      </c>
      <c r="Y225" s="4">
        <v>455</v>
      </c>
      <c r="Z225" s="4">
        <v>346</v>
      </c>
      <c r="AA225" s="4">
        <v>348</v>
      </c>
      <c r="AB225" s="4">
        <v>4</v>
      </c>
      <c r="AC225" s="4">
        <v>4</v>
      </c>
      <c r="AD225" s="4">
        <v>17</v>
      </c>
      <c r="AE225" s="4">
        <v>17</v>
      </c>
      <c r="AF225" s="4">
        <v>5</v>
      </c>
      <c r="AG225" s="4">
        <v>5</v>
      </c>
      <c r="AH225" s="4">
        <v>4</v>
      </c>
      <c r="AI225" s="4">
        <v>4</v>
      </c>
      <c r="AJ225" s="4">
        <v>9</v>
      </c>
      <c r="AK225" s="4">
        <v>9</v>
      </c>
      <c r="AL225" s="4">
        <v>2</v>
      </c>
      <c r="AM225" s="4">
        <v>2</v>
      </c>
      <c r="AN225" s="4">
        <v>1</v>
      </c>
      <c r="AO225" s="4">
        <v>1</v>
      </c>
      <c r="AP225" s="3" t="s">
        <v>58</v>
      </c>
      <c r="AQ225" s="3" t="s">
        <v>87</v>
      </c>
      <c r="AR225" s="6" t="str">
        <f>HYPERLINK("http://catalog.hathitrust.org/Record/001131425","HathiTrust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HYPERLINK("https://creighton-primo.hosted.exlibrisgroup.com/primo-explore/search?tab=default_tab&amp;search_scope=EVERYTHING&amp;vid=01CRU&amp;lang=en_US&amp;offset=0&amp;query=any,contains,991003445239702656","Catalog Record")</f>
        <v>Catalog Record</v>
      </c>
      <c r="AT225" s="6" t="str">
        <f>HYPERLINK("http://www.worldcat.org/oclc/980383","WorldCat Record")</f>
        <v>WorldCat Record</v>
      </c>
      <c r="AU225" s="3" t="s">
        <v>3102</v>
      </c>
      <c r="AV225" s="3" t="s">
        <v>3103</v>
      </c>
      <c r="AW225" s="3" t="s">
        <v>3104</v>
      </c>
      <c r="AX225" s="3" t="s">
        <v>3104</v>
      </c>
      <c r="AY225" s="3" t="s">
        <v>3105</v>
      </c>
      <c r="AZ225" s="3" t="s">
        <v>74</v>
      </c>
      <c r="BB225" s="3" t="s">
        <v>3106</v>
      </c>
      <c r="BC225" s="3" t="s">
        <v>3107</v>
      </c>
      <c r="BD225" s="3" t="s">
        <v>3108</v>
      </c>
    </row>
    <row r="226" spans="1:56" ht="45.75" customHeight="1" x14ac:dyDescent="0.25">
      <c r="A226" s="7" t="s">
        <v>58</v>
      </c>
      <c r="B226" s="2" t="s">
        <v>3109</v>
      </c>
      <c r="C226" s="2" t="s">
        <v>3110</v>
      </c>
      <c r="D226" s="2" t="s">
        <v>3111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3112</v>
      </c>
      <c r="L226" s="2" t="s">
        <v>3113</v>
      </c>
      <c r="M226" s="3" t="s">
        <v>1500</v>
      </c>
      <c r="O226" s="3" t="s">
        <v>65</v>
      </c>
      <c r="P226" s="3" t="s">
        <v>84</v>
      </c>
      <c r="R226" s="3" t="s">
        <v>67</v>
      </c>
      <c r="S226" s="4">
        <v>4</v>
      </c>
      <c r="T226" s="4">
        <v>4</v>
      </c>
      <c r="U226" s="5" t="s">
        <v>3114</v>
      </c>
      <c r="V226" s="5" t="s">
        <v>3114</v>
      </c>
      <c r="W226" s="5" t="s">
        <v>3115</v>
      </c>
      <c r="X226" s="5" t="s">
        <v>3115</v>
      </c>
      <c r="Y226" s="4">
        <v>401</v>
      </c>
      <c r="Z226" s="4">
        <v>368</v>
      </c>
      <c r="AA226" s="4">
        <v>386</v>
      </c>
      <c r="AB226" s="4">
        <v>2</v>
      </c>
      <c r="AC226" s="4">
        <v>2</v>
      </c>
      <c r="AD226" s="4">
        <v>11</v>
      </c>
      <c r="AE226" s="4">
        <v>12</v>
      </c>
      <c r="AF226" s="4">
        <v>5</v>
      </c>
      <c r="AG226" s="4">
        <v>5</v>
      </c>
      <c r="AH226" s="4">
        <v>2</v>
      </c>
      <c r="AI226" s="4">
        <v>2</v>
      </c>
      <c r="AJ226" s="4">
        <v>7</v>
      </c>
      <c r="AK226" s="4">
        <v>8</v>
      </c>
      <c r="AL226" s="4">
        <v>1</v>
      </c>
      <c r="AM226" s="4">
        <v>1</v>
      </c>
      <c r="AN226" s="4">
        <v>0</v>
      </c>
      <c r="AO226" s="4">
        <v>0</v>
      </c>
      <c r="AP226" s="3" t="s">
        <v>58</v>
      </c>
      <c r="AQ226" s="3" t="s">
        <v>58</v>
      </c>
      <c r="AS226" s="6" t="str">
        <f>HYPERLINK("https://creighton-primo.hosted.exlibrisgroup.com/primo-explore/search?tab=default_tab&amp;search_scope=EVERYTHING&amp;vid=01CRU&amp;lang=en_US&amp;offset=0&amp;query=any,contains,991004904239702656","Catalog Record")</f>
        <v>Catalog Record</v>
      </c>
      <c r="AT226" s="6" t="str">
        <f>HYPERLINK("http://www.worldcat.org/oclc/5943157","WorldCat Record")</f>
        <v>WorldCat Record</v>
      </c>
      <c r="AU226" s="3" t="s">
        <v>3116</v>
      </c>
      <c r="AV226" s="3" t="s">
        <v>3117</v>
      </c>
      <c r="AW226" s="3" t="s">
        <v>3118</v>
      </c>
      <c r="AX226" s="3" t="s">
        <v>3118</v>
      </c>
      <c r="AY226" s="3" t="s">
        <v>3119</v>
      </c>
      <c r="AZ226" s="3" t="s">
        <v>74</v>
      </c>
      <c r="BB226" s="3" t="s">
        <v>3120</v>
      </c>
      <c r="BC226" s="3" t="s">
        <v>3121</v>
      </c>
      <c r="BD226" s="3" t="s">
        <v>3122</v>
      </c>
    </row>
    <row r="227" spans="1:56" ht="45.75" customHeight="1" x14ac:dyDescent="0.25">
      <c r="A227" s="7" t="s">
        <v>58</v>
      </c>
      <c r="B227" s="2" t="s">
        <v>3123</v>
      </c>
      <c r="C227" s="2" t="s">
        <v>3124</v>
      </c>
      <c r="D227" s="2" t="s">
        <v>3125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3126</v>
      </c>
      <c r="L227" s="2" t="s">
        <v>3127</v>
      </c>
      <c r="M227" s="3" t="s">
        <v>1623</v>
      </c>
      <c r="O227" s="3" t="s">
        <v>65</v>
      </c>
      <c r="P227" s="3" t="s">
        <v>84</v>
      </c>
      <c r="R227" s="3" t="s">
        <v>67</v>
      </c>
      <c r="S227" s="4">
        <v>1</v>
      </c>
      <c r="T227" s="4">
        <v>1</v>
      </c>
      <c r="U227" s="5" t="s">
        <v>3101</v>
      </c>
      <c r="V227" s="5" t="s">
        <v>3101</v>
      </c>
      <c r="W227" s="5" t="s">
        <v>3128</v>
      </c>
      <c r="X227" s="5" t="s">
        <v>3128</v>
      </c>
      <c r="Y227" s="4">
        <v>161</v>
      </c>
      <c r="Z227" s="4">
        <v>134</v>
      </c>
      <c r="AA227" s="4">
        <v>136</v>
      </c>
      <c r="AB227" s="4">
        <v>2</v>
      </c>
      <c r="AC227" s="4">
        <v>2</v>
      </c>
      <c r="AD227" s="4">
        <v>7</v>
      </c>
      <c r="AE227" s="4">
        <v>7</v>
      </c>
      <c r="AF227" s="4">
        <v>1</v>
      </c>
      <c r="AG227" s="4">
        <v>1</v>
      </c>
      <c r="AH227" s="4">
        <v>1</v>
      </c>
      <c r="AI227" s="4">
        <v>1</v>
      </c>
      <c r="AJ227" s="4">
        <v>5</v>
      </c>
      <c r="AK227" s="4">
        <v>5</v>
      </c>
      <c r="AL227" s="4">
        <v>1</v>
      </c>
      <c r="AM227" s="4">
        <v>1</v>
      </c>
      <c r="AN227" s="4">
        <v>0</v>
      </c>
      <c r="AO227" s="4">
        <v>0</v>
      </c>
      <c r="AP227" s="3" t="s">
        <v>58</v>
      </c>
      <c r="AQ227" s="3" t="s">
        <v>87</v>
      </c>
      <c r="AR227" s="6" t="str">
        <f>HYPERLINK("http://catalog.hathitrust.org/Record/001131434","HathiTrust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HYPERLINK("https://creighton-primo.hosted.exlibrisgroup.com/primo-explore/search?tab=default_tab&amp;search_scope=EVERYTHING&amp;vid=01CRU&amp;lang=en_US&amp;offset=0&amp;query=any,contains,991002062669702656","Catalog Record")</f>
        <v>Catalog Record</v>
      </c>
      <c r="AT227" s="6" t="str">
        <f>HYPERLINK("http://www.worldcat.org/oclc/263181","WorldCat Record")</f>
        <v>WorldCat Record</v>
      </c>
      <c r="AU227" s="3" t="s">
        <v>3129</v>
      </c>
      <c r="AV227" s="3" t="s">
        <v>3130</v>
      </c>
      <c r="AW227" s="3" t="s">
        <v>3131</v>
      </c>
      <c r="AX227" s="3" t="s">
        <v>3131</v>
      </c>
      <c r="AY227" s="3" t="s">
        <v>3132</v>
      </c>
      <c r="AZ227" s="3" t="s">
        <v>74</v>
      </c>
      <c r="BC227" s="3" t="s">
        <v>3133</v>
      </c>
      <c r="BD227" s="3" t="s">
        <v>3134</v>
      </c>
    </row>
    <row r="228" spans="1:56" ht="45.75" customHeight="1" x14ac:dyDescent="0.25">
      <c r="A228" s="7" t="s">
        <v>58</v>
      </c>
      <c r="B228" s="2" t="s">
        <v>3135</v>
      </c>
      <c r="C228" s="2" t="s">
        <v>3136</v>
      </c>
      <c r="D228" s="2" t="s">
        <v>3137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L228" s="2" t="s">
        <v>3138</v>
      </c>
      <c r="M228" s="3" t="s">
        <v>1032</v>
      </c>
      <c r="O228" s="3" t="s">
        <v>65</v>
      </c>
      <c r="P228" s="3" t="s">
        <v>148</v>
      </c>
      <c r="R228" s="3" t="s">
        <v>67</v>
      </c>
      <c r="S228" s="4">
        <v>3</v>
      </c>
      <c r="T228" s="4">
        <v>3</v>
      </c>
      <c r="U228" s="5" t="s">
        <v>3139</v>
      </c>
      <c r="V228" s="5" t="s">
        <v>3139</v>
      </c>
      <c r="W228" s="5" t="s">
        <v>3140</v>
      </c>
      <c r="X228" s="5" t="s">
        <v>3140</v>
      </c>
      <c r="Y228" s="4">
        <v>306</v>
      </c>
      <c r="Z228" s="4">
        <v>250</v>
      </c>
      <c r="AA228" s="4">
        <v>252</v>
      </c>
      <c r="AB228" s="4">
        <v>3</v>
      </c>
      <c r="AC228" s="4">
        <v>3</v>
      </c>
      <c r="AD228" s="4">
        <v>14</v>
      </c>
      <c r="AE228" s="4">
        <v>14</v>
      </c>
      <c r="AF228" s="4">
        <v>5</v>
      </c>
      <c r="AG228" s="4">
        <v>5</v>
      </c>
      <c r="AH228" s="4">
        <v>2</v>
      </c>
      <c r="AI228" s="4">
        <v>2</v>
      </c>
      <c r="AJ228" s="4">
        <v>9</v>
      </c>
      <c r="AK228" s="4">
        <v>9</v>
      </c>
      <c r="AL228" s="4">
        <v>2</v>
      </c>
      <c r="AM228" s="4">
        <v>2</v>
      </c>
      <c r="AN228" s="4">
        <v>0</v>
      </c>
      <c r="AO228" s="4">
        <v>0</v>
      </c>
      <c r="AP228" s="3" t="s">
        <v>58</v>
      </c>
      <c r="AQ228" s="3" t="s">
        <v>87</v>
      </c>
      <c r="AR228" s="6" t="str">
        <f>HYPERLINK("http://catalog.hathitrust.org/Record/003133611","HathiTrust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HYPERLINK("https://creighton-primo.hosted.exlibrisgroup.com/primo-explore/search?tab=default_tab&amp;search_scope=EVERYTHING&amp;vid=01CRU&amp;lang=en_US&amp;offset=0&amp;query=any,contains,991002660129702656","Catalog Record")</f>
        <v>Catalog Record</v>
      </c>
      <c r="AT228" s="6" t="str">
        <f>HYPERLINK("http://www.worldcat.org/oclc/34772128","WorldCat Record")</f>
        <v>WorldCat Record</v>
      </c>
      <c r="AU228" s="3" t="s">
        <v>3141</v>
      </c>
      <c r="AV228" s="3" t="s">
        <v>3142</v>
      </c>
      <c r="AW228" s="3" t="s">
        <v>3143</v>
      </c>
      <c r="AX228" s="3" t="s">
        <v>3143</v>
      </c>
      <c r="AY228" s="3" t="s">
        <v>3144</v>
      </c>
      <c r="AZ228" s="3" t="s">
        <v>74</v>
      </c>
      <c r="BB228" s="3" t="s">
        <v>3145</v>
      </c>
      <c r="BC228" s="3" t="s">
        <v>3146</v>
      </c>
      <c r="BD228" s="3" t="s">
        <v>3147</v>
      </c>
    </row>
    <row r="229" spans="1:56" ht="45.75" customHeight="1" x14ac:dyDescent="0.25">
      <c r="A229" s="7" t="s">
        <v>58</v>
      </c>
      <c r="B229" s="2" t="s">
        <v>3148</v>
      </c>
      <c r="C229" s="2" t="s">
        <v>3149</v>
      </c>
      <c r="D229" s="2" t="s">
        <v>3150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3151</v>
      </c>
      <c r="L229" s="2" t="s">
        <v>3152</v>
      </c>
      <c r="M229" s="3" t="s">
        <v>1500</v>
      </c>
      <c r="O229" s="3" t="s">
        <v>65</v>
      </c>
      <c r="P229" s="3" t="s">
        <v>84</v>
      </c>
      <c r="R229" s="3" t="s">
        <v>67</v>
      </c>
      <c r="S229" s="4">
        <v>5</v>
      </c>
      <c r="T229" s="4">
        <v>5</v>
      </c>
      <c r="U229" s="5" t="s">
        <v>3153</v>
      </c>
      <c r="V229" s="5" t="s">
        <v>3153</v>
      </c>
      <c r="W229" s="5" t="s">
        <v>3154</v>
      </c>
      <c r="X229" s="5" t="s">
        <v>3154</v>
      </c>
      <c r="Y229" s="4">
        <v>1276</v>
      </c>
      <c r="Z229" s="4">
        <v>1100</v>
      </c>
      <c r="AA229" s="4">
        <v>1107</v>
      </c>
      <c r="AB229" s="4">
        <v>5</v>
      </c>
      <c r="AC229" s="4">
        <v>5</v>
      </c>
      <c r="AD229" s="4">
        <v>41</v>
      </c>
      <c r="AE229" s="4">
        <v>41</v>
      </c>
      <c r="AF229" s="4">
        <v>20</v>
      </c>
      <c r="AG229" s="4">
        <v>20</v>
      </c>
      <c r="AH229" s="4">
        <v>7</v>
      </c>
      <c r="AI229" s="4">
        <v>7</v>
      </c>
      <c r="AJ229" s="4">
        <v>19</v>
      </c>
      <c r="AK229" s="4">
        <v>19</v>
      </c>
      <c r="AL229" s="4">
        <v>4</v>
      </c>
      <c r="AM229" s="4">
        <v>4</v>
      </c>
      <c r="AN229" s="4">
        <v>1</v>
      </c>
      <c r="AO229" s="4">
        <v>1</v>
      </c>
      <c r="AP229" s="3" t="s">
        <v>58</v>
      </c>
      <c r="AQ229" s="3" t="s">
        <v>87</v>
      </c>
      <c r="AR229" s="6" t="str">
        <f>HYPERLINK("http://catalog.hathitrust.org/Record/000039937","HathiTrust Record")</f>
        <v>HathiTrust Record</v>
      </c>
      <c r="AS229" s="6" t="str">
        <f>HYPERLINK("https://creighton-primo.hosted.exlibrisgroup.com/primo-explore/search?tab=default_tab&amp;search_scope=EVERYTHING&amp;vid=01CRU&amp;lang=en_US&amp;offset=0&amp;query=any,contains,991004896019702656","Catalog Record")</f>
        <v>Catalog Record</v>
      </c>
      <c r="AT229" s="6" t="str">
        <f>HYPERLINK("http://www.worldcat.org/oclc/5893893","WorldCat Record")</f>
        <v>WorldCat Record</v>
      </c>
      <c r="AU229" s="3" t="s">
        <v>3155</v>
      </c>
      <c r="AV229" s="3" t="s">
        <v>3156</v>
      </c>
      <c r="AW229" s="3" t="s">
        <v>3157</v>
      </c>
      <c r="AX229" s="3" t="s">
        <v>3157</v>
      </c>
      <c r="AY229" s="3" t="s">
        <v>3158</v>
      </c>
      <c r="AZ229" s="3" t="s">
        <v>74</v>
      </c>
      <c r="BB229" s="3" t="s">
        <v>3159</v>
      </c>
      <c r="BC229" s="3" t="s">
        <v>3160</v>
      </c>
      <c r="BD229" s="3" t="s">
        <v>3161</v>
      </c>
    </row>
    <row r="230" spans="1:56" ht="45.75" customHeight="1" x14ac:dyDescent="0.25">
      <c r="A230" s="7" t="s">
        <v>58</v>
      </c>
      <c r="B230" s="2" t="s">
        <v>3162</v>
      </c>
      <c r="C230" s="2" t="s">
        <v>3163</v>
      </c>
      <c r="D230" s="2" t="s">
        <v>3164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K230" s="2" t="s">
        <v>3165</v>
      </c>
      <c r="L230" s="2" t="s">
        <v>3166</v>
      </c>
      <c r="M230" s="3" t="s">
        <v>220</v>
      </c>
      <c r="O230" s="3" t="s">
        <v>65</v>
      </c>
      <c r="P230" s="3" t="s">
        <v>84</v>
      </c>
      <c r="Q230" s="2" t="s">
        <v>3167</v>
      </c>
      <c r="R230" s="3" t="s">
        <v>67</v>
      </c>
      <c r="S230" s="4">
        <v>2</v>
      </c>
      <c r="T230" s="4">
        <v>2</v>
      </c>
      <c r="U230" s="5" t="s">
        <v>2572</v>
      </c>
      <c r="V230" s="5" t="s">
        <v>2572</v>
      </c>
      <c r="W230" s="5" t="s">
        <v>3168</v>
      </c>
      <c r="X230" s="5" t="s">
        <v>3168</v>
      </c>
      <c r="Y230" s="4">
        <v>140</v>
      </c>
      <c r="Z230" s="4">
        <v>118</v>
      </c>
      <c r="AA230" s="4">
        <v>120</v>
      </c>
      <c r="AB230" s="4">
        <v>3</v>
      </c>
      <c r="AC230" s="4">
        <v>3</v>
      </c>
      <c r="AD230" s="4">
        <v>7</v>
      </c>
      <c r="AE230" s="4">
        <v>7</v>
      </c>
      <c r="AF230" s="4">
        <v>3</v>
      </c>
      <c r="AG230" s="4">
        <v>3</v>
      </c>
      <c r="AH230" s="4">
        <v>0</v>
      </c>
      <c r="AI230" s="4">
        <v>0</v>
      </c>
      <c r="AJ230" s="4">
        <v>4</v>
      </c>
      <c r="AK230" s="4">
        <v>4</v>
      </c>
      <c r="AL230" s="4">
        <v>2</v>
      </c>
      <c r="AM230" s="4">
        <v>2</v>
      </c>
      <c r="AN230" s="4">
        <v>0</v>
      </c>
      <c r="AO230" s="4">
        <v>0</v>
      </c>
      <c r="AP230" s="3" t="s">
        <v>58</v>
      </c>
      <c r="AQ230" s="3" t="s">
        <v>87</v>
      </c>
      <c r="AR230" s="6" t="str">
        <f>HYPERLINK("http://catalog.hathitrust.org/Record/010693801","HathiTrust Record")</f>
        <v>HathiTrust Record</v>
      </c>
      <c r="AS230" s="6" t="str">
        <f>HYPERLINK("https://creighton-primo.hosted.exlibrisgroup.com/primo-explore/search?tab=default_tab&amp;search_scope=EVERYTHING&amp;vid=01CRU&amp;lang=en_US&amp;offset=0&amp;query=any,contains,991002999069702656","Catalog Record")</f>
        <v>Catalog Record</v>
      </c>
      <c r="AT230" s="6" t="str">
        <f>HYPERLINK("http://www.worldcat.org/oclc/40595364","WorldCat Record")</f>
        <v>WorldCat Record</v>
      </c>
      <c r="AU230" s="3" t="s">
        <v>3169</v>
      </c>
      <c r="AV230" s="3" t="s">
        <v>3170</v>
      </c>
      <c r="AW230" s="3" t="s">
        <v>3171</v>
      </c>
      <c r="AX230" s="3" t="s">
        <v>3171</v>
      </c>
      <c r="AY230" s="3" t="s">
        <v>3172</v>
      </c>
      <c r="AZ230" s="3" t="s">
        <v>74</v>
      </c>
      <c r="BB230" s="3" t="s">
        <v>3173</v>
      </c>
      <c r="BC230" s="3" t="s">
        <v>3174</v>
      </c>
      <c r="BD230" s="3" t="s">
        <v>3175</v>
      </c>
    </row>
    <row r="231" spans="1:56" ht="45.75" customHeight="1" x14ac:dyDescent="0.25">
      <c r="A231" s="7" t="s">
        <v>58</v>
      </c>
      <c r="B231" s="2" t="s">
        <v>3176</v>
      </c>
      <c r="C231" s="2" t="s">
        <v>3177</v>
      </c>
      <c r="D231" s="2" t="s">
        <v>3178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L231" s="2" t="s">
        <v>3179</v>
      </c>
      <c r="M231" s="3" t="s">
        <v>419</v>
      </c>
      <c r="O231" s="3" t="s">
        <v>65</v>
      </c>
      <c r="P231" s="3" t="s">
        <v>132</v>
      </c>
      <c r="R231" s="3" t="s">
        <v>67</v>
      </c>
      <c r="S231" s="4">
        <v>2</v>
      </c>
      <c r="T231" s="4">
        <v>2</v>
      </c>
      <c r="U231" s="5" t="s">
        <v>3180</v>
      </c>
      <c r="V231" s="5" t="s">
        <v>3180</v>
      </c>
      <c r="W231" s="5" t="s">
        <v>3181</v>
      </c>
      <c r="X231" s="5" t="s">
        <v>3181</v>
      </c>
      <c r="Y231" s="4">
        <v>344</v>
      </c>
      <c r="Z231" s="4">
        <v>259</v>
      </c>
      <c r="AA231" s="4">
        <v>284</v>
      </c>
      <c r="AB231" s="4">
        <v>2</v>
      </c>
      <c r="AC231" s="4">
        <v>2</v>
      </c>
      <c r="AD231" s="4">
        <v>13</v>
      </c>
      <c r="AE231" s="4">
        <v>13</v>
      </c>
      <c r="AF231" s="4">
        <v>4</v>
      </c>
      <c r="AG231" s="4">
        <v>4</v>
      </c>
      <c r="AH231" s="4">
        <v>4</v>
      </c>
      <c r="AI231" s="4">
        <v>4</v>
      </c>
      <c r="AJ231" s="4">
        <v>8</v>
      </c>
      <c r="AK231" s="4">
        <v>8</v>
      </c>
      <c r="AL231" s="4">
        <v>1</v>
      </c>
      <c r="AM231" s="4">
        <v>1</v>
      </c>
      <c r="AN231" s="4">
        <v>0</v>
      </c>
      <c r="AO231" s="4">
        <v>0</v>
      </c>
      <c r="AP231" s="3" t="s">
        <v>58</v>
      </c>
      <c r="AQ231" s="3" t="s">
        <v>58</v>
      </c>
      <c r="AS231" s="6" t="str">
        <f>HYPERLINK("https://creighton-primo.hosted.exlibrisgroup.com/primo-explore/search?tab=default_tab&amp;search_scope=EVERYTHING&amp;vid=01CRU&amp;lang=en_US&amp;offset=0&amp;query=any,contains,991003625249702656","Catalog Record")</f>
        <v>Catalog Record</v>
      </c>
      <c r="AT231" s="6" t="str">
        <f>HYPERLINK("http://www.worldcat.org/oclc/42863310","WorldCat Record")</f>
        <v>WorldCat Record</v>
      </c>
      <c r="AU231" s="3" t="s">
        <v>3182</v>
      </c>
      <c r="AV231" s="3" t="s">
        <v>3183</v>
      </c>
      <c r="AW231" s="3" t="s">
        <v>3184</v>
      </c>
      <c r="AX231" s="3" t="s">
        <v>3184</v>
      </c>
      <c r="AY231" s="3" t="s">
        <v>3185</v>
      </c>
      <c r="AZ231" s="3" t="s">
        <v>74</v>
      </c>
      <c r="BB231" s="3" t="s">
        <v>3186</v>
      </c>
      <c r="BC231" s="3" t="s">
        <v>3187</v>
      </c>
      <c r="BD231" s="3" t="s">
        <v>3188</v>
      </c>
    </row>
    <row r="232" spans="1:56" ht="45.75" customHeight="1" x14ac:dyDescent="0.25">
      <c r="A232" s="7" t="s">
        <v>58</v>
      </c>
      <c r="B232" s="2" t="s">
        <v>3189</v>
      </c>
      <c r="C232" s="2" t="s">
        <v>3190</v>
      </c>
      <c r="D232" s="2" t="s">
        <v>3191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K232" s="2" t="s">
        <v>3192</v>
      </c>
      <c r="L232" s="2" t="s">
        <v>3193</v>
      </c>
      <c r="M232" s="3" t="s">
        <v>1088</v>
      </c>
      <c r="O232" s="3" t="s">
        <v>65</v>
      </c>
      <c r="P232" s="3" t="s">
        <v>132</v>
      </c>
      <c r="R232" s="3" t="s">
        <v>67</v>
      </c>
      <c r="S232" s="4">
        <v>7</v>
      </c>
      <c r="T232" s="4">
        <v>7</v>
      </c>
      <c r="U232" s="5" t="s">
        <v>2879</v>
      </c>
      <c r="V232" s="5" t="s">
        <v>2879</v>
      </c>
      <c r="W232" s="5" t="s">
        <v>3194</v>
      </c>
      <c r="X232" s="5" t="s">
        <v>3194</v>
      </c>
      <c r="Y232" s="4">
        <v>344</v>
      </c>
      <c r="Z232" s="4">
        <v>284</v>
      </c>
      <c r="AA232" s="4">
        <v>286</v>
      </c>
      <c r="AB232" s="4">
        <v>2</v>
      </c>
      <c r="AC232" s="4">
        <v>2</v>
      </c>
      <c r="AD232" s="4">
        <v>12</v>
      </c>
      <c r="AE232" s="4">
        <v>12</v>
      </c>
      <c r="AF232" s="4">
        <v>3</v>
      </c>
      <c r="AG232" s="4">
        <v>3</v>
      </c>
      <c r="AH232" s="4">
        <v>3</v>
      </c>
      <c r="AI232" s="4">
        <v>3</v>
      </c>
      <c r="AJ232" s="4">
        <v>8</v>
      </c>
      <c r="AK232" s="4">
        <v>8</v>
      </c>
      <c r="AL232" s="4">
        <v>1</v>
      </c>
      <c r="AM232" s="4">
        <v>1</v>
      </c>
      <c r="AN232" s="4">
        <v>0</v>
      </c>
      <c r="AO232" s="4">
        <v>0</v>
      </c>
      <c r="AP232" s="3" t="s">
        <v>58</v>
      </c>
      <c r="AQ232" s="3" t="s">
        <v>87</v>
      </c>
      <c r="AR232" s="6" t="str">
        <f>HYPERLINK("http://catalog.hathitrust.org/Record/000611034","HathiTrust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HYPERLINK("https://creighton-primo.hosted.exlibrisgroup.com/primo-explore/search?tab=default_tab&amp;search_scope=EVERYTHING&amp;vid=01CRU&amp;lang=en_US&amp;offset=0&amp;query=any,contains,991000436379702656","Catalog Record")</f>
        <v>Catalog Record</v>
      </c>
      <c r="AT232" s="6" t="str">
        <f>HYPERLINK("http://www.worldcat.org/oclc/10799082","WorldCat Record")</f>
        <v>WorldCat Record</v>
      </c>
      <c r="AU232" s="3" t="s">
        <v>3195</v>
      </c>
      <c r="AV232" s="3" t="s">
        <v>3196</v>
      </c>
      <c r="AW232" s="3" t="s">
        <v>3197</v>
      </c>
      <c r="AX232" s="3" t="s">
        <v>3197</v>
      </c>
      <c r="AY232" s="3" t="s">
        <v>3198</v>
      </c>
      <c r="AZ232" s="3" t="s">
        <v>74</v>
      </c>
      <c r="BB232" s="3" t="s">
        <v>3199</v>
      </c>
      <c r="BC232" s="3" t="s">
        <v>3200</v>
      </c>
      <c r="BD232" s="3" t="s">
        <v>3201</v>
      </c>
    </row>
    <row r="233" spans="1:56" ht="45.75" customHeight="1" x14ac:dyDescent="0.25">
      <c r="A233" s="7" t="s">
        <v>58</v>
      </c>
      <c r="B233" s="2" t="s">
        <v>3202</v>
      </c>
      <c r="C233" s="2" t="s">
        <v>3203</v>
      </c>
      <c r="D233" s="2" t="s">
        <v>3204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K233" s="2" t="s">
        <v>3205</v>
      </c>
      <c r="L233" s="2" t="s">
        <v>3206</v>
      </c>
      <c r="M233" s="3" t="s">
        <v>1674</v>
      </c>
      <c r="O233" s="3" t="s">
        <v>65</v>
      </c>
      <c r="P233" s="3" t="s">
        <v>336</v>
      </c>
      <c r="R233" s="3" t="s">
        <v>67</v>
      </c>
      <c r="S233" s="4">
        <v>4</v>
      </c>
      <c r="T233" s="4">
        <v>4</v>
      </c>
      <c r="U233" s="5" t="s">
        <v>2879</v>
      </c>
      <c r="V233" s="5" t="s">
        <v>2879</v>
      </c>
      <c r="W233" s="5" t="s">
        <v>2880</v>
      </c>
      <c r="X233" s="5" t="s">
        <v>2880</v>
      </c>
      <c r="Y233" s="4">
        <v>521</v>
      </c>
      <c r="Z233" s="4">
        <v>385</v>
      </c>
      <c r="AA233" s="4">
        <v>631</v>
      </c>
      <c r="AB233" s="4">
        <v>4</v>
      </c>
      <c r="AC233" s="4">
        <v>6</v>
      </c>
      <c r="AD233" s="4">
        <v>13</v>
      </c>
      <c r="AE233" s="4">
        <v>26</v>
      </c>
      <c r="AF233" s="4">
        <v>3</v>
      </c>
      <c r="AG233" s="4">
        <v>9</v>
      </c>
      <c r="AH233" s="4">
        <v>4</v>
      </c>
      <c r="AI233" s="4">
        <v>5</v>
      </c>
      <c r="AJ233" s="4">
        <v>6</v>
      </c>
      <c r="AK233" s="4">
        <v>13</v>
      </c>
      <c r="AL233" s="4">
        <v>3</v>
      </c>
      <c r="AM233" s="4">
        <v>4</v>
      </c>
      <c r="AN233" s="4">
        <v>0</v>
      </c>
      <c r="AO233" s="4">
        <v>0</v>
      </c>
      <c r="AP233" s="3" t="s">
        <v>58</v>
      </c>
      <c r="AQ233" s="3" t="s">
        <v>87</v>
      </c>
      <c r="AR233" s="6" t="str">
        <f>HYPERLINK("http://catalog.hathitrust.org/Record/000803226","HathiTrust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HYPERLINK("https://creighton-primo.hosted.exlibrisgroup.com/primo-explore/search?tab=default_tab&amp;search_scope=EVERYTHING&amp;vid=01CRU&amp;lang=en_US&amp;offset=0&amp;query=any,contains,991000054359702656","Catalog Record")</f>
        <v>Catalog Record</v>
      </c>
      <c r="AT233" s="6" t="str">
        <f>HYPERLINK("http://www.worldcat.org/oclc/23266","WorldCat Record")</f>
        <v>WorldCat Record</v>
      </c>
      <c r="AU233" s="3" t="s">
        <v>3207</v>
      </c>
      <c r="AV233" s="3" t="s">
        <v>3208</v>
      </c>
      <c r="AW233" s="3" t="s">
        <v>3209</v>
      </c>
      <c r="AX233" s="3" t="s">
        <v>3209</v>
      </c>
      <c r="AY233" s="3" t="s">
        <v>3210</v>
      </c>
      <c r="AZ233" s="3" t="s">
        <v>74</v>
      </c>
      <c r="BB233" s="3" t="s">
        <v>3211</v>
      </c>
      <c r="BC233" s="3" t="s">
        <v>3212</v>
      </c>
      <c r="BD233" s="3" t="s">
        <v>3213</v>
      </c>
    </row>
    <row r="234" spans="1:56" ht="45.75" customHeight="1" x14ac:dyDescent="0.25">
      <c r="A234" s="7" t="s">
        <v>58</v>
      </c>
      <c r="B234" s="2" t="s">
        <v>3214</v>
      </c>
      <c r="C234" s="2" t="s">
        <v>3215</v>
      </c>
      <c r="D234" s="2" t="s">
        <v>3216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L234" s="2" t="s">
        <v>3217</v>
      </c>
      <c r="M234" s="3" t="s">
        <v>2146</v>
      </c>
      <c r="O234" s="3" t="s">
        <v>65</v>
      </c>
      <c r="P234" s="3" t="s">
        <v>84</v>
      </c>
      <c r="R234" s="3" t="s">
        <v>67</v>
      </c>
      <c r="S234" s="4">
        <v>2</v>
      </c>
      <c r="T234" s="4">
        <v>2</v>
      </c>
      <c r="U234" s="5" t="s">
        <v>2879</v>
      </c>
      <c r="V234" s="5" t="s">
        <v>2879</v>
      </c>
      <c r="W234" s="5" t="s">
        <v>2880</v>
      </c>
      <c r="X234" s="5" t="s">
        <v>2880</v>
      </c>
      <c r="Y234" s="4">
        <v>374</v>
      </c>
      <c r="Z234" s="4">
        <v>317</v>
      </c>
      <c r="AA234" s="4">
        <v>321</v>
      </c>
      <c r="AB234" s="4">
        <v>3</v>
      </c>
      <c r="AC234" s="4">
        <v>3</v>
      </c>
      <c r="AD234" s="4">
        <v>17</v>
      </c>
      <c r="AE234" s="4">
        <v>17</v>
      </c>
      <c r="AF234" s="4">
        <v>4</v>
      </c>
      <c r="AG234" s="4">
        <v>4</v>
      </c>
      <c r="AH234" s="4">
        <v>4</v>
      </c>
      <c r="AI234" s="4">
        <v>4</v>
      </c>
      <c r="AJ234" s="4">
        <v>11</v>
      </c>
      <c r="AK234" s="4">
        <v>11</v>
      </c>
      <c r="AL234" s="4">
        <v>2</v>
      </c>
      <c r="AM234" s="4">
        <v>2</v>
      </c>
      <c r="AN234" s="4">
        <v>1</v>
      </c>
      <c r="AO234" s="4">
        <v>1</v>
      </c>
      <c r="AP234" s="3" t="s">
        <v>58</v>
      </c>
      <c r="AQ234" s="3" t="s">
        <v>87</v>
      </c>
      <c r="AR234" s="6" t="str">
        <f>HYPERLINK("http://catalog.hathitrust.org/Record/000002669","HathiTrust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HYPERLINK("https://creighton-primo.hosted.exlibrisgroup.com/primo-explore/search?tab=default_tab&amp;search_scope=EVERYTHING&amp;vid=01CRU&amp;lang=en_US&amp;offset=0&amp;query=any,contains,991001085289702656","Catalog Record")</f>
        <v>Catalog Record</v>
      </c>
      <c r="AT234" s="6" t="str">
        <f>HYPERLINK("http://www.worldcat.org/oclc/180061","WorldCat Record")</f>
        <v>WorldCat Record</v>
      </c>
      <c r="AU234" s="3" t="s">
        <v>3218</v>
      </c>
      <c r="AV234" s="3" t="s">
        <v>3219</v>
      </c>
      <c r="AW234" s="3" t="s">
        <v>3220</v>
      </c>
      <c r="AX234" s="3" t="s">
        <v>3220</v>
      </c>
      <c r="AY234" s="3" t="s">
        <v>3221</v>
      </c>
      <c r="AZ234" s="3" t="s">
        <v>74</v>
      </c>
      <c r="BC234" s="3" t="s">
        <v>3222</v>
      </c>
      <c r="BD234" s="3" t="s">
        <v>3223</v>
      </c>
    </row>
    <row r="235" spans="1:56" ht="45.75" customHeight="1" x14ac:dyDescent="0.25">
      <c r="A235" s="7" t="s">
        <v>58</v>
      </c>
      <c r="B235" s="2" t="s">
        <v>3224</v>
      </c>
      <c r="C235" s="2" t="s">
        <v>3225</v>
      </c>
      <c r="D235" s="2" t="s">
        <v>3226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3227</v>
      </c>
      <c r="L235" s="2" t="s">
        <v>2439</v>
      </c>
      <c r="M235" s="3" t="s">
        <v>908</v>
      </c>
      <c r="O235" s="3" t="s">
        <v>65</v>
      </c>
      <c r="P235" s="3" t="s">
        <v>84</v>
      </c>
      <c r="Q235" s="2" t="s">
        <v>3228</v>
      </c>
      <c r="R235" s="3" t="s">
        <v>67</v>
      </c>
      <c r="S235" s="4">
        <v>2</v>
      </c>
      <c r="T235" s="4">
        <v>2</v>
      </c>
      <c r="U235" s="5" t="s">
        <v>2572</v>
      </c>
      <c r="V235" s="5" t="s">
        <v>2572</v>
      </c>
      <c r="W235" s="5" t="s">
        <v>2841</v>
      </c>
      <c r="X235" s="5" t="s">
        <v>2841</v>
      </c>
      <c r="Y235" s="4">
        <v>414</v>
      </c>
      <c r="Z235" s="4">
        <v>345</v>
      </c>
      <c r="AA235" s="4">
        <v>351</v>
      </c>
      <c r="AB235" s="4">
        <v>6</v>
      </c>
      <c r="AC235" s="4">
        <v>6</v>
      </c>
      <c r="AD235" s="4">
        <v>23</v>
      </c>
      <c r="AE235" s="4">
        <v>23</v>
      </c>
      <c r="AF235" s="4">
        <v>9</v>
      </c>
      <c r="AG235" s="4">
        <v>9</v>
      </c>
      <c r="AH235" s="4">
        <v>4</v>
      </c>
      <c r="AI235" s="4">
        <v>4</v>
      </c>
      <c r="AJ235" s="4">
        <v>10</v>
      </c>
      <c r="AK235" s="4">
        <v>10</v>
      </c>
      <c r="AL235" s="4">
        <v>5</v>
      </c>
      <c r="AM235" s="4">
        <v>5</v>
      </c>
      <c r="AN235" s="4">
        <v>0</v>
      </c>
      <c r="AO235" s="4">
        <v>0</v>
      </c>
      <c r="AP235" s="3" t="s">
        <v>58</v>
      </c>
      <c r="AQ235" s="3" t="s">
        <v>87</v>
      </c>
      <c r="AR235" s="6" t="str">
        <f>HYPERLINK("http://catalog.hathitrust.org/Record/000180620","HathiTrust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HYPERLINK("https://creighton-primo.hosted.exlibrisgroup.com/primo-explore/search?tab=default_tab&amp;search_scope=EVERYTHING&amp;vid=01CRU&amp;lang=en_US&amp;offset=0&amp;query=any,contains,991004722229702656","Catalog Record")</f>
        <v>Catalog Record</v>
      </c>
      <c r="AT235" s="6" t="str">
        <f>HYPERLINK("http://www.worldcat.org/oclc/4804729","WorldCat Record")</f>
        <v>WorldCat Record</v>
      </c>
      <c r="AU235" s="3" t="s">
        <v>3229</v>
      </c>
      <c r="AV235" s="3" t="s">
        <v>3230</v>
      </c>
      <c r="AW235" s="3" t="s">
        <v>3231</v>
      </c>
      <c r="AX235" s="3" t="s">
        <v>3231</v>
      </c>
      <c r="AY235" s="3" t="s">
        <v>3232</v>
      </c>
      <c r="AZ235" s="3" t="s">
        <v>74</v>
      </c>
      <c r="BB235" s="3" t="s">
        <v>3233</v>
      </c>
      <c r="BC235" s="3" t="s">
        <v>3234</v>
      </c>
      <c r="BD235" s="3" t="s">
        <v>3235</v>
      </c>
    </row>
    <row r="236" spans="1:56" ht="45.75" customHeight="1" x14ac:dyDescent="0.25">
      <c r="A236" s="7" t="s">
        <v>58</v>
      </c>
      <c r="B236" s="2" t="s">
        <v>3236</v>
      </c>
      <c r="C236" s="2" t="s">
        <v>3237</v>
      </c>
      <c r="D236" s="2" t="s">
        <v>3238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K236" s="2" t="s">
        <v>3239</v>
      </c>
      <c r="L236" s="2" t="s">
        <v>3240</v>
      </c>
      <c r="M236" s="3" t="s">
        <v>937</v>
      </c>
      <c r="O236" s="3" t="s">
        <v>65</v>
      </c>
      <c r="P236" s="3" t="s">
        <v>84</v>
      </c>
      <c r="R236" s="3" t="s">
        <v>67</v>
      </c>
      <c r="S236" s="4">
        <v>1</v>
      </c>
      <c r="T236" s="4">
        <v>1</v>
      </c>
      <c r="U236" s="5" t="s">
        <v>3241</v>
      </c>
      <c r="V236" s="5" t="s">
        <v>3241</v>
      </c>
      <c r="W236" s="5" t="s">
        <v>2880</v>
      </c>
      <c r="X236" s="5" t="s">
        <v>2880</v>
      </c>
      <c r="Y236" s="4">
        <v>269</v>
      </c>
      <c r="Z236" s="4">
        <v>230</v>
      </c>
      <c r="AA236" s="4">
        <v>232</v>
      </c>
      <c r="AB236" s="4">
        <v>4</v>
      </c>
      <c r="AC236" s="4">
        <v>4</v>
      </c>
      <c r="AD236" s="4">
        <v>13</v>
      </c>
      <c r="AE236" s="4">
        <v>13</v>
      </c>
      <c r="AF236" s="4">
        <v>4</v>
      </c>
      <c r="AG236" s="4">
        <v>4</v>
      </c>
      <c r="AH236" s="4">
        <v>3</v>
      </c>
      <c r="AI236" s="4">
        <v>3</v>
      </c>
      <c r="AJ236" s="4">
        <v>7</v>
      </c>
      <c r="AK236" s="4">
        <v>7</v>
      </c>
      <c r="AL236" s="4">
        <v>2</v>
      </c>
      <c r="AM236" s="4">
        <v>2</v>
      </c>
      <c r="AN236" s="4">
        <v>0</v>
      </c>
      <c r="AO236" s="4">
        <v>0</v>
      </c>
      <c r="AP236" s="3" t="s">
        <v>58</v>
      </c>
      <c r="AQ236" s="3" t="s">
        <v>87</v>
      </c>
      <c r="AR236" s="6" t="str">
        <f>HYPERLINK("http://catalog.hathitrust.org/Record/000293762","HathiTrust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HYPERLINK("https://creighton-primo.hosted.exlibrisgroup.com/primo-explore/search?tab=default_tab&amp;search_scope=EVERYTHING&amp;vid=01CRU&amp;lang=en_US&amp;offset=0&amp;query=any,contains,991004364879702656","Catalog Record")</f>
        <v>Catalog Record</v>
      </c>
      <c r="AT236" s="6" t="str">
        <f>HYPERLINK("http://www.worldcat.org/oclc/3169083","WorldCat Record")</f>
        <v>WorldCat Record</v>
      </c>
      <c r="AU236" s="3" t="s">
        <v>3242</v>
      </c>
      <c r="AV236" s="3" t="s">
        <v>3243</v>
      </c>
      <c r="AW236" s="3" t="s">
        <v>3244</v>
      </c>
      <c r="AX236" s="3" t="s">
        <v>3244</v>
      </c>
      <c r="AY236" s="3" t="s">
        <v>3245</v>
      </c>
      <c r="AZ236" s="3" t="s">
        <v>74</v>
      </c>
      <c r="BB236" s="3" t="s">
        <v>3246</v>
      </c>
      <c r="BC236" s="3" t="s">
        <v>3247</v>
      </c>
      <c r="BD236" s="3" t="s">
        <v>3248</v>
      </c>
    </row>
    <row r="237" spans="1:56" ht="45.75" customHeight="1" x14ac:dyDescent="0.25">
      <c r="A237" s="7" t="s">
        <v>58</v>
      </c>
      <c r="B237" s="2" t="s">
        <v>3249</v>
      </c>
      <c r="C237" s="2" t="s">
        <v>3250</v>
      </c>
      <c r="D237" s="2" t="s">
        <v>3251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3252</v>
      </c>
      <c r="L237" s="2" t="s">
        <v>3253</v>
      </c>
      <c r="M237" s="3" t="s">
        <v>557</v>
      </c>
      <c r="N237" s="2" t="s">
        <v>543</v>
      </c>
      <c r="O237" s="3" t="s">
        <v>65</v>
      </c>
      <c r="P237" s="3" t="s">
        <v>84</v>
      </c>
      <c r="R237" s="3" t="s">
        <v>67</v>
      </c>
      <c r="S237" s="4">
        <v>12</v>
      </c>
      <c r="T237" s="4">
        <v>12</v>
      </c>
      <c r="U237" s="5" t="s">
        <v>3254</v>
      </c>
      <c r="V237" s="5" t="s">
        <v>3254</v>
      </c>
      <c r="W237" s="5" t="s">
        <v>3255</v>
      </c>
      <c r="X237" s="5" t="s">
        <v>3255</v>
      </c>
      <c r="Y237" s="4">
        <v>274</v>
      </c>
      <c r="Z237" s="4">
        <v>215</v>
      </c>
      <c r="AA237" s="4">
        <v>220</v>
      </c>
      <c r="AB237" s="4">
        <v>4</v>
      </c>
      <c r="AC237" s="4">
        <v>4</v>
      </c>
      <c r="AD237" s="4">
        <v>12</v>
      </c>
      <c r="AE237" s="4">
        <v>12</v>
      </c>
      <c r="AF237" s="4">
        <v>2</v>
      </c>
      <c r="AG237" s="4">
        <v>2</v>
      </c>
      <c r="AH237" s="4">
        <v>3</v>
      </c>
      <c r="AI237" s="4">
        <v>3</v>
      </c>
      <c r="AJ237" s="4">
        <v>7</v>
      </c>
      <c r="AK237" s="4">
        <v>7</v>
      </c>
      <c r="AL237" s="4">
        <v>3</v>
      </c>
      <c r="AM237" s="4">
        <v>3</v>
      </c>
      <c r="AN237" s="4">
        <v>0</v>
      </c>
      <c r="AO237" s="4">
        <v>0</v>
      </c>
      <c r="AP237" s="3" t="s">
        <v>58</v>
      </c>
      <c r="AQ237" s="3" t="s">
        <v>58</v>
      </c>
      <c r="AS237" s="6" t="str">
        <f>HYPERLINK("https://creighton-primo.hosted.exlibrisgroup.com/primo-explore/search?tab=default_tab&amp;search_scope=EVERYTHING&amp;vid=01CRU&amp;lang=en_US&amp;offset=0&amp;query=any,contains,991002029289702656","Catalog Record")</f>
        <v>Catalog Record</v>
      </c>
      <c r="AT237" s="6" t="str">
        <f>HYPERLINK("http://www.worldcat.org/oclc/25832896","WorldCat Record")</f>
        <v>WorldCat Record</v>
      </c>
      <c r="AU237" s="3" t="s">
        <v>3256</v>
      </c>
      <c r="AV237" s="3" t="s">
        <v>3257</v>
      </c>
      <c r="AW237" s="3" t="s">
        <v>3258</v>
      </c>
      <c r="AX237" s="3" t="s">
        <v>3258</v>
      </c>
      <c r="AY237" s="3" t="s">
        <v>3259</v>
      </c>
      <c r="AZ237" s="3" t="s">
        <v>74</v>
      </c>
      <c r="BB237" s="3" t="s">
        <v>3260</v>
      </c>
      <c r="BC237" s="3" t="s">
        <v>3261</v>
      </c>
      <c r="BD237" s="3" t="s">
        <v>3262</v>
      </c>
    </row>
    <row r="238" spans="1:56" ht="45.75" customHeight="1" x14ac:dyDescent="0.25">
      <c r="A238" s="7" t="s">
        <v>58</v>
      </c>
      <c r="B238" s="2" t="s">
        <v>3263</v>
      </c>
      <c r="C238" s="2" t="s">
        <v>3264</v>
      </c>
      <c r="D238" s="2" t="s">
        <v>3265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K238" s="2" t="s">
        <v>3266</v>
      </c>
      <c r="L238" s="2" t="s">
        <v>3267</v>
      </c>
      <c r="M238" s="3" t="s">
        <v>1032</v>
      </c>
      <c r="O238" s="3" t="s">
        <v>65</v>
      </c>
      <c r="P238" s="3" t="s">
        <v>84</v>
      </c>
      <c r="R238" s="3" t="s">
        <v>67</v>
      </c>
      <c r="S238" s="4">
        <v>3</v>
      </c>
      <c r="T238" s="4">
        <v>3</v>
      </c>
      <c r="U238" s="5" t="s">
        <v>3268</v>
      </c>
      <c r="V238" s="5" t="s">
        <v>3268</v>
      </c>
      <c r="W238" s="5" t="s">
        <v>3269</v>
      </c>
      <c r="X238" s="5" t="s">
        <v>3269</v>
      </c>
      <c r="Y238" s="4">
        <v>370</v>
      </c>
      <c r="Z238" s="4">
        <v>271</v>
      </c>
      <c r="AA238" s="4">
        <v>276</v>
      </c>
      <c r="AB238" s="4">
        <v>3</v>
      </c>
      <c r="AC238" s="4">
        <v>3</v>
      </c>
      <c r="AD238" s="4">
        <v>17</v>
      </c>
      <c r="AE238" s="4">
        <v>17</v>
      </c>
      <c r="AF238" s="4">
        <v>6</v>
      </c>
      <c r="AG238" s="4">
        <v>6</v>
      </c>
      <c r="AH238" s="4">
        <v>7</v>
      </c>
      <c r="AI238" s="4">
        <v>7</v>
      </c>
      <c r="AJ238" s="4">
        <v>8</v>
      </c>
      <c r="AK238" s="4">
        <v>8</v>
      </c>
      <c r="AL238" s="4">
        <v>2</v>
      </c>
      <c r="AM238" s="4">
        <v>2</v>
      </c>
      <c r="AN238" s="4">
        <v>0</v>
      </c>
      <c r="AO238" s="4">
        <v>0</v>
      </c>
      <c r="AP238" s="3" t="s">
        <v>58</v>
      </c>
      <c r="AQ238" s="3" t="s">
        <v>58</v>
      </c>
      <c r="AS238" s="6" t="str">
        <f>HYPERLINK("https://creighton-primo.hosted.exlibrisgroup.com/primo-explore/search?tab=default_tab&amp;search_scope=EVERYTHING&amp;vid=01CRU&amp;lang=en_US&amp;offset=0&amp;query=any,contains,991003904459702656","Catalog Record")</f>
        <v>Catalog Record</v>
      </c>
      <c r="AT238" s="6" t="str">
        <f>HYPERLINK("http://www.worldcat.org/oclc/36876093","WorldCat Record")</f>
        <v>WorldCat Record</v>
      </c>
      <c r="AU238" s="3" t="s">
        <v>3270</v>
      </c>
      <c r="AV238" s="3" t="s">
        <v>3271</v>
      </c>
      <c r="AW238" s="3" t="s">
        <v>3272</v>
      </c>
      <c r="AX238" s="3" t="s">
        <v>3272</v>
      </c>
      <c r="AY238" s="3" t="s">
        <v>3273</v>
      </c>
      <c r="AZ238" s="3" t="s">
        <v>74</v>
      </c>
      <c r="BB238" s="3" t="s">
        <v>3274</v>
      </c>
      <c r="BC238" s="3" t="s">
        <v>3275</v>
      </c>
      <c r="BD238" s="3" t="s">
        <v>3276</v>
      </c>
    </row>
    <row r="239" spans="1:56" ht="45.75" customHeight="1" x14ac:dyDescent="0.25">
      <c r="A239" s="7" t="s">
        <v>58</v>
      </c>
      <c r="B239" s="2" t="s">
        <v>3277</v>
      </c>
      <c r="C239" s="2" t="s">
        <v>3278</v>
      </c>
      <c r="D239" s="2" t="s">
        <v>3279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K239" s="2" t="s">
        <v>3280</v>
      </c>
      <c r="L239" s="2" t="s">
        <v>3281</v>
      </c>
      <c r="M239" s="3" t="s">
        <v>713</v>
      </c>
      <c r="N239" s="2" t="s">
        <v>543</v>
      </c>
      <c r="O239" s="3" t="s">
        <v>65</v>
      </c>
      <c r="P239" s="3" t="s">
        <v>3282</v>
      </c>
      <c r="R239" s="3" t="s">
        <v>67</v>
      </c>
      <c r="S239" s="4">
        <v>8</v>
      </c>
      <c r="T239" s="4">
        <v>8</v>
      </c>
      <c r="U239" s="5" t="s">
        <v>515</v>
      </c>
      <c r="V239" s="5" t="s">
        <v>515</v>
      </c>
      <c r="W239" s="5" t="s">
        <v>3283</v>
      </c>
      <c r="X239" s="5" t="s">
        <v>3283</v>
      </c>
      <c r="Y239" s="4">
        <v>55</v>
      </c>
      <c r="Z239" s="4">
        <v>44</v>
      </c>
      <c r="AA239" s="4">
        <v>45</v>
      </c>
      <c r="AB239" s="4">
        <v>1</v>
      </c>
      <c r="AC239" s="4">
        <v>1</v>
      </c>
      <c r="AD239" s="4">
        <v>2</v>
      </c>
      <c r="AE239" s="4">
        <v>2</v>
      </c>
      <c r="AF239" s="4">
        <v>0</v>
      </c>
      <c r="AG239" s="4">
        <v>0</v>
      </c>
      <c r="AH239" s="4">
        <v>1</v>
      </c>
      <c r="AI239" s="4">
        <v>1</v>
      </c>
      <c r="AJ239" s="4">
        <v>2</v>
      </c>
      <c r="AK239" s="4">
        <v>2</v>
      </c>
      <c r="AL239" s="4">
        <v>0</v>
      </c>
      <c r="AM239" s="4">
        <v>0</v>
      </c>
      <c r="AN239" s="4">
        <v>0</v>
      </c>
      <c r="AO239" s="4">
        <v>0</v>
      </c>
      <c r="AP239" s="3" t="s">
        <v>58</v>
      </c>
      <c r="AQ239" s="3" t="s">
        <v>58</v>
      </c>
      <c r="AS239" s="6" t="str">
        <f>HYPERLINK("https://creighton-primo.hosted.exlibrisgroup.com/primo-explore/search?tab=default_tab&amp;search_scope=EVERYTHING&amp;vid=01CRU&amp;lang=en_US&amp;offset=0&amp;query=any,contains,991000176829702656","Catalog Record")</f>
        <v>Catalog Record</v>
      </c>
      <c r="AT239" s="6" t="str">
        <f>HYPERLINK("http://www.worldcat.org/oclc/9353011","WorldCat Record")</f>
        <v>WorldCat Record</v>
      </c>
      <c r="AU239" s="3" t="s">
        <v>3284</v>
      </c>
      <c r="AV239" s="3" t="s">
        <v>3285</v>
      </c>
      <c r="AW239" s="3" t="s">
        <v>3286</v>
      </c>
      <c r="AX239" s="3" t="s">
        <v>3286</v>
      </c>
      <c r="AY239" s="3" t="s">
        <v>3287</v>
      </c>
      <c r="AZ239" s="3" t="s">
        <v>74</v>
      </c>
      <c r="BC239" s="3" t="s">
        <v>3288</v>
      </c>
      <c r="BD239" s="3" t="s">
        <v>3289</v>
      </c>
    </row>
    <row r="240" spans="1:56" ht="45.75" customHeight="1" x14ac:dyDescent="0.25">
      <c r="A240" s="7" t="s">
        <v>58</v>
      </c>
      <c r="B240" s="2" t="s">
        <v>3290</v>
      </c>
      <c r="C240" s="2" t="s">
        <v>3291</v>
      </c>
      <c r="D240" s="2" t="s">
        <v>3292</v>
      </c>
      <c r="F240" s="3" t="s">
        <v>58</v>
      </c>
      <c r="G240" s="3" t="s">
        <v>59</v>
      </c>
      <c r="H240" s="3" t="s">
        <v>87</v>
      </c>
      <c r="I240" s="3" t="s">
        <v>87</v>
      </c>
      <c r="J240" s="3" t="s">
        <v>60</v>
      </c>
      <c r="K240" s="2" t="s">
        <v>2102</v>
      </c>
      <c r="L240" s="2" t="s">
        <v>3293</v>
      </c>
      <c r="M240" s="3" t="s">
        <v>3294</v>
      </c>
      <c r="O240" s="3" t="s">
        <v>65</v>
      </c>
      <c r="P240" s="3" t="s">
        <v>84</v>
      </c>
      <c r="R240" s="3" t="s">
        <v>67</v>
      </c>
      <c r="S240" s="4">
        <v>2</v>
      </c>
      <c r="T240" s="4">
        <v>3</v>
      </c>
      <c r="U240" s="5" t="s">
        <v>3295</v>
      </c>
      <c r="V240" s="5" t="s">
        <v>3295</v>
      </c>
      <c r="W240" s="5" t="s">
        <v>1487</v>
      </c>
      <c r="X240" s="5" t="s">
        <v>1487</v>
      </c>
      <c r="Y240" s="4">
        <v>990</v>
      </c>
      <c r="Z240" s="4">
        <v>933</v>
      </c>
      <c r="AA240" s="4">
        <v>3736</v>
      </c>
      <c r="AB240" s="4">
        <v>8</v>
      </c>
      <c r="AC240" s="4">
        <v>40</v>
      </c>
      <c r="AD240" s="4">
        <v>31</v>
      </c>
      <c r="AE240" s="4">
        <v>80</v>
      </c>
      <c r="AF240" s="4">
        <v>13</v>
      </c>
      <c r="AG240" s="4">
        <v>29</v>
      </c>
      <c r="AH240" s="4">
        <v>5</v>
      </c>
      <c r="AI240" s="4">
        <v>11</v>
      </c>
      <c r="AJ240" s="4">
        <v>15</v>
      </c>
      <c r="AK240" s="4">
        <v>28</v>
      </c>
      <c r="AL240" s="4">
        <v>5</v>
      </c>
      <c r="AM240" s="4">
        <v>18</v>
      </c>
      <c r="AN240" s="4">
        <v>1</v>
      </c>
      <c r="AO240" s="4">
        <v>8</v>
      </c>
      <c r="AP240" s="3" t="s">
        <v>87</v>
      </c>
      <c r="AQ240" s="3" t="s">
        <v>58</v>
      </c>
      <c r="AR240" s="6" t="str">
        <f>HYPERLINK("http://catalog.hathitrust.org/Record/001133341","HathiTrust Record")</f>
        <v>HathiTrust Record</v>
      </c>
      <c r="AS240" s="6" t="str">
        <f>HYPERLINK("https://creighton-primo.hosted.exlibrisgroup.com/primo-explore/search?tab=default_tab&amp;search_scope=EVERYTHING&amp;vid=01CRU&amp;lang=en_US&amp;offset=0&amp;query=any,contains,991001767069702656","Catalog Record")</f>
        <v>Catalog Record</v>
      </c>
      <c r="AT240" s="6" t="str">
        <f>HYPERLINK("http://www.worldcat.org/oclc/4224813","WorldCat Record")</f>
        <v>WorldCat Record</v>
      </c>
      <c r="AU240" s="3" t="s">
        <v>3296</v>
      </c>
      <c r="AV240" s="3" t="s">
        <v>3297</v>
      </c>
      <c r="AW240" s="3" t="s">
        <v>3298</v>
      </c>
      <c r="AX240" s="3" t="s">
        <v>3298</v>
      </c>
      <c r="AY240" s="3" t="s">
        <v>3299</v>
      </c>
      <c r="AZ240" s="3" t="s">
        <v>74</v>
      </c>
      <c r="BC240" s="3" t="s">
        <v>3300</v>
      </c>
      <c r="BD240" s="3" t="s">
        <v>3301</v>
      </c>
    </row>
    <row r="241" spans="1:56" ht="45.75" customHeight="1" x14ac:dyDescent="0.25">
      <c r="A241" s="7" t="s">
        <v>58</v>
      </c>
      <c r="B241" s="2" t="s">
        <v>3302</v>
      </c>
      <c r="C241" s="2" t="s">
        <v>3303</v>
      </c>
      <c r="D241" s="2" t="s">
        <v>3304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K241" s="2" t="s">
        <v>3305</v>
      </c>
      <c r="L241" s="2" t="s">
        <v>3306</v>
      </c>
      <c r="M241" s="3" t="s">
        <v>1674</v>
      </c>
      <c r="O241" s="3" t="s">
        <v>65</v>
      </c>
      <c r="P241" s="3" t="s">
        <v>190</v>
      </c>
      <c r="R241" s="3" t="s">
        <v>67</v>
      </c>
      <c r="S241" s="4">
        <v>5</v>
      </c>
      <c r="T241" s="4">
        <v>5</v>
      </c>
      <c r="U241" s="5" t="s">
        <v>3307</v>
      </c>
      <c r="V241" s="5" t="s">
        <v>3307</v>
      </c>
      <c r="W241" s="5" t="s">
        <v>3308</v>
      </c>
      <c r="X241" s="5" t="s">
        <v>3308</v>
      </c>
      <c r="Y241" s="4">
        <v>724</v>
      </c>
      <c r="Z241" s="4">
        <v>673</v>
      </c>
      <c r="AA241" s="4">
        <v>679</v>
      </c>
      <c r="AB241" s="4">
        <v>4</v>
      </c>
      <c r="AC241" s="4">
        <v>4</v>
      </c>
      <c r="AD241" s="4">
        <v>23</v>
      </c>
      <c r="AE241" s="4">
        <v>23</v>
      </c>
      <c r="AF241" s="4">
        <v>10</v>
      </c>
      <c r="AG241" s="4">
        <v>10</v>
      </c>
      <c r="AH241" s="4">
        <v>6</v>
      </c>
      <c r="AI241" s="4">
        <v>6</v>
      </c>
      <c r="AJ241" s="4">
        <v>9</v>
      </c>
      <c r="AK241" s="4">
        <v>9</v>
      </c>
      <c r="AL241" s="4">
        <v>2</v>
      </c>
      <c r="AM241" s="4">
        <v>2</v>
      </c>
      <c r="AN241" s="4">
        <v>0</v>
      </c>
      <c r="AO241" s="4">
        <v>0</v>
      </c>
      <c r="AP241" s="3" t="s">
        <v>58</v>
      </c>
      <c r="AQ241" s="3" t="s">
        <v>87</v>
      </c>
      <c r="AR241" s="6" t="str">
        <f>HYPERLINK("http://catalog.hathitrust.org/Record/001133343","HathiTrust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HYPERLINK("https://creighton-primo.hosted.exlibrisgroup.com/primo-explore/search?tab=default_tab&amp;search_scope=EVERYTHING&amp;vid=01CRU&amp;lang=en_US&amp;offset=0&amp;query=any,contains,991000109219702656","Catalog Record")</f>
        <v>Catalog Record</v>
      </c>
      <c r="AT241" s="6" t="str">
        <f>HYPERLINK("http://www.worldcat.org/oclc/47423","WorldCat Record")</f>
        <v>WorldCat Record</v>
      </c>
      <c r="AU241" s="3" t="s">
        <v>3309</v>
      </c>
      <c r="AV241" s="3" t="s">
        <v>3310</v>
      </c>
      <c r="AW241" s="3" t="s">
        <v>3311</v>
      </c>
      <c r="AX241" s="3" t="s">
        <v>3311</v>
      </c>
      <c r="AY241" s="3" t="s">
        <v>3312</v>
      </c>
      <c r="AZ241" s="3" t="s">
        <v>74</v>
      </c>
      <c r="BC241" s="3" t="s">
        <v>3313</v>
      </c>
      <c r="BD241" s="3" t="s">
        <v>3314</v>
      </c>
    </row>
    <row r="242" spans="1:56" ht="45.75" customHeight="1" x14ac:dyDescent="0.25">
      <c r="A242" s="7" t="s">
        <v>58</v>
      </c>
      <c r="B242" s="2" t="s">
        <v>3315</v>
      </c>
      <c r="C242" s="2" t="s">
        <v>3316</v>
      </c>
      <c r="D242" s="2" t="s">
        <v>3317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L242" s="2" t="s">
        <v>3318</v>
      </c>
      <c r="M242" s="3" t="s">
        <v>557</v>
      </c>
      <c r="O242" s="3" t="s">
        <v>65</v>
      </c>
      <c r="P242" s="3" t="s">
        <v>3319</v>
      </c>
      <c r="R242" s="3" t="s">
        <v>67</v>
      </c>
      <c r="S242" s="4">
        <v>2</v>
      </c>
      <c r="T242" s="4">
        <v>2</v>
      </c>
      <c r="U242" s="5" t="s">
        <v>3101</v>
      </c>
      <c r="V242" s="5" t="s">
        <v>3101</v>
      </c>
      <c r="W242" s="5" t="s">
        <v>3320</v>
      </c>
      <c r="X242" s="5" t="s">
        <v>3320</v>
      </c>
      <c r="Y242" s="4">
        <v>232</v>
      </c>
      <c r="Z242" s="4">
        <v>200</v>
      </c>
      <c r="AA242" s="4">
        <v>206</v>
      </c>
      <c r="AB242" s="4">
        <v>2</v>
      </c>
      <c r="AC242" s="4">
        <v>2</v>
      </c>
      <c r="AD242" s="4">
        <v>9</v>
      </c>
      <c r="AE242" s="4">
        <v>9</v>
      </c>
      <c r="AF242" s="4">
        <v>3</v>
      </c>
      <c r="AG242" s="4">
        <v>3</v>
      </c>
      <c r="AH242" s="4">
        <v>1</v>
      </c>
      <c r="AI242" s="4">
        <v>1</v>
      </c>
      <c r="AJ242" s="4">
        <v>5</v>
      </c>
      <c r="AK242" s="4">
        <v>5</v>
      </c>
      <c r="AL242" s="4">
        <v>1</v>
      </c>
      <c r="AM242" s="4">
        <v>1</v>
      </c>
      <c r="AN242" s="4">
        <v>0</v>
      </c>
      <c r="AO242" s="4">
        <v>0</v>
      </c>
      <c r="AP242" s="3" t="s">
        <v>58</v>
      </c>
      <c r="AQ242" s="3" t="s">
        <v>87</v>
      </c>
      <c r="AR242" s="6" t="str">
        <f>HYPERLINK("http://catalog.hathitrust.org/Record/002784345","HathiTrust Record")</f>
        <v>HathiTrust Record</v>
      </c>
      <c r="AS242" s="6" t="str">
        <f>HYPERLINK("https://creighton-primo.hosted.exlibrisgroup.com/primo-explore/search?tab=default_tab&amp;search_scope=EVERYTHING&amp;vid=01CRU&amp;lang=en_US&amp;offset=0&amp;query=any,contains,991002219989702656","Catalog Record")</f>
        <v>Catalog Record</v>
      </c>
      <c r="AT242" s="6" t="str">
        <f>HYPERLINK("http://www.worldcat.org/oclc/28586654","WorldCat Record")</f>
        <v>WorldCat Record</v>
      </c>
      <c r="AU242" s="3" t="s">
        <v>3321</v>
      </c>
      <c r="AV242" s="3" t="s">
        <v>3322</v>
      </c>
      <c r="AW242" s="3" t="s">
        <v>3323</v>
      </c>
      <c r="AX242" s="3" t="s">
        <v>3323</v>
      </c>
      <c r="AY242" s="3" t="s">
        <v>3324</v>
      </c>
      <c r="AZ242" s="3" t="s">
        <v>74</v>
      </c>
      <c r="BB242" s="3" t="s">
        <v>3325</v>
      </c>
      <c r="BC242" s="3" t="s">
        <v>3326</v>
      </c>
      <c r="BD242" s="3" t="s">
        <v>3327</v>
      </c>
    </row>
    <row r="243" spans="1:56" ht="45.75" customHeight="1" x14ac:dyDescent="0.25">
      <c r="A243" s="7" t="s">
        <v>58</v>
      </c>
      <c r="B243" s="2" t="s">
        <v>3328</v>
      </c>
      <c r="C243" s="2" t="s">
        <v>3329</v>
      </c>
      <c r="D243" s="2" t="s">
        <v>3330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K243" s="2" t="s">
        <v>3331</v>
      </c>
      <c r="L243" s="2" t="s">
        <v>1087</v>
      </c>
      <c r="M243" s="3" t="s">
        <v>1088</v>
      </c>
      <c r="N243" s="2" t="s">
        <v>64</v>
      </c>
      <c r="O243" s="3" t="s">
        <v>65</v>
      </c>
      <c r="P243" s="3" t="s">
        <v>84</v>
      </c>
      <c r="R243" s="3" t="s">
        <v>67</v>
      </c>
      <c r="S243" s="4">
        <v>2</v>
      </c>
      <c r="T243" s="4">
        <v>2</v>
      </c>
      <c r="U243" s="5" t="s">
        <v>3332</v>
      </c>
      <c r="V243" s="5" t="s">
        <v>3332</v>
      </c>
      <c r="W243" s="5" t="s">
        <v>3194</v>
      </c>
      <c r="X243" s="5" t="s">
        <v>3194</v>
      </c>
      <c r="Y243" s="4">
        <v>207</v>
      </c>
      <c r="Z243" s="4">
        <v>163</v>
      </c>
      <c r="AA243" s="4">
        <v>321</v>
      </c>
      <c r="AB243" s="4">
        <v>2</v>
      </c>
      <c r="AC243" s="4">
        <v>3</v>
      </c>
      <c r="AD243" s="4">
        <v>6</v>
      </c>
      <c r="AE243" s="4">
        <v>15</v>
      </c>
      <c r="AF243" s="4">
        <v>0</v>
      </c>
      <c r="AG243" s="4">
        <v>3</v>
      </c>
      <c r="AH243" s="4">
        <v>1</v>
      </c>
      <c r="AI243" s="4">
        <v>4</v>
      </c>
      <c r="AJ243" s="4">
        <v>4</v>
      </c>
      <c r="AK243" s="4">
        <v>7</v>
      </c>
      <c r="AL243" s="4">
        <v>1</v>
      </c>
      <c r="AM243" s="4">
        <v>2</v>
      </c>
      <c r="AN243" s="4">
        <v>0</v>
      </c>
      <c r="AO243" s="4">
        <v>0</v>
      </c>
      <c r="AP243" s="3" t="s">
        <v>58</v>
      </c>
      <c r="AQ243" s="3" t="s">
        <v>87</v>
      </c>
      <c r="AR243" s="6" t="str">
        <f>HYPERLINK("http://catalog.hathitrust.org/Record/000462252","HathiTrust Record")</f>
        <v>HathiTrust Record</v>
      </c>
      <c r="AS243" s="6" t="str">
        <f>HYPERLINK("https://creighton-primo.hosted.exlibrisgroup.com/primo-explore/search?tab=default_tab&amp;search_scope=EVERYTHING&amp;vid=01CRU&amp;lang=en_US&amp;offset=0&amp;query=any,contains,991000462899702656","Catalog Record")</f>
        <v>Catalog Record</v>
      </c>
      <c r="AT243" s="6" t="str">
        <f>HYPERLINK("http://www.worldcat.org/oclc/10948757","WorldCat Record")</f>
        <v>WorldCat Record</v>
      </c>
      <c r="AU243" s="3" t="s">
        <v>3333</v>
      </c>
      <c r="AV243" s="3" t="s">
        <v>3334</v>
      </c>
      <c r="AW243" s="3" t="s">
        <v>3335</v>
      </c>
      <c r="AX243" s="3" t="s">
        <v>3335</v>
      </c>
      <c r="AY243" s="3" t="s">
        <v>3336</v>
      </c>
      <c r="AZ243" s="3" t="s">
        <v>74</v>
      </c>
      <c r="BB243" s="3" t="s">
        <v>3337</v>
      </c>
      <c r="BC243" s="3" t="s">
        <v>3338</v>
      </c>
      <c r="BD243" s="3" t="s">
        <v>3339</v>
      </c>
    </row>
    <row r="244" spans="1:56" ht="45.75" customHeight="1" x14ac:dyDescent="0.25">
      <c r="A244" s="7" t="s">
        <v>58</v>
      </c>
      <c r="B244" s="2" t="s">
        <v>3340</v>
      </c>
      <c r="C244" s="2" t="s">
        <v>3341</v>
      </c>
      <c r="D244" s="2" t="s">
        <v>3342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3343</v>
      </c>
      <c r="L244" s="2" t="s">
        <v>3344</v>
      </c>
      <c r="M244" s="3" t="s">
        <v>220</v>
      </c>
      <c r="O244" s="3" t="s">
        <v>65</v>
      </c>
      <c r="P244" s="3" t="s">
        <v>84</v>
      </c>
      <c r="Q244" s="2" t="s">
        <v>3345</v>
      </c>
      <c r="R244" s="3" t="s">
        <v>67</v>
      </c>
      <c r="S244" s="4">
        <v>1</v>
      </c>
      <c r="T244" s="4">
        <v>1</v>
      </c>
      <c r="U244" s="5" t="s">
        <v>3346</v>
      </c>
      <c r="V244" s="5" t="s">
        <v>3346</v>
      </c>
      <c r="W244" s="5" t="s">
        <v>322</v>
      </c>
      <c r="X244" s="5" t="s">
        <v>322</v>
      </c>
      <c r="Y244" s="4">
        <v>292</v>
      </c>
      <c r="Z244" s="4">
        <v>242</v>
      </c>
      <c r="AA244" s="4">
        <v>264</v>
      </c>
      <c r="AB244" s="4">
        <v>4</v>
      </c>
      <c r="AC244" s="4">
        <v>4</v>
      </c>
      <c r="AD244" s="4">
        <v>11</v>
      </c>
      <c r="AE244" s="4">
        <v>11</v>
      </c>
      <c r="AF244" s="4">
        <v>3</v>
      </c>
      <c r="AG244" s="4">
        <v>3</v>
      </c>
      <c r="AH244" s="4">
        <v>1</v>
      </c>
      <c r="AI244" s="4">
        <v>1</v>
      </c>
      <c r="AJ244" s="4">
        <v>5</v>
      </c>
      <c r="AK244" s="4">
        <v>5</v>
      </c>
      <c r="AL244" s="4">
        <v>3</v>
      </c>
      <c r="AM244" s="4">
        <v>3</v>
      </c>
      <c r="AN244" s="4">
        <v>0</v>
      </c>
      <c r="AO244" s="4">
        <v>0</v>
      </c>
      <c r="AP244" s="3" t="s">
        <v>58</v>
      </c>
      <c r="AQ244" s="3" t="s">
        <v>58</v>
      </c>
      <c r="AS244" s="6" t="str">
        <f>HYPERLINK("https://creighton-primo.hosted.exlibrisgroup.com/primo-explore/search?tab=default_tab&amp;search_scope=EVERYTHING&amp;vid=01CRU&amp;lang=en_US&amp;offset=0&amp;query=any,contains,991003016379702656","Catalog Record")</f>
        <v>Catalog Record</v>
      </c>
      <c r="AT244" s="6" t="str">
        <f>HYPERLINK("http://www.worldcat.org/oclc/41035439","WorldCat Record")</f>
        <v>WorldCat Record</v>
      </c>
      <c r="AU244" s="3" t="s">
        <v>3347</v>
      </c>
      <c r="AV244" s="3" t="s">
        <v>3348</v>
      </c>
      <c r="AW244" s="3" t="s">
        <v>3349</v>
      </c>
      <c r="AX244" s="3" t="s">
        <v>3349</v>
      </c>
      <c r="AY244" s="3" t="s">
        <v>3350</v>
      </c>
      <c r="AZ244" s="3" t="s">
        <v>74</v>
      </c>
      <c r="BB244" s="3" t="s">
        <v>3351</v>
      </c>
      <c r="BC244" s="3" t="s">
        <v>3352</v>
      </c>
      <c r="BD244" s="3" t="s">
        <v>3353</v>
      </c>
    </row>
    <row r="245" spans="1:56" ht="45.75" customHeight="1" x14ac:dyDescent="0.25">
      <c r="A245" s="7" t="s">
        <v>58</v>
      </c>
      <c r="B245" s="2" t="s">
        <v>3354</v>
      </c>
      <c r="C245" s="2" t="s">
        <v>3355</v>
      </c>
      <c r="D245" s="2" t="s">
        <v>3356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L245" s="2" t="s">
        <v>3357</v>
      </c>
      <c r="M245" s="3" t="s">
        <v>3358</v>
      </c>
      <c r="O245" s="3" t="s">
        <v>65</v>
      </c>
      <c r="P245" s="3" t="s">
        <v>336</v>
      </c>
      <c r="R245" s="3" t="s">
        <v>67</v>
      </c>
      <c r="S245" s="4">
        <v>1</v>
      </c>
      <c r="T245" s="4">
        <v>1</v>
      </c>
      <c r="U245" s="5" t="s">
        <v>2572</v>
      </c>
      <c r="V245" s="5" t="s">
        <v>2572</v>
      </c>
      <c r="W245" s="5" t="s">
        <v>2880</v>
      </c>
      <c r="X245" s="5" t="s">
        <v>2880</v>
      </c>
      <c r="Y245" s="4">
        <v>297</v>
      </c>
      <c r="Z245" s="4">
        <v>252</v>
      </c>
      <c r="AA245" s="4">
        <v>258</v>
      </c>
      <c r="AB245" s="4">
        <v>4</v>
      </c>
      <c r="AC245" s="4">
        <v>4</v>
      </c>
      <c r="AD245" s="4">
        <v>11</v>
      </c>
      <c r="AE245" s="4">
        <v>11</v>
      </c>
      <c r="AF245" s="4">
        <v>2</v>
      </c>
      <c r="AG245" s="4">
        <v>2</v>
      </c>
      <c r="AH245" s="4">
        <v>2</v>
      </c>
      <c r="AI245" s="4">
        <v>2</v>
      </c>
      <c r="AJ245" s="4">
        <v>6</v>
      </c>
      <c r="AK245" s="4">
        <v>6</v>
      </c>
      <c r="AL245" s="4">
        <v>2</v>
      </c>
      <c r="AM245" s="4">
        <v>2</v>
      </c>
      <c r="AN245" s="4">
        <v>0</v>
      </c>
      <c r="AO245" s="4">
        <v>0</v>
      </c>
      <c r="AP245" s="3" t="s">
        <v>58</v>
      </c>
      <c r="AQ245" s="3" t="s">
        <v>87</v>
      </c>
      <c r="AR245" s="6" t="str">
        <f>HYPERLINK("http://catalog.hathitrust.org/Record/001131514","HathiTrust Record")</f>
        <v>HathiTrust Record</v>
      </c>
      <c r="AS245" s="6" t="str">
        <f>HYPERLINK("https://creighton-primo.hosted.exlibrisgroup.com/primo-explore/search?tab=default_tab&amp;search_scope=EVERYTHING&amp;vid=01CRU&amp;lang=en_US&amp;offset=0&amp;query=any,contains,991002107969702656","Catalog Record")</f>
        <v>Catalog Record</v>
      </c>
      <c r="AT245" s="6" t="str">
        <f>HYPERLINK("http://www.worldcat.org/oclc/266815","WorldCat Record")</f>
        <v>WorldCat Record</v>
      </c>
      <c r="AU245" s="3" t="s">
        <v>3359</v>
      </c>
      <c r="AV245" s="3" t="s">
        <v>3360</v>
      </c>
      <c r="AW245" s="3" t="s">
        <v>3361</v>
      </c>
      <c r="AX245" s="3" t="s">
        <v>3361</v>
      </c>
      <c r="AY245" s="3" t="s">
        <v>3362</v>
      </c>
      <c r="AZ245" s="3" t="s">
        <v>74</v>
      </c>
      <c r="BB245" s="3" t="s">
        <v>3363</v>
      </c>
      <c r="BC245" s="3" t="s">
        <v>3364</v>
      </c>
      <c r="BD245" s="3" t="s">
        <v>3365</v>
      </c>
    </row>
    <row r="246" spans="1:56" ht="45.75" customHeight="1" x14ac:dyDescent="0.25">
      <c r="A246" s="7" t="s">
        <v>58</v>
      </c>
      <c r="B246" s="2" t="s">
        <v>3366</v>
      </c>
      <c r="C246" s="2" t="s">
        <v>3367</v>
      </c>
      <c r="D246" s="2" t="s">
        <v>3368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K246" s="2" t="s">
        <v>3369</v>
      </c>
      <c r="L246" s="2" t="s">
        <v>3370</v>
      </c>
      <c r="M246" s="3" t="s">
        <v>867</v>
      </c>
      <c r="N246" s="2" t="s">
        <v>390</v>
      </c>
      <c r="O246" s="3" t="s">
        <v>65</v>
      </c>
      <c r="P246" s="3" t="s">
        <v>84</v>
      </c>
      <c r="R246" s="3" t="s">
        <v>67</v>
      </c>
      <c r="S246" s="4">
        <v>2</v>
      </c>
      <c r="T246" s="4">
        <v>2</v>
      </c>
      <c r="U246" s="5" t="s">
        <v>2572</v>
      </c>
      <c r="V246" s="5" t="s">
        <v>2572</v>
      </c>
      <c r="W246" s="5" t="s">
        <v>3371</v>
      </c>
      <c r="X246" s="5" t="s">
        <v>3371</v>
      </c>
      <c r="Y246" s="4">
        <v>187</v>
      </c>
      <c r="Z246" s="4">
        <v>162</v>
      </c>
      <c r="AA246" s="4">
        <v>176</v>
      </c>
      <c r="AB246" s="4">
        <v>4</v>
      </c>
      <c r="AC246" s="4">
        <v>4</v>
      </c>
      <c r="AD246" s="4">
        <v>10</v>
      </c>
      <c r="AE246" s="4">
        <v>10</v>
      </c>
      <c r="AF246" s="4">
        <v>1</v>
      </c>
      <c r="AG246" s="4">
        <v>1</v>
      </c>
      <c r="AH246" s="4">
        <v>2</v>
      </c>
      <c r="AI246" s="4">
        <v>2</v>
      </c>
      <c r="AJ246" s="4">
        <v>6</v>
      </c>
      <c r="AK246" s="4">
        <v>6</v>
      </c>
      <c r="AL246" s="4">
        <v>3</v>
      </c>
      <c r="AM246" s="4">
        <v>3</v>
      </c>
      <c r="AN246" s="4">
        <v>0</v>
      </c>
      <c r="AO246" s="4">
        <v>0</v>
      </c>
      <c r="AP246" s="3" t="s">
        <v>58</v>
      </c>
      <c r="AQ246" s="3" t="s">
        <v>87</v>
      </c>
      <c r="AR246" s="6" t="str">
        <f>HYPERLINK("http://catalog.hathitrust.org/Record/100027984","HathiTrust Record")</f>
        <v>HathiTrust Record</v>
      </c>
      <c r="AS246" s="6" t="str">
        <f>HYPERLINK("https://creighton-primo.hosted.exlibrisgroup.com/primo-explore/search?tab=default_tab&amp;search_scope=EVERYTHING&amp;vid=01CRU&amp;lang=en_US&amp;offset=0&amp;query=any,contains,991001911669702656","Catalog Record")</f>
        <v>Catalog Record</v>
      </c>
      <c r="AT246" s="6" t="str">
        <f>HYPERLINK("http://www.worldcat.org/oclc/24142958","WorldCat Record")</f>
        <v>WorldCat Record</v>
      </c>
      <c r="AU246" s="3" t="s">
        <v>3372</v>
      </c>
      <c r="AV246" s="3" t="s">
        <v>3373</v>
      </c>
      <c r="AW246" s="3" t="s">
        <v>3374</v>
      </c>
      <c r="AX246" s="3" t="s">
        <v>3374</v>
      </c>
      <c r="AY246" s="3" t="s">
        <v>3375</v>
      </c>
      <c r="AZ246" s="3" t="s">
        <v>74</v>
      </c>
      <c r="BB246" s="3" t="s">
        <v>3376</v>
      </c>
      <c r="BC246" s="3" t="s">
        <v>3377</v>
      </c>
      <c r="BD246" s="3" t="s">
        <v>3378</v>
      </c>
    </row>
    <row r="247" spans="1:56" ht="45.75" customHeight="1" x14ac:dyDescent="0.25">
      <c r="A247" s="7" t="s">
        <v>58</v>
      </c>
      <c r="B247" s="2" t="s">
        <v>3379</v>
      </c>
      <c r="C247" s="2" t="s">
        <v>3380</v>
      </c>
      <c r="D247" s="2" t="s">
        <v>3381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3382</v>
      </c>
      <c r="L247" s="2" t="s">
        <v>3383</v>
      </c>
      <c r="M247" s="3" t="s">
        <v>573</v>
      </c>
      <c r="O247" s="3" t="s">
        <v>65</v>
      </c>
      <c r="P247" s="3" t="s">
        <v>84</v>
      </c>
      <c r="R247" s="3" t="s">
        <v>67</v>
      </c>
      <c r="S247" s="4">
        <v>1</v>
      </c>
      <c r="T247" s="4">
        <v>1</v>
      </c>
      <c r="U247" s="5" t="s">
        <v>3384</v>
      </c>
      <c r="V247" s="5" t="s">
        <v>3384</v>
      </c>
      <c r="W247" s="5" t="s">
        <v>2959</v>
      </c>
      <c r="X247" s="5" t="s">
        <v>2959</v>
      </c>
      <c r="Y247" s="4">
        <v>270</v>
      </c>
      <c r="Z247" s="4">
        <v>216</v>
      </c>
      <c r="AA247" s="4">
        <v>830</v>
      </c>
      <c r="AB247" s="4">
        <v>3</v>
      </c>
      <c r="AC247" s="4">
        <v>28</v>
      </c>
      <c r="AD247" s="4">
        <v>13</v>
      </c>
      <c r="AE247" s="4">
        <v>30</v>
      </c>
      <c r="AF247" s="4">
        <v>5</v>
      </c>
      <c r="AG247" s="4">
        <v>9</v>
      </c>
      <c r="AH247" s="4">
        <v>2</v>
      </c>
      <c r="AI247" s="4">
        <v>3</v>
      </c>
      <c r="AJ247" s="4">
        <v>6</v>
      </c>
      <c r="AK247" s="4">
        <v>8</v>
      </c>
      <c r="AL247" s="4">
        <v>2</v>
      </c>
      <c r="AM247" s="4">
        <v>13</v>
      </c>
      <c r="AN247" s="4">
        <v>0</v>
      </c>
      <c r="AO247" s="4">
        <v>0</v>
      </c>
      <c r="AP247" s="3" t="s">
        <v>58</v>
      </c>
      <c r="AQ247" s="3" t="s">
        <v>58</v>
      </c>
      <c r="AS247" s="6" t="str">
        <f>HYPERLINK("https://creighton-primo.hosted.exlibrisgroup.com/primo-explore/search?tab=default_tab&amp;search_scope=EVERYTHING&amp;vid=01CRU&amp;lang=en_US&amp;offset=0&amp;query=any,contains,991004744189702656","Catalog Record")</f>
        <v>Catalog Record</v>
      </c>
      <c r="AT247" s="6" t="str">
        <f>HYPERLINK("http://www.worldcat.org/oclc/50859149","WorldCat Record")</f>
        <v>WorldCat Record</v>
      </c>
      <c r="AU247" s="3" t="s">
        <v>3385</v>
      </c>
      <c r="AV247" s="3" t="s">
        <v>3386</v>
      </c>
      <c r="AW247" s="3" t="s">
        <v>3387</v>
      </c>
      <c r="AX247" s="3" t="s">
        <v>3387</v>
      </c>
      <c r="AY247" s="3" t="s">
        <v>3388</v>
      </c>
      <c r="AZ247" s="3" t="s">
        <v>74</v>
      </c>
      <c r="BB247" s="3" t="s">
        <v>3389</v>
      </c>
      <c r="BC247" s="3" t="s">
        <v>3390</v>
      </c>
      <c r="BD247" s="3" t="s">
        <v>3391</v>
      </c>
    </row>
    <row r="248" spans="1:56" ht="45.75" customHeight="1" x14ac:dyDescent="0.25">
      <c r="A248" s="7" t="s">
        <v>58</v>
      </c>
      <c r="B248" s="2" t="s">
        <v>3392</v>
      </c>
      <c r="C248" s="2" t="s">
        <v>3393</v>
      </c>
      <c r="D248" s="2" t="s">
        <v>3394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K248" s="2" t="s">
        <v>3395</v>
      </c>
      <c r="L248" s="2" t="s">
        <v>3396</v>
      </c>
      <c r="M248" s="3" t="s">
        <v>557</v>
      </c>
      <c r="O248" s="3" t="s">
        <v>65</v>
      </c>
      <c r="P248" s="3" t="s">
        <v>190</v>
      </c>
      <c r="R248" s="3" t="s">
        <v>67</v>
      </c>
      <c r="S248" s="4">
        <v>1</v>
      </c>
      <c r="T248" s="4">
        <v>1</v>
      </c>
      <c r="U248" s="5" t="s">
        <v>2572</v>
      </c>
      <c r="V248" s="5" t="s">
        <v>2572</v>
      </c>
      <c r="W248" s="5" t="s">
        <v>3397</v>
      </c>
      <c r="X248" s="5" t="s">
        <v>3397</v>
      </c>
      <c r="Y248" s="4">
        <v>179</v>
      </c>
      <c r="Z248" s="4">
        <v>153</v>
      </c>
      <c r="AA248" s="4">
        <v>156</v>
      </c>
      <c r="AB248" s="4">
        <v>2</v>
      </c>
      <c r="AC248" s="4">
        <v>2</v>
      </c>
      <c r="AD248" s="4">
        <v>7</v>
      </c>
      <c r="AE248" s="4">
        <v>7</v>
      </c>
      <c r="AF248" s="4">
        <v>1</v>
      </c>
      <c r="AG248" s="4">
        <v>1</v>
      </c>
      <c r="AH248" s="4">
        <v>3</v>
      </c>
      <c r="AI248" s="4">
        <v>3</v>
      </c>
      <c r="AJ248" s="4">
        <v>4</v>
      </c>
      <c r="AK248" s="4">
        <v>4</v>
      </c>
      <c r="AL248" s="4">
        <v>1</v>
      </c>
      <c r="AM248" s="4">
        <v>1</v>
      </c>
      <c r="AN248" s="4">
        <v>0</v>
      </c>
      <c r="AO248" s="4">
        <v>0</v>
      </c>
      <c r="AP248" s="3" t="s">
        <v>58</v>
      </c>
      <c r="AQ248" s="3" t="s">
        <v>87</v>
      </c>
      <c r="AR248" s="6" t="str">
        <f>HYPERLINK("http://catalog.hathitrust.org/Record/002781907","HathiTrust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HYPERLINK("https://creighton-primo.hosted.exlibrisgroup.com/primo-explore/search?tab=default_tab&amp;search_scope=EVERYTHING&amp;vid=01CRU&amp;lang=en_US&amp;offset=0&amp;query=any,contains,991001994129702656","Catalog Record")</f>
        <v>Catalog Record</v>
      </c>
      <c r="AT248" s="6" t="str">
        <f>HYPERLINK("http://www.worldcat.org/oclc/25317695","WorldCat Record")</f>
        <v>WorldCat Record</v>
      </c>
      <c r="AU248" s="3" t="s">
        <v>3398</v>
      </c>
      <c r="AV248" s="3" t="s">
        <v>3399</v>
      </c>
      <c r="AW248" s="3" t="s">
        <v>3400</v>
      </c>
      <c r="AX248" s="3" t="s">
        <v>3400</v>
      </c>
      <c r="AY248" s="3" t="s">
        <v>3401</v>
      </c>
      <c r="AZ248" s="3" t="s">
        <v>74</v>
      </c>
      <c r="BB248" s="3" t="s">
        <v>3402</v>
      </c>
      <c r="BC248" s="3" t="s">
        <v>3403</v>
      </c>
      <c r="BD248" s="3" t="s">
        <v>3404</v>
      </c>
    </row>
    <row r="249" spans="1:56" ht="45.75" customHeight="1" x14ac:dyDescent="0.25">
      <c r="A249" s="7" t="s">
        <v>58</v>
      </c>
      <c r="B249" s="2" t="s">
        <v>3405</v>
      </c>
      <c r="C249" s="2" t="s">
        <v>3406</v>
      </c>
      <c r="D249" s="2" t="s">
        <v>3407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3408</v>
      </c>
      <c r="L249" s="2" t="s">
        <v>3138</v>
      </c>
      <c r="M249" s="3" t="s">
        <v>263</v>
      </c>
      <c r="O249" s="3" t="s">
        <v>65</v>
      </c>
      <c r="P249" s="3" t="s">
        <v>148</v>
      </c>
      <c r="R249" s="3" t="s">
        <v>67</v>
      </c>
      <c r="S249" s="4">
        <v>3</v>
      </c>
      <c r="T249" s="4">
        <v>3</v>
      </c>
      <c r="U249" s="5" t="s">
        <v>2572</v>
      </c>
      <c r="V249" s="5" t="s">
        <v>2572</v>
      </c>
      <c r="W249" s="5" t="s">
        <v>3409</v>
      </c>
      <c r="X249" s="5" t="s">
        <v>3409</v>
      </c>
      <c r="Y249" s="4">
        <v>217</v>
      </c>
      <c r="Z249" s="4">
        <v>172</v>
      </c>
      <c r="AA249" s="4">
        <v>176</v>
      </c>
      <c r="AB249" s="4">
        <v>1</v>
      </c>
      <c r="AC249" s="4">
        <v>1</v>
      </c>
      <c r="AD249" s="4">
        <v>6</v>
      </c>
      <c r="AE249" s="4">
        <v>6</v>
      </c>
      <c r="AF249" s="4">
        <v>1</v>
      </c>
      <c r="AG249" s="4">
        <v>1</v>
      </c>
      <c r="AH249" s="4">
        <v>1</v>
      </c>
      <c r="AI249" s="4">
        <v>1</v>
      </c>
      <c r="AJ249" s="4">
        <v>5</v>
      </c>
      <c r="AK249" s="4">
        <v>5</v>
      </c>
      <c r="AL249" s="4">
        <v>0</v>
      </c>
      <c r="AM249" s="4">
        <v>0</v>
      </c>
      <c r="AN249" s="4">
        <v>0</v>
      </c>
      <c r="AO249" s="4">
        <v>0</v>
      </c>
      <c r="AP249" s="3" t="s">
        <v>58</v>
      </c>
      <c r="AQ249" s="3" t="s">
        <v>87</v>
      </c>
      <c r="AR249" s="6" t="str">
        <f>HYPERLINK("http://catalog.hathitrust.org/Record/003085822","HathiTrust Record")</f>
        <v>HathiTrust Record</v>
      </c>
      <c r="AS249" s="6" t="str">
        <f>HYPERLINK("https://creighton-primo.hosted.exlibrisgroup.com/primo-explore/search?tab=default_tab&amp;search_scope=EVERYTHING&amp;vid=01CRU&amp;lang=en_US&amp;offset=0&amp;query=any,contains,991002625459702656","Catalog Record")</f>
        <v>Catalog Record</v>
      </c>
      <c r="AT249" s="6" t="str">
        <f>HYPERLINK("http://www.worldcat.org/oclc/34411669","WorldCat Record")</f>
        <v>WorldCat Record</v>
      </c>
      <c r="AU249" s="3" t="s">
        <v>3410</v>
      </c>
      <c r="AV249" s="3" t="s">
        <v>3411</v>
      </c>
      <c r="AW249" s="3" t="s">
        <v>3412</v>
      </c>
      <c r="AX249" s="3" t="s">
        <v>3412</v>
      </c>
      <c r="AY249" s="3" t="s">
        <v>3413</v>
      </c>
      <c r="AZ249" s="3" t="s">
        <v>74</v>
      </c>
      <c r="BB249" s="3" t="s">
        <v>3414</v>
      </c>
      <c r="BC249" s="3" t="s">
        <v>3415</v>
      </c>
      <c r="BD249" s="3" t="s">
        <v>3416</v>
      </c>
    </row>
    <row r="250" spans="1:56" ht="45.75" customHeight="1" x14ac:dyDescent="0.25">
      <c r="A250" s="7" t="s">
        <v>58</v>
      </c>
      <c r="B250" s="2" t="s">
        <v>3417</v>
      </c>
      <c r="C250" s="2" t="s">
        <v>3418</v>
      </c>
      <c r="D250" s="2" t="s">
        <v>3419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K250" s="2" t="s">
        <v>3420</v>
      </c>
      <c r="L250" s="2" t="s">
        <v>3421</v>
      </c>
      <c r="M250" s="3" t="s">
        <v>220</v>
      </c>
      <c r="O250" s="3" t="s">
        <v>65</v>
      </c>
      <c r="P250" s="3" t="s">
        <v>148</v>
      </c>
      <c r="R250" s="3" t="s">
        <v>67</v>
      </c>
      <c r="S250" s="4">
        <v>4</v>
      </c>
      <c r="T250" s="4">
        <v>4</v>
      </c>
      <c r="U250" s="5" t="s">
        <v>3422</v>
      </c>
      <c r="V250" s="5" t="s">
        <v>3422</v>
      </c>
      <c r="W250" s="5" t="s">
        <v>3423</v>
      </c>
      <c r="X250" s="5" t="s">
        <v>3423</v>
      </c>
      <c r="Y250" s="4">
        <v>330</v>
      </c>
      <c r="Z250" s="4">
        <v>251</v>
      </c>
      <c r="AA250" s="4">
        <v>255</v>
      </c>
      <c r="AB250" s="4">
        <v>3</v>
      </c>
      <c r="AC250" s="4">
        <v>3</v>
      </c>
      <c r="AD250" s="4">
        <v>12</v>
      </c>
      <c r="AE250" s="4">
        <v>12</v>
      </c>
      <c r="AF250" s="4">
        <v>3</v>
      </c>
      <c r="AG250" s="4">
        <v>3</v>
      </c>
      <c r="AH250" s="4">
        <v>6</v>
      </c>
      <c r="AI250" s="4">
        <v>6</v>
      </c>
      <c r="AJ250" s="4">
        <v>5</v>
      </c>
      <c r="AK250" s="4">
        <v>5</v>
      </c>
      <c r="AL250" s="4">
        <v>2</v>
      </c>
      <c r="AM250" s="4">
        <v>2</v>
      </c>
      <c r="AN250" s="4">
        <v>0</v>
      </c>
      <c r="AO250" s="4">
        <v>0</v>
      </c>
      <c r="AP250" s="3" t="s">
        <v>58</v>
      </c>
      <c r="AQ250" s="3" t="s">
        <v>87</v>
      </c>
      <c r="AR250" s="6" t="str">
        <f>HYPERLINK("http://catalog.hathitrust.org/Record/003998172","HathiTrust Record")</f>
        <v>HathiTrust Record</v>
      </c>
      <c r="AS250" s="6" t="str">
        <f>HYPERLINK("https://creighton-primo.hosted.exlibrisgroup.com/primo-explore/search?tab=default_tab&amp;search_scope=EVERYTHING&amp;vid=01CRU&amp;lang=en_US&amp;offset=0&amp;query=any,contains,991002923989702656","Catalog Record")</f>
        <v>Catalog Record</v>
      </c>
      <c r="AT250" s="6" t="str">
        <f>HYPERLINK("http://www.worldcat.org/oclc/38862580","WorldCat Record")</f>
        <v>WorldCat Record</v>
      </c>
      <c r="AU250" s="3" t="s">
        <v>3424</v>
      </c>
      <c r="AV250" s="3" t="s">
        <v>3425</v>
      </c>
      <c r="AW250" s="3" t="s">
        <v>3426</v>
      </c>
      <c r="AX250" s="3" t="s">
        <v>3426</v>
      </c>
      <c r="AY250" s="3" t="s">
        <v>3427</v>
      </c>
      <c r="AZ250" s="3" t="s">
        <v>74</v>
      </c>
      <c r="BB250" s="3" t="s">
        <v>3428</v>
      </c>
      <c r="BC250" s="3" t="s">
        <v>3429</v>
      </c>
      <c r="BD250" s="3" t="s">
        <v>3430</v>
      </c>
    </row>
    <row r="251" spans="1:56" ht="45.75" customHeight="1" x14ac:dyDescent="0.25">
      <c r="A251" s="7" t="s">
        <v>58</v>
      </c>
      <c r="B251" s="2" t="s">
        <v>3431</v>
      </c>
      <c r="C251" s="2" t="s">
        <v>3432</v>
      </c>
      <c r="D251" s="2" t="s">
        <v>3433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K251" s="2" t="s">
        <v>3434</v>
      </c>
      <c r="L251" s="2" t="s">
        <v>3435</v>
      </c>
      <c r="M251" s="3" t="s">
        <v>908</v>
      </c>
      <c r="O251" s="3" t="s">
        <v>65</v>
      </c>
      <c r="P251" s="3" t="s">
        <v>190</v>
      </c>
      <c r="R251" s="3" t="s">
        <v>67</v>
      </c>
      <c r="S251" s="4">
        <v>1</v>
      </c>
      <c r="T251" s="4">
        <v>1</v>
      </c>
      <c r="U251" s="5" t="s">
        <v>3436</v>
      </c>
      <c r="V251" s="5" t="s">
        <v>3436</v>
      </c>
      <c r="W251" s="5" t="s">
        <v>3154</v>
      </c>
      <c r="X251" s="5" t="s">
        <v>3154</v>
      </c>
      <c r="Y251" s="4">
        <v>704</v>
      </c>
      <c r="Z251" s="4">
        <v>574</v>
      </c>
      <c r="AA251" s="4">
        <v>616</v>
      </c>
      <c r="AB251" s="4">
        <v>5</v>
      </c>
      <c r="AC251" s="4">
        <v>5</v>
      </c>
      <c r="AD251" s="4">
        <v>26</v>
      </c>
      <c r="AE251" s="4">
        <v>27</v>
      </c>
      <c r="AF251" s="4">
        <v>9</v>
      </c>
      <c r="AG251" s="4">
        <v>9</v>
      </c>
      <c r="AH251" s="4">
        <v>8</v>
      </c>
      <c r="AI251" s="4">
        <v>8</v>
      </c>
      <c r="AJ251" s="4">
        <v>14</v>
      </c>
      <c r="AK251" s="4">
        <v>15</v>
      </c>
      <c r="AL251" s="4">
        <v>4</v>
      </c>
      <c r="AM251" s="4">
        <v>4</v>
      </c>
      <c r="AN251" s="4">
        <v>0</v>
      </c>
      <c r="AO251" s="4">
        <v>0</v>
      </c>
      <c r="AP251" s="3" t="s">
        <v>58</v>
      </c>
      <c r="AQ251" s="3" t="s">
        <v>58</v>
      </c>
      <c r="AS251" s="6" t="str">
        <f>HYPERLINK("https://creighton-primo.hosted.exlibrisgroup.com/primo-explore/search?tab=default_tab&amp;search_scope=EVERYTHING&amp;vid=01CRU&amp;lang=en_US&amp;offset=0&amp;query=any,contains,991004566149702656","Catalog Record")</f>
        <v>Catalog Record</v>
      </c>
      <c r="AT251" s="6" t="str">
        <f>HYPERLINK("http://www.worldcat.org/oclc/4004569","WorldCat Record")</f>
        <v>WorldCat Record</v>
      </c>
      <c r="AU251" s="3" t="s">
        <v>3437</v>
      </c>
      <c r="AV251" s="3" t="s">
        <v>3438</v>
      </c>
      <c r="AW251" s="3" t="s">
        <v>3439</v>
      </c>
      <c r="AX251" s="3" t="s">
        <v>3439</v>
      </c>
      <c r="AY251" s="3" t="s">
        <v>3440</v>
      </c>
      <c r="AZ251" s="3" t="s">
        <v>74</v>
      </c>
      <c r="BB251" s="3" t="s">
        <v>3441</v>
      </c>
      <c r="BC251" s="3" t="s">
        <v>3442</v>
      </c>
      <c r="BD251" s="3" t="s">
        <v>3443</v>
      </c>
    </row>
    <row r="252" spans="1:56" ht="45.75" customHeight="1" x14ac:dyDescent="0.25">
      <c r="A252" s="7" t="s">
        <v>58</v>
      </c>
      <c r="B252" s="2" t="s">
        <v>3444</v>
      </c>
      <c r="C252" s="2" t="s">
        <v>3445</v>
      </c>
      <c r="D252" s="2" t="s">
        <v>3446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K252" s="2" t="s">
        <v>3447</v>
      </c>
      <c r="L252" s="2" t="s">
        <v>3448</v>
      </c>
      <c r="M252" s="3" t="s">
        <v>557</v>
      </c>
      <c r="O252" s="3" t="s">
        <v>65</v>
      </c>
      <c r="P252" s="3" t="s">
        <v>132</v>
      </c>
      <c r="Q252" s="2" t="s">
        <v>3449</v>
      </c>
      <c r="R252" s="3" t="s">
        <v>67</v>
      </c>
      <c r="S252" s="4">
        <v>1</v>
      </c>
      <c r="T252" s="4">
        <v>1</v>
      </c>
      <c r="U252" s="5" t="s">
        <v>3450</v>
      </c>
      <c r="V252" s="5" t="s">
        <v>3450</v>
      </c>
      <c r="W252" s="5" t="s">
        <v>3451</v>
      </c>
      <c r="X252" s="5" t="s">
        <v>3451</v>
      </c>
      <c r="Y252" s="4">
        <v>336</v>
      </c>
      <c r="Z252" s="4">
        <v>246</v>
      </c>
      <c r="AA252" s="4">
        <v>253</v>
      </c>
      <c r="AB252" s="4">
        <v>2</v>
      </c>
      <c r="AC252" s="4">
        <v>2</v>
      </c>
      <c r="AD252" s="4">
        <v>8</v>
      </c>
      <c r="AE252" s="4">
        <v>8</v>
      </c>
      <c r="AF252" s="4">
        <v>2</v>
      </c>
      <c r="AG252" s="4">
        <v>2</v>
      </c>
      <c r="AH252" s="4">
        <v>0</v>
      </c>
      <c r="AI252" s="4">
        <v>0</v>
      </c>
      <c r="AJ252" s="4">
        <v>5</v>
      </c>
      <c r="AK252" s="4">
        <v>5</v>
      </c>
      <c r="AL252" s="4">
        <v>1</v>
      </c>
      <c r="AM252" s="4">
        <v>1</v>
      </c>
      <c r="AN252" s="4">
        <v>0</v>
      </c>
      <c r="AO252" s="4">
        <v>0</v>
      </c>
      <c r="AP252" s="3" t="s">
        <v>58</v>
      </c>
      <c r="AQ252" s="3" t="s">
        <v>87</v>
      </c>
      <c r="AR252" s="6" t="str">
        <f>HYPERLINK("http://catalog.hathitrust.org/Record/002724280","HathiTrust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HYPERLINK("https://creighton-primo.hosted.exlibrisgroup.com/primo-explore/search?tab=default_tab&amp;search_scope=EVERYTHING&amp;vid=01CRU&amp;lang=en_US&amp;offset=0&amp;query=any,contains,991002202569702656","Catalog Record")</f>
        <v>Catalog Record</v>
      </c>
      <c r="AT252" s="6" t="str">
        <f>HYPERLINK("http://www.worldcat.org/oclc/28336397","WorldCat Record")</f>
        <v>WorldCat Record</v>
      </c>
      <c r="AU252" s="3" t="s">
        <v>3452</v>
      </c>
      <c r="AV252" s="3" t="s">
        <v>3453</v>
      </c>
      <c r="AW252" s="3" t="s">
        <v>3454</v>
      </c>
      <c r="AX252" s="3" t="s">
        <v>3454</v>
      </c>
      <c r="AY252" s="3" t="s">
        <v>3455</v>
      </c>
      <c r="AZ252" s="3" t="s">
        <v>74</v>
      </c>
      <c r="BB252" s="3" t="s">
        <v>3456</v>
      </c>
      <c r="BC252" s="3" t="s">
        <v>3457</v>
      </c>
      <c r="BD252" s="3" t="s">
        <v>3458</v>
      </c>
    </row>
    <row r="253" spans="1:56" ht="45.75" customHeight="1" x14ac:dyDescent="0.25">
      <c r="A253" s="7" t="s">
        <v>58</v>
      </c>
      <c r="B253" s="2" t="s">
        <v>3459</v>
      </c>
      <c r="C253" s="2" t="s">
        <v>3460</v>
      </c>
      <c r="D253" s="2" t="s">
        <v>3461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K253" s="2" t="s">
        <v>3462</v>
      </c>
      <c r="L253" s="2" t="s">
        <v>3463</v>
      </c>
      <c r="M253" s="3" t="s">
        <v>629</v>
      </c>
      <c r="O253" s="3" t="s">
        <v>65</v>
      </c>
      <c r="P253" s="3" t="s">
        <v>336</v>
      </c>
      <c r="R253" s="3" t="s">
        <v>67</v>
      </c>
      <c r="S253" s="4">
        <v>1</v>
      </c>
      <c r="T253" s="4">
        <v>1</v>
      </c>
      <c r="U253" s="5" t="s">
        <v>473</v>
      </c>
      <c r="V253" s="5" t="s">
        <v>473</v>
      </c>
      <c r="W253" s="5" t="s">
        <v>2749</v>
      </c>
      <c r="X253" s="5" t="s">
        <v>2749</v>
      </c>
      <c r="Y253" s="4">
        <v>246</v>
      </c>
      <c r="Z253" s="4">
        <v>202</v>
      </c>
      <c r="AA253" s="4">
        <v>208</v>
      </c>
      <c r="AB253" s="4">
        <v>2</v>
      </c>
      <c r="AC253" s="4">
        <v>2</v>
      </c>
      <c r="AD253" s="4">
        <v>9</v>
      </c>
      <c r="AE253" s="4">
        <v>9</v>
      </c>
      <c r="AF253" s="4">
        <v>2</v>
      </c>
      <c r="AG253" s="4">
        <v>2</v>
      </c>
      <c r="AH253" s="4">
        <v>2</v>
      </c>
      <c r="AI253" s="4">
        <v>2</v>
      </c>
      <c r="AJ253" s="4">
        <v>5</v>
      </c>
      <c r="AK253" s="4">
        <v>5</v>
      </c>
      <c r="AL253" s="4">
        <v>1</v>
      </c>
      <c r="AM253" s="4">
        <v>1</v>
      </c>
      <c r="AN253" s="4">
        <v>0</v>
      </c>
      <c r="AO253" s="4">
        <v>0</v>
      </c>
      <c r="AP253" s="3" t="s">
        <v>58</v>
      </c>
      <c r="AQ253" s="3" t="s">
        <v>87</v>
      </c>
      <c r="AR253" s="6" t="str">
        <f>HYPERLINK("http://catalog.hathitrust.org/Record/002782519","HathiTrust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HYPERLINK("https://creighton-primo.hosted.exlibrisgroup.com/primo-explore/search?tab=default_tab&amp;search_scope=EVERYTHING&amp;vid=01CRU&amp;lang=en_US&amp;offset=0&amp;query=any,contains,991002216239702656","Catalog Record")</f>
        <v>Catalog Record</v>
      </c>
      <c r="AT253" s="6" t="str">
        <f>HYPERLINK("http://www.worldcat.org/oclc/28547351","WorldCat Record")</f>
        <v>WorldCat Record</v>
      </c>
      <c r="AU253" s="3" t="s">
        <v>3464</v>
      </c>
      <c r="AV253" s="3" t="s">
        <v>3465</v>
      </c>
      <c r="AW253" s="3" t="s">
        <v>3466</v>
      </c>
      <c r="AX253" s="3" t="s">
        <v>3466</v>
      </c>
      <c r="AY253" s="3" t="s">
        <v>3467</v>
      </c>
      <c r="AZ253" s="3" t="s">
        <v>74</v>
      </c>
      <c r="BB253" s="3" t="s">
        <v>3468</v>
      </c>
      <c r="BC253" s="3" t="s">
        <v>3469</v>
      </c>
      <c r="BD253" s="3" t="s">
        <v>3470</v>
      </c>
    </row>
    <row r="254" spans="1:56" ht="45.75" customHeight="1" x14ac:dyDescent="0.25">
      <c r="A254" s="7" t="s">
        <v>58</v>
      </c>
      <c r="B254" s="2" t="s">
        <v>3471</v>
      </c>
      <c r="C254" s="2" t="s">
        <v>3472</v>
      </c>
      <c r="D254" s="2" t="s">
        <v>3473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K254" s="2" t="s">
        <v>3474</v>
      </c>
      <c r="L254" s="2" t="s">
        <v>3475</v>
      </c>
      <c r="M254" s="3" t="s">
        <v>573</v>
      </c>
      <c r="N254" s="2" t="s">
        <v>64</v>
      </c>
      <c r="O254" s="3" t="s">
        <v>65</v>
      </c>
      <c r="P254" s="3" t="s">
        <v>84</v>
      </c>
      <c r="R254" s="3" t="s">
        <v>67</v>
      </c>
      <c r="S254" s="4">
        <v>1</v>
      </c>
      <c r="T254" s="4">
        <v>1</v>
      </c>
      <c r="U254" s="5" t="s">
        <v>1703</v>
      </c>
      <c r="V254" s="5" t="s">
        <v>1703</v>
      </c>
      <c r="W254" s="5" t="s">
        <v>1703</v>
      </c>
      <c r="X254" s="5" t="s">
        <v>1703</v>
      </c>
      <c r="Y254" s="4">
        <v>166</v>
      </c>
      <c r="Z254" s="4">
        <v>127</v>
      </c>
      <c r="AA254" s="4">
        <v>796</v>
      </c>
      <c r="AB254" s="4">
        <v>3</v>
      </c>
      <c r="AC254" s="4">
        <v>5</v>
      </c>
      <c r="AD254" s="4">
        <v>7</v>
      </c>
      <c r="AE254" s="4">
        <v>27</v>
      </c>
      <c r="AF254" s="4">
        <v>0</v>
      </c>
      <c r="AG254" s="4">
        <v>10</v>
      </c>
      <c r="AH254" s="4">
        <v>0</v>
      </c>
      <c r="AI254" s="4">
        <v>6</v>
      </c>
      <c r="AJ254" s="4">
        <v>5</v>
      </c>
      <c r="AK254" s="4">
        <v>14</v>
      </c>
      <c r="AL254" s="4">
        <v>2</v>
      </c>
      <c r="AM254" s="4">
        <v>4</v>
      </c>
      <c r="AN254" s="4">
        <v>0</v>
      </c>
      <c r="AO254" s="4">
        <v>0</v>
      </c>
      <c r="AP254" s="3" t="s">
        <v>58</v>
      </c>
      <c r="AQ254" s="3" t="s">
        <v>58</v>
      </c>
      <c r="AS254" s="6" t="str">
        <f>HYPERLINK("https://creighton-primo.hosted.exlibrisgroup.com/primo-explore/search?tab=default_tab&amp;search_scope=EVERYTHING&amp;vid=01CRU&amp;lang=en_US&amp;offset=0&amp;query=any,contains,991004190319702656","Catalog Record")</f>
        <v>Catalog Record</v>
      </c>
      <c r="AT254" s="6" t="str">
        <f>HYPERLINK("http://www.worldcat.org/oclc/49727812","WorldCat Record")</f>
        <v>WorldCat Record</v>
      </c>
      <c r="AU254" s="3" t="s">
        <v>3476</v>
      </c>
      <c r="AV254" s="3" t="s">
        <v>3477</v>
      </c>
      <c r="AW254" s="3" t="s">
        <v>3478</v>
      </c>
      <c r="AX254" s="3" t="s">
        <v>3478</v>
      </c>
      <c r="AY254" s="3" t="s">
        <v>3479</v>
      </c>
      <c r="AZ254" s="3" t="s">
        <v>74</v>
      </c>
      <c r="BB254" s="3" t="s">
        <v>3480</v>
      </c>
      <c r="BC254" s="3" t="s">
        <v>3481</v>
      </c>
      <c r="BD254" s="3" t="s">
        <v>3482</v>
      </c>
    </row>
    <row r="255" spans="1:56" ht="45.75" customHeight="1" x14ac:dyDescent="0.25">
      <c r="A255" s="7" t="s">
        <v>58</v>
      </c>
      <c r="B255" s="2" t="s">
        <v>3483</v>
      </c>
      <c r="C255" s="2" t="s">
        <v>3484</v>
      </c>
      <c r="D255" s="2" t="s">
        <v>3485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K255" s="2" t="s">
        <v>375</v>
      </c>
      <c r="L255" s="2" t="s">
        <v>3486</v>
      </c>
      <c r="M255" s="3" t="s">
        <v>629</v>
      </c>
      <c r="O255" s="3" t="s">
        <v>65</v>
      </c>
      <c r="P255" s="3" t="s">
        <v>66</v>
      </c>
      <c r="R255" s="3" t="s">
        <v>67</v>
      </c>
      <c r="S255" s="4">
        <v>3</v>
      </c>
      <c r="T255" s="4">
        <v>3</v>
      </c>
      <c r="U255" s="5" t="s">
        <v>3487</v>
      </c>
      <c r="V255" s="5" t="s">
        <v>3487</v>
      </c>
      <c r="W255" s="5" t="s">
        <v>2737</v>
      </c>
      <c r="X255" s="5" t="s">
        <v>2737</v>
      </c>
      <c r="Y255" s="4">
        <v>417</v>
      </c>
      <c r="Z255" s="4">
        <v>367</v>
      </c>
      <c r="AA255" s="4">
        <v>385</v>
      </c>
      <c r="AB255" s="4">
        <v>5</v>
      </c>
      <c r="AC255" s="4">
        <v>5</v>
      </c>
      <c r="AD255" s="4">
        <v>20</v>
      </c>
      <c r="AE255" s="4">
        <v>21</v>
      </c>
      <c r="AF255" s="4">
        <v>8</v>
      </c>
      <c r="AG255" s="4">
        <v>8</v>
      </c>
      <c r="AH255" s="4">
        <v>4</v>
      </c>
      <c r="AI255" s="4">
        <v>4</v>
      </c>
      <c r="AJ255" s="4">
        <v>9</v>
      </c>
      <c r="AK255" s="4">
        <v>10</v>
      </c>
      <c r="AL255" s="4">
        <v>4</v>
      </c>
      <c r="AM255" s="4">
        <v>4</v>
      </c>
      <c r="AN255" s="4">
        <v>0</v>
      </c>
      <c r="AO255" s="4">
        <v>0</v>
      </c>
      <c r="AP255" s="3" t="s">
        <v>58</v>
      </c>
      <c r="AQ255" s="3" t="s">
        <v>87</v>
      </c>
      <c r="AR255" s="6" t="str">
        <f>HYPERLINK("http://catalog.hathitrust.org/Record/002905773","HathiTrust Record")</f>
        <v>HathiTrust Record</v>
      </c>
      <c r="AS255" s="6" t="str">
        <f>HYPERLINK("https://creighton-primo.hosted.exlibrisgroup.com/primo-explore/search?tab=default_tab&amp;search_scope=EVERYTHING&amp;vid=01CRU&amp;lang=en_US&amp;offset=0&amp;query=any,contains,991002363899702656","Catalog Record")</f>
        <v>Catalog Record</v>
      </c>
      <c r="AT255" s="6" t="str">
        <f>HYPERLINK("http://www.worldcat.org/oclc/30736824","WorldCat Record")</f>
        <v>WorldCat Record</v>
      </c>
      <c r="AU255" s="3" t="s">
        <v>3488</v>
      </c>
      <c r="AV255" s="3" t="s">
        <v>3489</v>
      </c>
      <c r="AW255" s="3" t="s">
        <v>3490</v>
      </c>
      <c r="AX255" s="3" t="s">
        <v>3490</v>
      </c>
      <c r="AY255" s="3" t="s">
        <v>3491</v>
      </c>
      <c r="AZ255" s="3" t="s">
        <v>74</v>
      </c>
      <c r="BB255" s="3" t="s">
        <v>3492</v>
      </c>
      <c r="BC255" s="3" t="s">
        <v>3493</v>
      </c>
      <c r="BD255" s="3" t="s">
        <v>3494</v>
      </c>
    </row>
    <row r="256" spans="1:56" ht="45.75" customHeight="1" x14ac:dyDescent="0.25">
      <c r="A256" s="7" t="s">
        <v>58</v>
      </c>
      <c r="B256" s="2" t="s">
        <v>3495</v>
      </c>
      <c r="C256" s="2" t="s">
        <v>3496</v>
      </c>
      <c r="D256" s="2" t="s">
        <v>3497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3498</v>
      </c>
      <c r="L256" s="2" t="s">
        <v>3499</v>
      </c>
      <c r="M256" s="3" t="s">
        <v>3358</v>
      </c>
      <c r="O256" s="3" t="s">
        <v>65</v>
      </c>
      <c r="P256" s="3" t="s">
        <v>84</v>
      </c>
      <c r="R256" s="3" t="s">
        <v>67</v>
      </c>
      <c r="S256" s="4">
        <v>3</v>
      </c>
      <c r="T256" s="4">
        <v>3</v>
      </c>
      <c r="U256" s="5" t="s">
        <v>3500</v>
      </c>
      <c r="V256" s="5" t="s">
        <v>3500</v>
      </c>
      <c r="W256" s="5" t="s">
        <v>3154</v>
      </c>
      <c r="X256" s="5" t="s">
        <v>3154</v>
      </c>
      <c r="Y256" s="4">
        <v>602</v>
      </c>
      <c r="Z256" s="4">
        <v>489</v>
      </c>
      <c r="AA256" s="4">
        <v>522</v>
      </c>
      <c r="AB256" s="4">
        <v>4</v>
      </c>
      <c r="AC256" s="4">
        <v>4</v>
      </c>
      <c r="AD256" s="4">
        <v>19</v>
      </c>
      <c r="AE256" s="4">
        <v>21</v>
      </c>
      <c r="AF256" s="4">
        <v>6</v>
      </c>
      <c r="AG256" s="4">
        <v>7</v>
      </c>
      <c r="AH256" s="4">
        <v>5</v>
      </c>
      <c r="AI256" s="4">
        <v>5</v>
      </c>
      <c r="AJ256" s="4">
        <v>10</v>
      </c>
      <c r="AK256" s="4">
        <v>11</v>
      </c>
      <c r="AL256" s="4">
        <v>3</v>
      </c>
      <c r="AM256" s="4">
        <v>3</v>
      </c>
      <c r="AN256" s="4">
        <v>0</v>
      </c>
      <c r="AO256" s="4">
        <v>0</v>
      </c>
      <c r="AP256" s="3" t="s">
        <v>58</v>
      </c>
      <c r="AQ256" s="3" t="s">
        <v>58</v>
      </c>
      <c r="AS256" s="6" t="str">
        <f>HYPERLINK("https://creighton-primo.hosted.exlibrisgroup.com/primo-explore/search?tab=default_tab&amp;search_scope=EVERYTHING&amp;vid=01CRU&amp;lang=en_US&amp;offset=0&amp;query=any,contains,991002455469702656","Catalog Record")</f>
        <v>Catalog Record</v>
      </c>
      <c r="AT256" s="6" t="str">
        <f>HYPERLINK("http://www.worldcat.org/oclc/354131","WorldCat Record")</f>
        <v>WorldCat Record</v>
      </c>
      <c r="AU256" s="3" t="s">
        <v>3501</v>
      </c>
      <c r="AV256" s="3" t="s">
        <v>3502</v>
      </c>
      <c r="AW256" s="3" t="s">
        <v>3503</v>
      </c>
      <c r="AX256" s="3" t="s">
        <v>3503</v>
      </c>
      <c r="AY256" s="3" t="s">
        <v>3504</v>
      </c>
      <c r="AZ256" s="3" t="s">
        <v>74</v>
      </c>
      <c r="BB256" s="3" t="s">
        <v>3505</v>
      </c>
      <c r="BC256" s="3" t="s">
        <v>3506</v>
      </c>
      <c r="BD256" s="3" t="s">
        <v>3507</v>
      </c>
    </row>
    <row r="257" spans="1:56" ht="45.75" customHeight="1" x14ac:dyDescent="0.25">
      <c r="A257" s="7" t="s">
        <v>58</v>
      </c>
      <c r="B257" s="2" t="s">
        <v>3508</v>
      </c>
      <c r="C257" s="2" t="s">
        <v>3509</v>
      </c>
      <c r="D257" s="2" t="s">
        <v>3510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K257" s="2" t="s">
        <v>3511</v>
      </c>
      <c r="L257" s="2" t="s">
        <v>3512</v>
      </c>
      <c r="M257" s="3" t="s">
        <v>116</v>
      </c>
      <c r="O257" s="3" t="s">
        <v>65</v>
      </c>
      <c r="P257" s="3" t="s">
        <v>363</v>
      </c>
      <c r="Q257" s="2" t="s">
        <v>3513</v>
      </c>
      <c r="R257" s="3" t="s">
        <v>67</v>
      </c>
      <c r="S257" s="4">
        <v>3</v>
      </c>
      <c r="T257" s="4">
        <v>3</v>
      </c>
      <c r="U257" s="5" t="s">
        <v>3514</v>
      </c>
      <c r="V257" s="5" t="s">
        <v>3514</v>
      </c>
      <c r="W257" s="5" t="s">
        <v>3515</v>
      </c>
      <c r="X257" s="5" t="s">
        <v>3515</v>
      </c>
      <c r="Y257" s="4">
        <v>125</v>
      </c>
      <c r="Z257" s="4">
        <v>106</v>
      </c>
      <c r="AA257" s="4">
        <v>108</v>
      </c>
      <c r="AB257" s="4">
        <v>2</v>
      </c>
      <c r="AC257" s="4">
        <v>2</v>
      </c>
      <c r="AD257" s="4">
        <v>6</v>
      </c>
      <c r="AE257" s="4">
        <v>6</v>
      </c>
      <c r="AF257" s="4">
        <v>0</v>
      </c>
      <c r="AG257" s="4">
        <v>0</v>
      </c>
      <c r="AH257" s="4">
        <v>3</v>
      </c>
      <c r="AI257" s="4">
        <v>3</v>
      </c>
      <c r="AJ257" s="4">
        <v>3</v>
      </c>
      <c r="AK257" s="4">
        <v>3</v>
      </c>
      <c r="AL257" s="4">
        <v>1</v>
      </c>
      <c r="AM257" s="4">
        <v>1</v>
      </c>
      <c r="AN257" s="4">
        <v>0</v>
      </c>
      <c r="AO257" s="4">
        <v>0</v>
      </c>
      <c r="AP257" s="3" t="s">
        <v>58</v>
      </c>
      <c r="AQ257" s="3" t="s">
        <v>87</v>
      </c>
      <c r="AR257" s="6" t="str">
        <f>HYPERLINK("http://catalog.hathitrust.org/Record/004198157","HathiTrust Record")</f>
        <v>HathiTrust Record</v>
      </c>
      <c r="AS257" s="6" t="str">
        <f>HYPERLINK("https://creighton-primo.hosted.exlibrisgroup.com/primo-explore/search?tab=default_tab&amp;search_scope=EVERYTHING&amp;vid=01CRU&amp;lang=en_US&amp;offset=0&amp;query=any,contains,991003638589702656","Catalog Record")</f>
        <v>Catalog Record</v>
      </c>
      <c r="AT257" s="6" t="str">
        <f>HYPERLINK("http://www.worldcat.org/oclc/38304553","WorldCat Record")</f>
        <v>WorldCat Record</v>
      </c>
      <c r="AU257" s="3" t="s">
        <v>3516</v>
      </c>
      <c r="AV257" s="3" t="s">
        <v>3517</v>
      </c>
      <c r="AW257" s="3" t="s">
        <v>3518</v>
      </c>
      <c r="AX257" s="3" t="s">
        <v>3518</v>
      </c>
      <c r="AY257" s="3" t="s">
        <v>3519</v>
      </c>
      <c r="AZ257" s="3" t="s">
        <v>74</v>
      </c>
      <c r="BB257" s="3" t="s">
        <v>3520</v>
      </c>
      <c r="BC257" s="3" t="s">
        <v>3521</v>
      </c>
      <c r="BD257" s="3" t="s">
        <v>3522</v>
      </c>
    </row>
    <row r="258" spans="1:56" ht="45.75" customHeight="1" x14ac:dyDescent="0.25">
      <c r="A258" s="7" t="s">
        <v>58</v>
      </c>
      <c r="B258" s="2" t="s">
        <v>3523</v>
      </c>
      <c r="C258" s="2" t="s">
        <v>3524</v>
      </c>
      <c r="D258" s="2" t="s">
        <v>3525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L258" s="2" t="s">
        <v>2241</v>
      </c>
      <c r="M258" s="3" t="s">
        <v>220</v>
      </c>
      <c r="O258" s="3" t="s">
        <v>65</v>
      </c>
      <c r="P258" s="3" t="s">
        <v>84</v>
      </c>
      <c r="R258" s="3" t="s">
        <v>67</v>
      </c>
      <c r="S258" s="4">
        <v>1</v>
      </c>
      <c r="T258" s="4">
        <v>1</v>
      </c>
      <c r="U258" s="5" t="s">
        <v>293</v>
      </c>
      <c r="V258" s="5" t="s">
        <v>293</v>
      </c>
      <c r="W258" s="5" t="s">
        <v>1381</v>
      </c>
      <c r="X258" s="5" t="s">
        <v>1381</v>
      </c>
      <c r="Y258" s="4">
        <v>227</v>
      </c>
      <c r="Z258" s="4">
        <v>170</v>
      </c>
      <c r="AA258" s="4">
        <v>196</v>
      </c>
      <c r="AB258" s="4">
        <v>3</v>
      </c>
      <c r="AC258" s="4">
        <v>3</v>
      </c>
      <c r="AD258" s="4">
        <v>10</v>
      </c>
      <c r="AE258" s="4">
        <v>10</v>
      </c>
      <c r="AF258" s="4">
        <v>3</v>
      </c>
      <c r="AG258" s="4">
        <v>3</v>
      </c>
      <c r="AH258" s="4">
        <v>1</v>
      </c>
      <c r="AI258" s="4">
        <v>1</v>
      </c>
      <c r="AJ258" s="4">
        <v>6</v>
      </c>
      <c r="AK258" s="4">
        <v>6</v>
      </c>
      <c r="AL258" s="4">
        <v>2</v>
      </c>
      <c r="AM258" s="4">
        <v>2</v>
      </c>
      <c r="AN258" s="4">
        <v>0</v>
      </c>
      <c r="AO258" s="4">
        <v>0</v>
      </c>
      <c r="AP258" s="3" t="s">
        <v>58</v>
      </c>
      <c r="AQ258" s="3" t="s">
        <v>87</v>
      </c>
      <c r="AR258" s="6" t="str">
        <f>HYPERLINK("http://catalog.hathitrust.org/Record/004142524","HathiTrust Record")</f>
        <v>HathiTrust Record</v>
      </c>
      <c r="AS258" s="6" t="str">
        <f>HYPERLINK("https://creighton-primo.hosted.exlibrisgroup.com/primo-explore/search?tab=default_tab&amp;search_scope=EVERYTHING&amp;vid=01CRU&amp;lang=en_US&amp;offset=0&amp;query=any,contains,991003024389702656","Catalog Record")</f>
        <v>Catalog Record</v>
      </c>
      <c r="AT258" s="6" t="str">
        <f>HYPERLINK("http://www.worldcat.org/oclc/41285070","WorldCat Record")</f>
        <v>WorldCat Record</v>
      </c>
      <c r="AU258" s="3" t="s">
        <v>3526</v>
      </c>
      <c r="AV258" s="3" t="s">
        <v>3527</v>
      </c>
      <c r="AW258" s="3" t="s">
        <v>3528</v>
      </c>
      <c r="AX258" s="3" t="s">
        <v>3528</v>
      </c>
      <c r="AY258" s="3" t="s">
        <v>3529</v>
      </c>
      <c r="AZ258" s="3" t="s">
        <v>74</v>
      </c>
      <c r="BB258" s="3" t="s">
        <v>3530</v>
      </c>
      <c r="BC258" s="3" t="s">
        <v>3531</v>
      </c>
      <c r="BD258" s="3" t="s">
        <v>3532</v>
      </c>
    </row>
    <row r="259" spans="1:56" ht="45.75" customHeight="1" x14ac:dyDescent="0.25">
      <c r="A259" s="7" t="s">
        <v>58</v>
      </c>
      <c r="B259" s="2" t="s">
        <v>3533</v>
      </c>
      <c r="C259" s="2" t="s">
        <v>3534</v>
      </c>
      <c r="D259" s="2" t="s">
        <v>3535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K259" s="2" t="s">
        <v>3536</v>
      </c>
      <c r="L259" s="2" t="s">
        <v>3537</v>
      </c>
      <c r="M259" s="3" t="s">
        <v>867</v>
      </c>
      <c r="O259" s="3" t="s">
        <v>65</v>
      </c>
      <c r="P259" s="3" t="s">
        <v>1238</v>
      </c>
      <c r="R259" s="3" t="s">
        <v>67</v>
      </c>
      <c r="S259" s="4">
        <v>3</v>
      </c>
      <c r="T259" s="4">
        <v>3</v>
      </c>
      <c r="U259" s="5" t="s">
        <v>3487</v>
      </c>
      <c r="V259" s="5" t="s">
        <v>3487</v>
      </c>
      <c r="W259" s="5" t="s">
        <v>3538</v>
      </c>
      <c r="X259" s="5" t="s">
        <v>3538</v>
      </c>
      <c r="Y259" s="4">
        <v>112</v>
      </c>
      <c r="Z259" s="4">
        <v>110</v>
      </c>
      <c r="AA259" s="4">
        <v>183</v>
      </c>
      <c r="AB259" s="4">
        <v>3</v>
      </c>
      <c r="AC259" s="4">
        <v>3</v>
      </c>
      <c r="AD259" s="4">
        <v>6</v>
      </c>
      <c r="AE259" s="4">
        <v>11</v>
      </c>
      <c r="AF259" s="4">
        <v>1</v>
      </c>
      <c r="AG259" s="4">
        <v>2</v>
      </c>
      <c r="AH259" s="4">
        <v>1</v>
      </c>
      <c r="AI259" s="4">
        <v>4</v>
      </c>
      <c r="AJ259" s="4">
        <v>2</v>
      </c>
      <c r="AK259" s="4">
        <v>5</v>
      </c>
      <c r="AL259" s="4">
        <v>2</v>
      </c>
      <c r="AM259" s="4">
        <v>2</v>
      </c>
      <c r="AN259" s="4">
        <v>0</v>
      </c>
      <c r="AO259" s="4">
        <v>0</v>
      </c>
      <c r="AP259" s="3" t="s">
        <v>58</v>
      </c>
      <c r="AQ259" s="3" t="s">
        <v>87</v>
      </c>
      <c r="AR259" s="6" t="str">
        <f>HYPERLINK("http://catalog.hathitrust.org/Record/003107863","HathiTrust Record")</f>
        <v>HathiTrust Record</v>
      </c>
      <c r="AS259" s="6" t="str">
        <f>HYPERLINK("https://creighton-primo.hosted.exlibrisgroup.com/primo-explore/search?tab=default_tab&amp;search_scope=EVERYTHING&amp;vid=01CRU&amp;lang=en_US&amp;offset=0&amp;query=any,contains,991002232299702656","Catalog Record")</f>
        <v>Catalog Record</v>
      </c>
      <c r="AT259" s="6" t="str">
        <f>HYPERLINK("http://www.worldcat.org/oclc/28756377","WorldCat Record")</f>
        <v>WorldCat Record</v>
      </c>
      <c r="AU259" s="3" t="s">
        <v>3539</v>
      </c>
      <c r="AV259" s="3" t="s">
        <v>3540</v>
      </c>
      <c r="AW259" s="3" t="s">
        <v>3541</v>
      </c>
      <c r="AX259" s="3" t="s">
        <v>3541</v>
      </c>
      <c r="AY259" s="3" t="s">
        <v>3542</v>
      </c>
      <c r="AZ259" s="3" t="s">
        <v>74</v>
      </c>
      <c r="BC259" s="3" t="s">
        <v>3543</v>
      </c>
      <c r="BD259" s="3" t="s">
        <v>3544</v>
      </c>
    </row>
    <row r="260" spans="1:56" ht="45.75" customHeight="1" x14ac:dyDescent="0.25">
      <c r="A260" s="7" t="s">
        <v>58</v>
      </c>
      <c r="B260" s="2" t="s">
        <v>3545</v>
      </c>
      <c r="C260" s="2" t="s">
        <v>3546</v>
      </c>
      <c r="D260" s="2" t="s">
        <v>3547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L260" s="2" t="s">
        <v>1114</v>
      </c>
      <c r="M260" s="3" t="s">
        <v>1088</v>
      </c>
      <c r="O260" s="3" t="s">
        <v>65</v>
      </c>
      <c r="P260" s="3" t="s">
        <v>84</v>
      </c>
      <c r="Q260" s="2" t="s">
        <v>3548</v>
      </c>
      <c r="R260" s="3" t="s">
        <v>67</v>
      </c>
      <c r="S260" s="4">
        <v>4</v>
      </c>
      <c r="T260" s="4">
        <v>4</v>
      </c>
      <c r="U260" s="5" t="s">
        <v>2572</v>
      </c>
      <c r="V260" s="5" t="s">
        <v>2572</v>
      </c>
      <c r="W260" s="5" t="s">
        <v>3154</v>
      </c>
      <c r="X260" s="5" t="s">
        <v>3154</v>
      </c>
      <c r="Y260" s="4">
        <v>305</v>
      </c>
      <c r="Z260" s="4">
        <v>260</v>
      </c>
      <c r="AA260" s="4">
        <v>262</v>
      </c>
      <c r="AB260" s="4">
        <v>3</v>
      </c>
      <c r="AC260" s="4">
        <v>3</v>
      </c>
      <c r="AD260" s="4">
        <v>10</v>
      </c>
      <c r="AE260" s="4">
        <v>10</v>
      </c>
      <c r="AF260" s="4">
        <v>2</v>
      </c>
      <c r="AG260" s="4">
        <v>2</v>
      </c>
      <c r="AH260" s="4">
        <v>3</v>
      </c>
      <c r="AI260" s="4">
        <v>3</v>
      </c>
      <c r="AJ260" s="4">
        <v>5</v>
      </c>
      <c r="AK260" s="4">
        <v>5</v>
      </c>
      <c r="AL260" s="4">
        <v>2</v>
      </c>
      <c r="AM260" s="4">
        <v>2</v>
      </c>
      <c r="AN260" s="4">
        <v>0</v>
      </c>
      <c r="AO260" s="4">
        <v>0</v>
      </c>
      <c r="AP260" s="3" t="s">
        <v>58</v>
      </c>
      <c r="AQ260" s="3" t="s">
        <v>87</v>
      </c>
      <c r="AR260" s="6" t="str">
        <f>HYPERLINK("http://catalog.hathitrust.org/Record/000460693","HathiTrust Record")</f>
        <v>HathiTrust Record</v>
      </c>
      <c r="AS260" s="6" t="str">
        <f>HYPERLINK("https://creighton-primo.hosted.exlibrisgroup.com/primo-explore/search?tab=default_tab&amp;search_scope=EVERYTHING&amp;vid=01CRU&amp;lang=en_US&amp;offset=0&amp;query=any,contains,991000495869702656","Catalog Record")</f>
        <v>Catalog Record</v>
      </c>
      <c r="AT260" s="6" t="str">
        <f>HYPERLINK("http://www.worldcat.org/oclc/11134448","WorldCat Record")</f>
        <v>WorldCat Record</v>
      </c>
      <c r="AU260" s="3" t="s">
        <v>3549</v>
      </c>
      <c r="AV260" s="3" t="s">
        <v>3550</v>
      </c>
      <c r="AW260" s="3" t="s">
        <v>3551</v>
      </c>
      <c r="AX260" s="3" t="s">
        <v>3551</v>
      </c>
      <c r="AY260" s="3" t="s">
        <v>3552</v>
      </c>
      <c r="AZ260" s="3" t="s">
        <v>74</v>
      </c>
      <c r="BB260" s="3" t="s">
        <v>3553</v>
      </c>
      <c r="BC260" s="3" t="s">
        <v>3554</v>
      </c>
      <c r="BD260" s="3" t="s">
        <v>3555</v>
      </c>
    </row>
    <row r="261" spans="1:56" ht="45.75" customHeight="1" x14ac:dyDescent="0.25">
      <c r="A261" s="7" t="s">
        <v>58</v>
      </c>
      <c r="B261" s="2" t="s">
        <v>3556</v>
      </c>
      <c r="C261" s="2" t="s">
        <v>3557</v>
      </c>
      <c r="D261" s="2" t="s">
        <v>3558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949</v>
      </c>
      <c r="L261" s="2" t="s">
        <v>3559</v>
      </c>
      <c r="M261" s="3" t="s">
        <v>307</v>
      </c>
      <c r="N261" s="2" t="s">
        <v>64</v>
      </c>
      <c r="O261" s="3" t="s">
        <v>65</v>
      </c>
      <c r="P261" s="3" t="s">
        <v>148</v>
      </c>
      <c r="R261" s="3" t="s">
        <v>67</v>
      </c>
      <c r="S261" s="4">
        <v>1</v>
      </c>
      <c r="T261" s="4">
        <v>1</v>
      </c>
      <c r="U261" s="5" t="s">
        <v>3560</v>
      </c>
      <c r="V261" s="5" t="s">
        <v>3560</v>
      </c>
      <c r="W261" s="5" t="s">
        <v>3561</v>
      </c>
      <c r="X261" s="5" t="s">
        <v>3561</v>
      </c>
      <c r="Y261" s="4">
        <v>138</v>
      </c>
      <c r="Z261" s="4">
        <v>103</v>
      </c>
      <c r="AA261" s="4">
        <v>485</v>
      </c>
      <c r="AB261" s="4">
        <v>1</v>
      </c>
      <c r="AC261" s="4">
        <v>3</v>
      </c>
      <c r="AD261" s="4">
        <v>5</v>
      </c>
      <c r="AE261" s="4">
        <v>17</v>
      </c>
      <c r="AF261" s="4">
        <v>0</v>
      </c>
      <c r="AG261" s="4">
        <v>3</v>
      </c>
      <c r="AH261" s="4">
        <v>2</v>
      </c>
      <c r="AI261" s="4">
        <v>5</v>
      </c>
      <c r="AJ261" s="4">
        <v>3</v>
      </c>
      <c r="AK261" s="4">
        <v>10</v>
      </c>
      <c r="AL261" s="4">
        <v>0</v>
      </c>
      <c r="AM261" s="4">
        <v>2</v>
      </c>
      <c r="AN261" s="4">
        <v>0</v>
      </c>
      <c r="AO261" s="4">
        <v>0</v>
      </c>
      <c r="AP261" s="3" t="s">
        <v>58</v>
      </c>
      <c r="AQ261" s="3" t="s">
        <v>87</v>
      </c>
      <c r="AR261" s="6" t="str">
        <f>HYPERLINK("http://catalog.hathitrust.org/Record/003054544","HathiTrust Record")</f>
        <v>HathiTrust Record</v>
      </c>
      <c r="AS261" s="6" t="str">
        <f>HYPERLINK("https://creighton-primo.hosted.exlibrisgroup.com/primo-explore/search?tab=default_tab&amp;search_scope=EVERYTHING&amp;vid=01CRU&amp;lang=en_US&amp;offset=0&amp;query=any,contains,991003660269702656","Catalog Record")</f>
        <v>Catalog Record</v>
      </c>
      <c r="AT261" s="6" t="str">
        <f>HYPERLINK("http://www.worldcat.org/oclc/29478627","WorldCat Record")</f>
        <v>WorldCat Record</v>
      </c>
      <c r="AU261" s="3" t="s">
        <v>3562</v>
      </c>
      <c r="AV261" s="3" t="s">
        <v>3563</v>
      </c>
      <c r="AW261" s="3" t="s">
        <v>3564</v>
      </c>
      <c r="AX261" s="3" t="s">
        <v>3564</v>
      </c>
      <c r="AY261" s="3" t="s">
        <v>3565</v>
      </c>
      <c r="AZ261" s="3" t="s">
        <v>74</v>
      </c>
      <c r="BB261" s="3" t="s">
        <v>3566</v>
      </c>
      <c r="BC261" s="3" t="s">
        <v>3567</v>
      </c>
      <c r="BD261" s="3" t="s">
        <v>3568</v>
      </c>
    </row>
    <row r="262" spans="1:56" ht="45.75" customHeight="1" x14ac:dyDescent="0.25">
      <c r="A262" s="7" t="s">
        <v>58</v>
      </c>
      <c r="B262" s="2" t="s">
        <v>3569</v>
      </c>
      <c r="C262" s="2" t="s">
        <v>3570</v>
      </c>
      <c r="D262" s="2" t="s">
        <v>3571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K262" s="2" t="s">
        <v>3572</v>
      </c>
      <c r="L262" s="2" t="s">
        <v>3573</v>
      </c>
      <c r="M262" s="3" t="s">
        <v>1032</v>
      </c>
      <c r="N262" s="2" t="s">
        <v>291</v>
      </c>
      <c r="O262" s="3" t="s">
        <v>65</v>
      </c>
      <c r="P262" s="3" t="s">
        <v>190</v>
      </c>
      <c r="Q262" s="2" t="s">
        <v>3574</v>
      </c>
      <c r="R262" s="3" t="s">
        <v>67</v>
      </c>
      <c r="S262" s="4">
        <v>2</v>
      </c>
      <c r="T262" s="4">
        <v>2</v>
      </c>
      <c r="U262" s="5" t="s">
        <v>3500</v>
      </c>
      <c r="V262" s="5" t="s">
        <v>3500</v>
      </c>
      <c r="W262" s="5" t="s">
        <v>3561</v>
      </c>
      <c r="X262" s="5" t="s">
        <v>3561</v>
      </c>
      <c r="Y262" s="4">
        <v>110</v>
      </c>
      <c r="Z262" s="4">
        <v>96</v>
      </c>
      <c r="AA262" s="4">
        <v>299</v>
      </c>
      <c r="AB262" s="4">
        <v>1</v>
      </c>
      <c r="AC262" s="4">
        <v>4</v>
      </c>
      <c r="AD262" s="4">
        <v>3</v>
      </c>
      <c r="AE262" s="4">
        <v>12</v>
      </c>
      <c r="AF262" s="4">
        <v>0</v>
      </c>
      <c r="AG262" s="4">
        <v>2</v>
      </c>
      <c r="AH262" s="4">
        <v>1</v>
      </c>
      <c r="AI262" s="4">
        <v>2</v>
      </c>
      <c r="AJ262" s="4">
        <v>3</v>
      </c>
      <c r="AK262" s="4">
        <v>7</v>
      </c>
      <c r="AL262" s="4">
        <v>0</v>
      </c>
      <c r="AM262" s="4">
        <v>3</v>
      </c>
      <c r="AN262" s="4">
        <v>0</v>
      </c>
      <c r="AO262" s="4">
        <v>0</v>
      </c>
      <c r="AP262" s="3" t="s">
        <v>58</v>
      </c>
      <c r="AQ262" s="3" t="s">
        <v>58</v>
      </c>
      <c r="AS262" s="6" t="str">
        <f>HYPERLINK("https://creighton-primo.hosted.exlibrisgroup.com/primo-explore/search?tab=default_tab&amp;search_scope=EVERYTHING&amp;vid=01CRU&amp;lang=en_US&amp;offset=0&amp;query=any,contains,991003660299702656","Catalog Record")</f>
        <v>Catalog Record</v>
      </c>
      <c r="AT262" s="6" t="str">
        <f>HYPERLINK("http://www.worldcat.org/oclc/34244203","WorldCat Record")</f>
        <v>WorldCat Record</v>
      </c>
      <c r="AU262" s="3" t="s">
        <v>3575</v>
      </c>
      <c r="AV262" s="3" t="s">
        <v>3576</v>
      </c>
      <c r="AW262" s="3" t="s">
        <v>3577</v>
      </c>
      <c r="AX262" s="3" t="s">
        <v>3577</v>
      </c>
      <c r="AY262" s="3" t="s">
        <v>3578</v>
      </c>
      <c r="AZ262" s="3" t="s">
        <v>74</v>
      </c>
      <c r="BB262" s="3" t="s">
        <v>3579</v>
      </c>
      <c r="BC262" s="3" t="s">
        <v>3580</v>
      </c>
      <c r="BD262" s="3" t="s">
        <v>3581</v>
      </c>
    </row>
    <row r="263" spans="1:56" ht="45.75" customHeight="1" x14ac:dyDescent="0.25">
      <c r="A263" s="7" t="s">
        <v>58</v>
      </c>
      <c r="B263" s="2" t="s">
        <v>3582</v>
      </c>
      <c r="C263" s="2" t="s">
        <v>3583</v>
      </c>
      <c r="D263" s="2" t="s">
        <v>3584</v>
      </c>
      <c r="F263" s="3" t="s">
        <v>58</v>
      </c>
      <c r="G263" s="3" t="s">
        <v>59</v>
      </c>
      <c r="H263" s="3" t="s">
        <v>58</v>
      </c>
      <c r="I263" s="3" t="s">
        <v>87</v>
      </c>
      <c r="J263" s="3" t="s">
        <v>60</v>
      </c>
      <c r="K263" s="2" t="s">
        <v>3585</v>
      </c>
      <c r="L263" s="2" t="s">
        <v>3586</v>
      </c>
      <c r="M263" s="3" t="s">
        <v>742</v>
      </c>
      <c r="O263" s="3" t="s">
        <v>65</v>
      </c>
      <c r="P263" s="3" t="s">
        <v>190</v>
      </c>
      <c r="R263" s="3" t="s">
        <v>67</v>
      </c>
      <c r="S263" s="4">
        <v>20</v>
      </c>
      <c r="T263" s="4">
        <v>20</v>
      </c>
      <c r="U263" s="5" t="s">
        <v>3587</v>
      </c>
      <c r="V263" s="5" t="s">
        <v>3587</v>
      </c>
      <c r="W263" s="5" t="s">
        <v>3588</v>
      </c>
      <c r="X263" s="5" t="s">
        <v>3588</v>
      </c>
      <c r="Y263" s="4">
        <v>1729</v>
      </c>
      <c r="Z263" s="4">
        <v>1605</v>
      </c>
      <c r="AA263" s="4">
        <v>1720</v>
      </c>
      <c r="AB263" s="4">
        <v>10</v>
      </c>
      <c r="AC263" s="4">
        <v>11</v>
      </c>
      <c r="AD263" s="4">
        <v>52</v>
      </c>
      <c r="AE263" s="4">
        <v>54</v>
      </c>
      <c r="AF263" s="4">
        <v>21</v>
      </c>
      <c r="AG263" s="4">
        <v>21</v>
      </c>
      <c r="AH263" s="4">
        <v>9</v>
      </c>
      <c r="AI263" s="4">
        <v>10</v>
      </c>
      <c r="AJ263" s="4">
        <v>21</v>
      </c>
      <c r="AK263" s="4">
        <v>22</v>
      </c>
      <c r="AL263" s="4">
        <v>9</v>
      </c>
      <c r="AM263" s="4">
        <v>9</v>
      </c>
      <c r="AN263" s="4">
        <v>4</v>
      </c>
      <c r="AO263" s="4">
        <v>4</v>
      </c>
      <c r="AP263" s="3" t="s">
        <v>58</v>
      </c>
      <c r="AQ263" s="3" t="s">
        <v>58</v>
      </c>
      <c r="AS263" s="6" t="str">
        <f>HYPERLINK("https://creighton-primo.hosted.exlibrisgroup.com/primo-explore/search?tab=default_tab&amp;search_scope=EVERYTHING&amp;vid=01CRU&amp;lang=en_US&amp;offset=0&amp;query=any,contains,991001465959702656","Catalog Record")</f>
        <v>Catalog Record</v>
      </c>
      <c r="AT263" s="6" t="str">
        <f>HYPERLINK("http://www.worldcat.org/oclc/19512020","WorldCat Record")</f>
        <v>WorldCat Record</v>
      </c>
      <c r="AU263" s="3" t="s">
        <v>3589</v>
      </c>
      <c r="AV263" s="3" t="s">
        <v>3590</v>
      </c>
      <c r="AW263" s="3" t="s">
        <v>3591</v>
      </c>
      <c r="AX263" s="3" t="s">
        <v>3591</v>
      </c>
      <c r="AY263" s="3" t="s">
        <v>3592</v>
      </c>
      <c r="AZ263" s="3" t="s">
        <v>74</v>
      </c>
      <c r="BB263" s="3" t="s">
        <v>3593</v>
      </c>
      <c r="BC263" s="3" t="s">
        <v>3594</v>
      </c>
      <c r="BD263" s="3" t="s">
        <v>3595</v>
      </c>
    </row>
    <row r="264" spans="1:56" ht="45.75" customHeight="1" x14ac:dyDescent="0.25">
      <c r="A264" s="7" t="s">
        <v>58</v>
      </c>
      <c r="B264" s="2" t="s">
        <v>3596</v>
      </c>
      <c r="C264" s="2" t="s">
        <v>3597</v>
      </c>
      <c r="D264" s="2" t="s">
        <v>3598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K264" s="2" t="s">
        <v>3599</v>
      </c>
      <c r="L264" s="2" t="s">
        <v>3600</v>
      </c>
      <c r="M264" s="3" t="s">
        <v>3601</v>
      </c>
      <c r="O264" s="3" t="s">
        <v>65</v>
      </c>
      <c r="P264" s="3" t="s">
        <v>84</v>
      </c>
      <c r="R264" s="3" t="s">
        <v>67</v>
      </c>
      <c r="S264" s="4">
        <v>6</v>
      </c>
      <c r="T264" s="4">
        <v>6</v>
      </c>
      <c r="U264" s="5" t="s">
        <v>3602</v>
      </c>
      <c r="V264" s="5" t="s">
        <v>3602</v>
      </c>
      <c r="W264" s="5" t="s">
        <v>3603</v>
      </c>
      <c r="X264" s="5" t="s">
        <v>3603</v>
      </c>
      <c r="Y264" s="4">
        <v>730</v>
      </c>
      <c r="Z264" s="4">
        <v>631</v>
      </c>
      <c r="AA264" s="4">
        <v>638</v>
      </c>
      <c r="AB264" s="4">
        <v>4</v>
      </c>
      <c r="AC264" s="4">
        <v>4</v>
      </c>
      <c r="AD264" s="4">
        <v>26</v>
      </c>
      <c r="AE264" s="4">
        <v>26</v>
      </c>
      <c r="AF264" s="4">
        <v>7</v>
      </c>
      <c r="AG264" s="4">
        <v>7</v>
      </c>
      <c r="AH264" s="4">
        <v>8</v>
      </c>
      <c r="AI264" s="4">
        <v>8</v>
      </c>
      <c r="AJ264" s="4">
        <v>15</v>
      </c>
      <c r="AK264" s="4">
        <v>15</v>
      </c>
      <c r="AL264" s="4">
        <v>3</v>
      </c>
      <c r="AM264" s="4">
        <v>3</v>
      </c>
      <c r="AN264" s="4">
        <v>1</v>
      </c>
      <c r="AO264" s="4">
        <v>1</v>
      </c>
      <c r="AP264" s="3" t="s">
        <v>58</v>
      </c>
      <c r="AQ264" s="3" t="s">
        <v>87</v>
      </c>
      <c r="AR264" s="6" t="str">
        <f>HYPERLINK("http://catalog.hathitrust.org/Record/001133364","HathiTrust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HYPERLINK("https://creighton-primo.hosted.exlibrisgroup.com/primo-explore/search?tab=default_tab&amp;search_scope=EVERYTHING&amp;vid=01CRU&amp;lang=en_US&amp;offset=0&amp;query=any,contains,991003221329702656","Catalog Record")</f>
        <v>Catalog Record</v>
      </c>
      <c r="AT264" s="6" t="str">
        <f>HYPERLINK("http://www.worldcat.org/oclc/746157","WorldCat Record")</f>
        <v>WorldCat Record</v>
      </c>
      <c r="AU264" s="3" t="s">
        <v>3604</v>
      </c>
      <c r="AV264" s="3" t="s">
        <v>3605</v>
      </c>
      <c r="AW264" s="3" t="s">
        <v>3606</v>
      </c>
      <c r="AX264" s="3" t="s">
        <v>3606</v>
      </c>
      <c r="AY264" s="3" t="s">
        <v>3607</v>
      </c>
      <c r="AZ264" s="3" t="s">
        <v>74</v>
      </c>
      <c r="BB264" s="3" t="s">
        <v>3608</v>
      </c>
      <c r="BC264" s="3" t="s">
        <v>3609</v>
      </c>
      <c r="BD264" s="3" t="s">
        <v>3610</v>
      </c>
    </row>
    <row r="265" spans="1:56" ht="45.75" customHeight="1" x14ac:dyDescent="0.25">
      <c r="A265" s="7" t="s">
        <v>58</v>
      </c>
      <c r="B265" s="2" t="s">
        <v>3611</v>
      </c>
      <c r="C265" s="2" t="s">
        <v>3612</v>
      </c>
      <c r="D265" s="2" t="s">
        <v>3613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3614</v>
      </c>
      <c r="L265" s="2" t="s">
        <v>3615</v>
      </c>
      <c r="M265" s="3" t="s">
        <v>528</v>
      </c>
      <c r="O265" s="3" t="s">
        <v>65</v>
      </c>
      <c r="P265" s="3" t="s">
        <v>1811</v>
      </c>
      <c r="R265" s="3" t="s">
        <v>67</v>
      </c>
      <c r="S265" s="4">
        <v>19</v>
      </c>
      <c r="T265" s="4">
        <v>19</v>
      </c>
      <c r="U265" s="5" t="s">
        <v>3602</v>
      </c>
      <c r="V265" s="5" t="s">
        <v>3602</v>
      </c>
      <c r="W265" s="5" t="s">
        <v>1853</v>
      </c>
      <c r="X265" s="5" t="s">
        <v>1853</v>
      </c>
      <c r="Y265" s="4">
        <v>214</v>
      </c>
      <c r="Z265" s="4">
        <v>202</v>
      </c>
      <c r="AA265" s="4">
        <v>231</v>
      </c>
      <c r="AB265" s="4">
        <v>3</v>
      </c>
      <c r="AC265" s="4">
        <v>3</v>
      </c>
      <c r="AD265" s="4">
        <v>9</v>
      </c>
      <c r="AE265" s="4">
        <v>9</v>
      </c>
      <c r="AF265" s="4">
        <v>2</v>
      </c>
      <c r="AG265" s="4">
        <v>2</v>
      </c>
      <c r="AH265" s="4">
        <v>2</v>
      </c>
      <c r="AI265" s="4">
        <v>2</v>
      </c>
      <c r="AJ265" s="4">
        <v>5</v>
      </c>
      <c r="AK265" s="4">
        <v>5</v>
      </c>
      <c r="AL265" s="4">
        <v>2</v>
      </c>
      <c r="AM265" s="4">
        <v>2</v>
      </c>
      <c r="AN265" s="4">
        <v>0</v>
      </c>
      <c r="AO265" s="4">
        <v>0</v>
      </c>
      <c r="AP265" s="3" t="s">
        <v>58</v>
      </c>
      <c r="AQ265" s="3" t="s">
        <v>87</v>
      </c>
      <c r="AR265" s="6" t="str">
        <f>HYPERLINK("http://catalog.hathitrust.org/Record/003879318","HathiTrust Record")</f>
        <v>HathiTrust Record</v>
      </c>
      <c r="AS265" s="6" t="str">
        <f>HYPERLINK("https://creighton-primo.hosted.exlibrisgroup.com/primo-explore/search?tab=default_tab&amp;search_scope=EVERYTHING&amp;vid=01CRU&amp;lang=en_US&amp;offset=0&amp;query=any,contains,991001817189702656","Catalog Record")</f>
        <v>Catalog Record</v>
      </c>
      <c r="AT265" s="6" t="str">
        <f>HYPERLINK("http://www.worldcat.org/oclc/22857513","WorldCat Record")</f>
        <v>WorldCat Record</v>
      </c>
      <c r="AU265" s="3" t="s">
        <v>3616</v>
      </c>
      <c r="AV265" s="3" t="s">
        <v>3617</v>
      </c>
      <c r="AW265" s="3" t="s">
        <v>3618</v>
      </c>
      <c r="AX265" s="3" t="s">
        <v>3618</v>
      </c>
      <c r="AY265" s="3" t="s">
        <v>3619</v>
      </c>
      <c r="AZ265" s="3" t="s">
        <v>74</v>
      </c>
      <c r="BB265" s="3" t="s">
        <v>3620</v>
      </c>
      <c r="BC265" s="3" t="s">
        <v>3621</v>
      </c>
      <c r="BD265" s="3" t="s">
        <v>3622</v>
      </c>
    </row>
    <row r="266" spans="1:56" ht="45.75" customHeight="1" x14ac:dyDescent="0.25">
      <c r="A266" s="7" t="s">
        <v>58</v>
      </c>
      <c r="B266" s="2" t="s">
        <v>3623</v>
      </c>
      <c r="C266" s="2" t="s">
        <v>3624</v>
      </c>
      <c r="D266" s="2" t="s">
        <v>3625</v>
      </c>
      <c r="F266" s="3" t="s">
        <v>58</v>
      </c>
      <c r="G266" s="3" t="s">
        <v>59</v>
      </c>
      <c r="H266" s="3" t="s">
        <v>58</v>
      </c>
      <c r="I266" s="3" t="s">
        <v>87</v>
      </c>
      <c r="J266" s="3" t="s">
        <v>60</v>
      </c>
      <c r="K266" s="2" t="s">
        <v>3626</v>
      </c>
      <c r="L266" s="2" t="s">
        <v>3627</v>
      </c>
      <c r="M266" s="3" t="s">
        <v>867</v>
      </c>
      <c r="O266" s="3" t="s">
        <v>65</v>
      </c>
      <c r="P266" s="3" t="s">
        <v>84</v>
      </c>
      <c r="R266" s="3" t="s">
        <v>67</v>
      </c>
      <c r="S266" s="4">
        <v>22</v>
      </c>
      <c r="T266" s="4">
        <v>22</v>
      </c>
      <c r="U266" s="5" t="s">
        <v>3628</v>
      </c>
      <c r="V266" s="5" t="s">
        <v>3628</v>
      </c>
      <c r="W266" s="5" t="s">
        <v>3629</v>
      </c>
      <c r="X266" s="5" t="s">
        <v>3629</v>
      </c>
      <c r="Y266" s="4">
        <v>1620</v>
      </c>
      <c r="Z266" s="4">
        <v>1514</v>
      </c>
      <c r="AA266" s="4">
        <v>1599</v>
      </c>
      <c r="AB266" s="4">
        <v>11</v>
      </c>
      <c r="AC266" s="4">
        <v>12</v>
      </c>
      <c r="AD266" s="4">
        <v>53</v>
      </c>
      <c r="AE266" s="4">
        <v>57</v>
      </c>
      <c r="AF266" s="4">
        <v>20</v>
      </c>
      <c r="AG266" s="4">
        <v>22</v>
      </c>
      <c r="AH266" s="4">
        <v>10</v>
      </c>
      <c r="AI266" s="4">
        <v>10</v>
      </c>
      <c r="AJ266" s="4">
        <v>20</v>
      </c>
      <c r="AK266" s="4">
        <v>21</v>
      </c>
      <c r="AL266" s="4">
        <v>8</v>
      </c>
      <c r="AM266" s="4">
        <v>9</v>
      </c>
      <c r="AN266" s="4">
        <v>7</v>
      </c>
      <c r="AO266" s="4">
        <v>7</v>
      </c>
      <c r="AP266" s="3" t="s">
        <v>58</v>
      </c>
      <c r="AQ266" s="3" t="s">
        <v>87</v>
      </c>
      <c r="AR266" s="6" t="str">
        <f>HYPERLINK("http://catalog.hathitrust.org/Record/002527105","HathiTrust Record")</f>
        <v>HathiTrust Record</v>
      </c>
      <c r="AS266" s="6" t="str">
        <f>HYPERLINK("https://creighton-primo.hosted.exlibrisgroup.com/primo-explore/search?tab=default_tab&amp;search_scope=EVERYTHING&amp;vid=01CRU&amp;lang=en_US&amp;offset=0&amp;query=any,contains,991001917959702656","Catalog Record")</f>
        <v>Catalog Record</v>
      </c>
      <c r="AT266" s="6" t="str">
        <f>HYPERLINK("http://www.worldcat.org/oclc/24215654","WorldCat Record")</f>
        <v>WorldCat Record</v>
      </c>
      <c r="AU266" s="3" t="s">
        <v>3630</v>
      </c>
      <c r="AV266" s="3" t="s">
        <v>3631</v>
      </c>
      <c r="AW266" s="3" t="s">
        <v>3632</v>
      </c>
      <c r="AX266" s="3" t="s">
        <v>3632</v>
      </c>
      <c r="AY266" s="3" t="s">
        <v>3633</v>
      </c>
      <c r="AZ266" s="3" t="s">
        <v>74</v>
      </c>
      <c r="BB266" s="3" t="s">
        <v>3634</v>
      </c>
      <c r="BC266" s="3" t="s">
        <v>3635</v>
      </c>
      <c r="BD266" s="3" t="s">
        <v>3636</v>
      </c>
    </row>
    <row r="267" spans="1:56" ht="45.75" customHeight="1" x14ac:dyDescent="0.25">
      <c r="A267" s="7" t="s">
        <v>58</v>
      </c>
      <c r="B267" s="2" t="s">
        <v>3637</v>
      </c>
      <c r="C267" s="2" t="s">
        <v>3638</v>
      </c>
      <c r="D267" s="2" t="s">
        <v>3639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K267" s="2" t="s">
        <v>541</v>
      </c>
      <c r="L267" s="2" t="s">
        <v>3640</v>
      </c>
      <c r="M267" s="3" t="s">
        <v>867</v>
      </c>
      <c r="O267" s="3" t="s">
        <v>65</v>
      </c>
      <c r="P267" s="3" t="s">
        <v>84</v>
      </c>
      <c r="R267" s="3" t="s">
        <v>67</v>
      </c>
      <c r="S267" s="4">
        <v>13</v>
      </c>
      <c r="T267" s="4">
        <v>13</v>
      </c>
      <c r="U267" s="5" t="s">
        <v>3641</v>
      </c>
      <c r="V267" s="5" t="s">
        <v>3641</v>
      </c>
      <c r="W267" s="5" t="s">
        <v>3629</v>
      </c>
      <c r="X267" s="5" t="s">
        <v>3629</v>
      </c>
      <c r="Y267" s="4">
        <v>906</v>
      </c>
      <c r="Z267" s="4">
        <v>819</v>
      </c>
      <c r="AA267" s="4">
        <v>870</v>
      </c>
      <c r="AB267" s="4">
        <v>7</v>
      </c>
      <c r="AC267" s="4">
        <v>7</v>
      </c>
      <c r="AD267" s="4">
        <v>42</v>
      </c>
      <c r="AE267" s="4">
        <v>45</v>
      </c>
      <c r="AF267" s="4">
        <v>16</v>
      </c>
      <c r="AG267" s="4">
        <v>19</v>
      </c>
      <c r="AH267" s="4">
        <v>9</v>
      </c>
      <c r="AI267" s="4">
        <v>9</v>
      </c>
      <c r="AJ267" s="4">
        <v>20</v>
      </c>
      <c r="AK267" s="4">
        <v>21</v>
      </c>
      <c r="AL267" s="4">
        <v>5</v>
      </c>
      <c r="AM267" s="4">
        <v>5</v>
      </c>
      <c r="AN267" s="4">
        <v>2</v>
      </c>
      <c r="AO267" s="4">
        <v>2</v>
      </c>
      <c r="AP267" s="3" t="s">
        <v>58</v>
      </c>
      <c r="AQ267" s="3" t="s">
        <v>58</v>
      </c>
      <c r="AS267" s="6" t="str">
        <f>HYPERLINK("https://creighton-primo.hosted.exlibrisgroup.com/primo-explore/search?tab=default_tab&amp;search_scope=EVERYTHING&amp;vid=01CRU&amp;lang=en_US&amp;offset=0&amp;query=any,contains,991001887209702656","Catalog Record")</f>
        <v>Catalog Record</v>
      </c>
      <c r="AT267" s="6" t="str">
        <f>HYPERLINK("http://www.worldcat.org/oclc/23768390","WorldCat Record")</f>
        <v>WorldCat Record</v>
      </c>
      <c r="AU267" s="3" t="s">
        <v>3642</v>
      </c>
      <c r="AV267" s="3" t="s">
        <v>3643</v>
      </c>
      <c r="AW267" s="3" t="s">
        <v>3644</v>
      </c>
      <c r="AX267" s="3" t="s">
        <v>3644</v>
      </c>
      <c r="AY267" s="3" t="s">
        <v>3645</v>
      </c>
      <c r="AZ267" s="3" t="s">
        <v>74</v>
      </c>
      <c r="BB267" s="3" t="s">
        <v>3646</v>
      </c>
      <c r="BC267" s="3" t="s">
        <v>3647</v>
      </c>
      <c r="BD267" s="3" t="s">
        <v>3648</v>
      </c>
    </row>
    <row r="268" spans="1:56" ht="45.75" customHeight="1" x14ac:dyDescent="0.25">
      <c r="A268" s="7" t="s">
        <v>58</v>
      </c>
      <c r="B268" s="2" t="s">
        <v>3649</v>
      </c>
      <c r="C268" s="2" t="s">
        <v>3650</v>
      </c>
      <c r="D268" s="2" t="s">
        <v>3651</v>
      </c>
      <c r="F268" s="3" t="s">
        <v>58</v>
      </c>
      <c r="G268" s="3" t="s">
        <v>59</v>
      </c>
      <c r="H268" s="3" t="s">
        <v>87</v>
      </c>
      <c r="I268" s="3" t="s">
        <v>58</v>
      </c>
      <c r="J268" s="3" t="s">
        <v>60</v>
      </c>
      <c r="K268" s="2" t="s">
        <v>3652</v>
      </c>
      <c r="L268" s="2" t="s">
        <v>3653</v>
      </c>
      <c r="M268" s="3" t="s">
        <v>528</v>
      </c>
      <c r="O268" s="3" t="s">
        <v>65</v>
      </c>
      <c r="P268" s="3" t="s">
        <v>84</v>
      </c>
      <c r="R268" s="3" t="s">
        <v>67</v>
      </c>
      <c r="S268" s="4">
        <v>31</v>
      </c>
      <c r="T268" s="4">
        <v>52</v>
      </c>
      <c r="U268" s="5" t="s">
        <v>3654</v>
      </c>
      <c r="V268" s="5" t="s">
        <v>3654</v>
      </c>
      <c r="W268" s="5" t="s">
        <v>3655</v>
      </c>
      <c r="X268" s="5" t="s">
        <v>3655</v>
      </c>
      <c r="Y268" s="4">
        <v>757</v>
      </c>
      <c r="Z268" s="4">
        <v>674</v>
      </c>
      <c r="AA268" s="4">
        <v>681</v>
      </c>
      <c r="AB268" s="4">
        <v>7</v>
      </c>
      <c r="AC268" s="4">
        <v>7</v>
      </c>
      <c r="AD268" s="4">
        <v>33</v>
      </c>
      <c r="AE268" s="4">
        <v>33</v>
      </c>
      <c r="AF268" s="4">
        <v>11</v>
      </c>
      <c r="AG268" s="4">
        <v>11</v>
      </c>
      <c r="AH268" s="4">
        <v>7</v>
      </c>
      <c r="AI268" s="4">
        <v>7</v>
      </c>
      <c r="AJ268" s="4">
        <v>16</v>
      </c>
      <c r="AK268" s="4">
        <v>16</v>
      </c>
      <c r="AL268" s="4">
        <v>5</v>
      </c>
      <c r="AM268" s="4">
        <v>5</v>
      </c>
      <c r="AN268" s="4">
        <v>1</v>
      </c>
      <c r="AO268" s="4">
        <v>1</v>
      </c>
      <c r="AP268" s="3" t="s">
        <v>58</v>
      </c>
      <c r="AQ268" s="3" t="s">
        <v>87</v>
      </c>
      <c r="AR268" s="6" t="str">
        <f>HYPERLINK("http://catalog.hathitrust.org/Record/001946341","HathiTrust Record")</f>
        <v>HathiTrust Record</v>
      </c>
      <c r="AS268" s="6" t="str">
        <f>HYPERLINK("https://creighton-primo.hosted.exlibrisgroup.com/primo-explore/search?tab=default_tab&amp;search_scope=EVERYTHING&amp;vid=01CRU&amp;lang=en_US&amp;offset=0&amp;query=any,contains,991001768439702656","Catalog Record")</f>
        <v>Catalog Record</v>
      </c>
      <c r="AT268" s="6" t="str">
        <f>HYPERLINK("http://www.worldcat.org/oclc/20098671","WorldCat Record")</f>
        <v>WorldCat Record</v>
      </c>
      <c r="AU268" s="3" t="s">
        <v>3656</v>
      </c>
      <c r="AV268" s="3" t="s">
        <v>3657</v>
      </c>
      <c r="AW268" s="3" t="s">
        <v>3658</v>
      </c>
      <c r="AX268" s="3" t="s">
        <v>3658</v>
      </c>
      <c r="AY268" s="3" t="s">
        <v>3659</v>
      </c>
      <c r="AZ268" s="3" t="s">
        <v>74</v>
      </c>
      <c r="BB268" s="3" t="s">
        <v>3660</v>
      </c>
      <c r="BC268" s="3" t="s">
        <v>3661</v>
      </c>
      <c r="BD268" s="3" t="s">
        <v>3662</v>
      </c>
    </row>
    <row r="269" spans="1:56" ht="45.75" customHeight="1" x14ac:dyDescent="0.25">
      <c r="A269" s="7" t="s">
        <v>58</v>
      </c>
      <c r="B269" s="2" t="s">
        <v>3663</v>
      </c>
      <c r="C269" s="2" t="s">
        <v>3664</v>
      </c>
      <c r="D269" s="2" t="s">
        <v>3665</v>
      </c>
      <c r="F269" s="3" t="s">
        <v>58</v>
      </c>
      <c r="G269" s="3" t="s">
        <v>59</v>
      </c>
      <c r="H269" s="3" t="s">
        <v>58</v>
      </c>
      <c r="I269" s="3" t="s">
        <v>58</v>
      </c>
      <c r="J269" s="3" t="s">
        <v>60</v>
      </c>
      <c r="L269" s="2" t="s">
        <v>3666</v>
      </c>
      <c r="M269" s="3" t="s">
        <v>263</v>
      </c>
      <c r="O269" s="3" t="s">
        <v>65</v>
      </c>
      <c r="P269" s="3" t="s">
        <v>3667</v>
      </c>
      <c r="R269" s="3" t="s">
        <v>67</v>
      </c>
      <c r="S269" s="4">
        <v>22</v>
      </c>
      <c r="T269" s="4">
        <v>22</v>
      </c>
      <c r="U269" s="5" t="s">
        <v>2585</v>
      </c>
      <c r="V269" s="5" t="s">
        <v>2585</v>
      </c>
      <c r="W269" s="5" t="s">
        <v>3668</v>
      </c>
      <c r="X269" s="5" t="s">
        <v>3668</v>
      </c>
      <c r="Y269" s="4">
        <v>855</v>
      </c>
      <c r="Z269" s="4">
        <v>812</v>
      </c>
      <c r="AA269" s="4">
        <v>1133</v>
      </c>
      <c r="AB269" s="4">
        <v>7</v>
      </c>
      <c r="AC269" s="4">
        <v>8</v>
      </c>
      <c r="AD269" s="4">
        <v>35</v>
      </c>
      <c r="AE269" s="4">
        <v>38</v>
      </c>
      <c r="AF269" s="4">
        <v>13</v>
      </c>
      <c r="AG269" s="4">
        <v>15</v>
      </c>
      <c r="AH269" s="4">
        <v>9</v>
      </c>
      <c r="AI269" s="4">
        <v>9</v>
      </c>
      <c r="AJ269" s="4">
        <v>15</v>
      </c>
      <c r="AK269" s="4">
        <v>16</v>
      </c>
      <c r="AL269" s="4">
        <v>5</v>
      </c>
      <c r="AM269" s="4">
        <v>6</v>
      </c>
      <c r="AN269" s="4">
        <v>1</v>
      </c>
      <c r="AO269" s="4">
        <v>1</v>
      </c>
      <c r="AP269" s="3" t="s">
        <v>58</v>
      </c>
      <c r="AQ269" s="3" t="s">
        <v>87</v>
      </c>
      <c r="AR269" s="6" t="str">
        <f>HYPERLINK("http://catalog.hathitrust.org/Record/003115722","HathiTrust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HYPERLINK("https://creighton-primo.hosted.exlibrisgroup.com/primo-explore/search?tab=default_tab&amp;search_scope=EVERYTHING&amp;vid=01CRU&amp;lang=en_US&amp;offset=0&amp;query=any,contains,991002679129702656","Catalog Record")</f>
        <v>Catalog Record</v>
      </c>
      <c r="AT269" s="6" t="str">
        <f>HYPERLINK("http://www.worldcat.org/oclc/35017834","WorldCat Record")</f>
        <v>WorldCat Record</v>
      </c>
      <c r="AU269" s="3" t="s">
        <v>3669</v>
      </c>
      <c r="AV269" s="3" t="s">
        <v>3670</v>
      </c>
      <c r="AW269" s="3" t="s">
        <v>3671</v>
      </c>
      <c r="AX269" s="3" t="s">
        <v>3671</v>
      </c>
      <c r="AY269" s="3" t="s">
        <v>3672</v>
      </c>
      <c r="AZ269" s="3" t="s">
        <v>74</v>
      </c>
      <c r="BB269" s="3" t="s">
        <v>3673</v>
      </c>
      <c r="BC269" s="3" t="s">
        <v>3674</v>
      </c>
      <c r="BD269" s="3" t="s">
        <v>3675</v>
      </c>
    </row>
    <row r="270" spans="1:56" ht="45.75" customHeight="1" x14ac:dyDescent="0.25">
      <c r="A270" s="7" t="s">
        <v>58</v>
      </c>
      <c r="B270" s="2" t="s">
        <v>3676</v>
      </c>
      <c r="C270" s="2" t="s">
        <v>3677</v>
      </c>
      <c r="D270" s="2" t="s">
        <v>3678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L270" s="2" t="s">
        <v>3679</v>
      </c>
      <c r="M270" s="3" t="s">
        <v>1209</v>
      </c>
      <c r="O270" s="3" t="s">
        <v>65</v>
      </c>
      <c r="P270" s="3" t="s">
        <v>132</v>
      </c>
      <c r="Q270" s="2" t="s">
        <v>3680</v>
      </c>
      <c r="R270" s="3" t="s">
        <v>67</v>
      </c>
      <c r="S270" s="4">
        <v>16</v>
      </c>
      <c r="T270" s="4">
        <v>16</v>
      </c>
      <c r="U270" s="5" t="s">
        <v>3681</v>
      </c>
      <c r="V270" s="5" t="s">
        <v>3681</v>
      </c>
      <c r="W270" s="5" t="s">
        <v>3682</v>
      </c>
      <c r="X270" s="5" t="s">
        <v>3682</v>
      </c>
      <c r="Y270" s="4">
        <v>847</v>
      </c>
      <c r="Z270" s="4">
        <v>720</v>
      </c>
      <c r="AA270" s="4">
        <v>724</v>
      </c>
      <c r="AB270" s="4">
        <v>6</v>
      </c>
      <c r="AC270" s="4">
        <v>6</v>
      </c>
      <c r="AD270" s="4">
        <v>35</v>
      </c>
      <c r="AE270" s="4">
        <v>36</v>
      </c>
      <c r="AF270" s="4">
        <v>16</v>
      </c>
      <c r="AG270" s="4">
        <v>17</v>
      </c>
      <c r="AH270" s="4">
        <v>6</v>
      </c>
      <c r="AI270" s="4">
        <v>6</v>
      </c>
      <c r="AJ270" s="4">
        <v>17</v>
      </c>
      <c r="AK270" s="4">
        <v>18</v>
      </c>
      <c r="AL270" s="4">
        <v>5</v>
      </c>
      <c r="AM270" s="4">
        <v>5</v>
      </c>
      <c r="AN270" s="4">
        <v>1</v>
      </c>
      <c r="AO270" s="4">
        <v>1</v>
      </c>
      <c r="AP270" s="3" t="s">
        <v>58</v>
      </c>
      <c r="AQ270" s="3" t="s">
        <v>87</v>
      </c>
      <c r="AR270" s="6" t="str">
        <f>HYPERLINK("http://catalog.hathitrust.org/Record/000829716","HathiTrust Record")</f>
        <v>HathiTrust Record</v>
      </c>
      <c r="AS270" s="6" t="str">
        <f>HYPERLINK("https://creighton-primo.hosted.exlibrisgroup.com/primo-explore/search?tab=default_tab&amp;search_scope=EVERYTHING&amp;vid=01CRU&amp;lang=en_US&amp;offset=0&amp;query=any,contains,991000947139702656","Catalog Record")</f>
        <v>Catalog Record</v>
      </c>
      <c r="AT270" s="6" t="str">
        <f>HYPERLINK("http://www.worldcat.org/oclc/14587131","WorldCat Record")</f>
        <v>WorldCat Record</v>
      </c>
      <c r="AU270" s="3" t="s">
        <v>3683</v>
      </c>
      <c r="AV270" s="3" t="s">
        <v>3684</v>
      </c>
      <c r="AW270" s="3" t="s">
        <v>3685</v>
      </c>
      <c r="AX270" s="3" t="s">
        <v>3685</v>
      </c>
      <c r="AY270" s="3" t="s">
        <v>3686</v>
      </c>
      <c r="AZ270" s="3" t="s">
        <v>74</v>
      </c>
      <c r="BB270" s="3" t="s">
        <v>3687</v>
      </c>
      <c r="BC270" s="3" t="s">
        <v>3688</v>
      </c>
      <c r="BD270" s="3" t="s">
        <v>3689</v>
      </c>
    </row>
    <row r="271" spans="1:56" ht="45.75" customHeight="1" x14ac:dyDescent="0.25">
      <c r="A271" s="7" t="s">
        <v>58</v>
      </c>
      <c r="B271" s="2" t="s">
        <v>3690</v>
      </c>
      <c r="C271" s="2" t="s">
        <v>3691</v>
      </c>
      <c r="D271" s="2" t="s">
        <v>3692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60</v>
      </c>
      <c r="L271" s="2" t="s">
        <v>3693</v>
      </c>
      <c r="M271" s="3" t="s">
        <v>867</v>
      </c>
      <c r="O271" s="3" t="s">
        <v>65</v>
      </c>
      <c r="P271" s="3" t="s">
        <v>84</v>
      </c>
      <c r="Q271" s="2" t="s">
        <v>3694</v>
      </c>
      <c r="R271" s="3" t="s">
        <v>67</v>
      </c>
      <c r="S271" s="4">
        <v>35</v>
      </c>
      <c r="T271" s="4">
        <v>35</v>
      </c>
      <c r="U271" s="5" t="s">
        <v>3695</v>
      </c>
      <c r="V271" s="5" t="s">
        <v>3695</v>
      </c>
      <c r="W271" s="5" t="s">
        <v>3696</v>
      </c>
      <c r="X271" s="5" t="s">
        <v>3696</v>
      </c>
      <c r="Y271" s="4">
        <v>1209</v>
      </c>
      <c r="Z271" s="4">
        <v>1166</v>
      </c>
      <c r="AA271" s="4">
        <v>1172</v>
      </c>
      <c r="AB271" s="4">
        <v>13</v>
      </c>
      <c r="AC271" s="4">
        <v>13</v>
      </c>
      <c r="AD271" s="4">
        <v>40</v>
      </c>
      <c r="AE271" s="4">
        <v>40</v>
      </c>
      <c r="AF271" s="4">
        <v>16</v>
      </c>
      <c r="AG271" s="4">
        <v>16</v>
      </c>
      <c r="AH271" s="4">
        <v>7</v>
      </c>
      <c r="AI271" s="4">
        <v>7</v>
      </c>
      <c r="AJ271" s="4">
        <v>19</v>
      </c>
      <c r="AK271" s="4">
        <v>19</v>
      </c>
      <c r="AL271" s="4">
        <v>7</v>
      </c>
      <c r="AM271" s="4">
        <v>7</v>
      </c>
      <c r="AN271" s="4">
        <v>0</v>
      </c>
      <c r="AO271" s="4">
        <v>0</v>
      </c>
      <c r="AP271" s="3" t="s">
        <v>58</v>
      </c>
      <c r="AQ271" s="3" t="s">
        <v>87</v>
      </c>
      <c r="AR271" s="6" t="str">
        <f>HYPERLINK("http://catalog.hathitrust.org/Record/002556317","HathiTrust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HYPERLINK("https://creighton-primo.hosted.exlibrisgroup.com/primo-explore/search?tab=default_tab&amp;search_scope=EVERYTHING&amp;vid=01CRU&amp;lang=en_US&amp;offset=0&amp;query=any,contains,991002000649702656","Catalog Record")</f>
        <v>Catalog Record</v>
      </c>
      <c r="AT271" s="6" t="str">
        <f>HYPERLINK("http://www.worldcat.org/oclc/25411636","WorldCat Record")</f>
        <v>WorldCat Record</v>
      </c>
      <c r="AU271" s="3" t="s">
        <v>3697</v>
      </c>
      <c r="AV271" s="3" t="s">
        <v>3698</v>
      </c>
      <c r="AW271" s="3" t="s">
        <v>3699</v>
      </c>
      <c r="AX271" s="3" t="s">
        <v>3699</v>
      </c>
      <c r="AY271" s="3" t="s">
        <v>3700</v>
      </c>
      <c r="AZ271" s="3" t="s">
        <v>74</v>
      </c>
      <c r="BB271" s="3" t="s">
        <v>3701</v>
      </c>
      <c r="BC271" s="3" t="s">
        <v>3702</v>
      </c>
      <c r="BD271" s="3" t="s">
        <v>3703</v>
      </c>
    </row>
    <row r="272" spans="1:56" ht="45.75" customHeight="1" x14ac:dyDescent="0.25">
      <c r="A272" s="7" t="s">
        <v>58</v>
      </c>
      <c r="B272" s="2" t="s">
        <v>3704</v>
      </c>
      <c r="C272" s="2" t="s">
        <v>3705</v>
      </c>
      <c r="D272" s="2" t="s">
        <v>3706</v>
      </c>
      <c r="F272" s="3" t="s">
        <v>58</v>
      </c>
      <c r="G272" s="3" t="s">
        <v>59</v>
      </c>
      <c r="H272" s="3" t="s">
        <v>58</v>
      </c>
      <c r="I272" s="3" t="s">
        <v>58</v>
      </c>
      <c r="J272" s="3" t="s">
        <v>60</v>
      </c>
      <c r="L272" s="2" t="s">
        <v>3707</v>
      </c>
      <c r="M272" s="3" t="s">
        <v>867</v>
      </c>
      <c r="O272" s="3" t="s">
        <v>65</v>
      </c>
      <c r="P272" s="3" t="s">
        <v>84</v>
      </c>
      <c r="Q272" s="2" t="s">
        <v>3708</v>
      </c>
      <c r="R272" s="3" t="s">
        <v>67</v>
      </c>
      <c r="S272" s="4">
        <v>29</v>
      </c>
      <c r="T272" s="4">
        <v>29</v>
      </c>
      <c r="U272" s="5" t="s">
        <v>3709</v>
      </c>
      <c r="V272" s="5" t="s">
        <v>3709</v>
      </c>
      <c r="W272" s="5" t="s">
        <v>3710</v>
      </c>
      <c r="X272" s="5" t="s">
        <v>3710</v>
      </c>
      <c r="Y272" s="4">
        <v>434</v>
      </c>
      <c r="Z272" s="4">
        <v>359</v>
      </c>
      <c r="AA272" s="4">
        <v>384</v>
      </c>
      <c r="AB272" s="4">
        <v>3</v>
      </c>
      <c r="AC272" s="4">
        <v>3</v>
      </c>
      <c r="AD272" s="4">
        <v>20</v>
      </c>
      <c r="AE272" s="4">
        <v>21</v>
      </c>
      <c r="AF272" s="4">
        <v>9</v>
      </c>
      <c r="AG272" s="4">
        <v>10</v>
      </c>
      <c r="AH272" s="4">
        <v>6</v>
      </c>
      <c r="AI272" s="4">
        <v>6</v>
      </c>
      <c r="AJ272" s="4">
        <v>11</v>
      </c>
      <c r="AK272" s="4">
        <v>11</v>
      </c>
      <c r="AL272" s="4">
        <v>2</v>
      </c>
      <c r="AM272" s="4">
        <v>2</v>
      </c>
      <c r="AN272" s="4">
        <v>0</v>
      </c>
      <c r="AO272" s="4">
        <v>0</v>
      </c>
      <c r="AP272" s="3" t="s">
        <v>58</v>
      </c>
      <c r="AQ272" s="3" t="s">
        <v>87</v>
      </c>
      <c r="AR272" s="6" t="str">
        <f>HYPERLINK("http://catalog.hathitrust.org/Record/002524155","HathiTrust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HYPERLINK("https://creighton-primo.hosted.exlibrisgroup.com/primo-explore/search?tab=default_tab&amp;search_scope=EVERYTHING&amp;vid=01CRU&amp;lang=en_US&amp;offset=0&amp;query=any,contains,991001961869702656","Catalog Record")</f>
        <v>Catalog Record</v>
      </c>
      <c r="AT272" s="6" t="str">
        <f>HYPERLINK("http://www.worldcat.org/oclc/24850136","WorldCat Record")</f>
        <v>WorldCat Record</v>
      </c>
      <c r="AU272" s="3" t="s">
        <v>3711</v>
      </c>
      <c r="AV272" s="3" t="s">
        <v>3712</v>
      </c>
      <c r="AW272" s="3" t="s">
        <v>3713</v>
      </c>
      <c r="AX272" s="3" t="s">
        <v>3713</v>
      </c>
      <c r="AY272" s="3" t="s">
        <v>3714</v>
      </c>
      <c r="AZ272" s="3" t="s">
        <v>74</v>
      </c>
      <c r="BB272" s="3" t="s">
        <v>3715</v>
      </c>
      <c r="BC272" s="3" t="s">
        <v>3716</v>
      </c>
      <c r="BD272" s="3" t="s">
        <v>3717</v>
      </c>
    </row>
    <row r="273" spans="1:56" ht="45.75" customHeight="1" x14ac:dyDescent="0.25">
      <c r="A273" s="7" t="s">
        <v>58</v>
      </c>
      <c r="B273" s="2" t="s">
        <v>3718</v>
      </c>
      <c r="C273" s="2" t="s">
        <v>3719</v>
      </c>
      <c r="D273" s="2" t="s">
        <v>3720</v>
      </c>
      <c r="F273" s="3" t="s">
        <v>58</v>
      </c>
      <c r="G273" s="3" t="s">
        <v>59</v>
      </c>
      <c r="H273" s="3" t="s">
        <v>58</v>
      </c>
      <c r="I273" s="3" t="s">
        <v>58</v>
      </c>
      <c r="J273" s="3" t="s">
        <v>60</v>
      </c>
      <c r="K273" s="2" t="s">
        <v>3721</v>
      </c>
      <c r="L273" s="2" t="s">
        <v>3722</v>
      </c>
      <c r="M273" s="3" t="s">
        <v>83</v>
      </c>
      <c r="O273" s="3" t="s">
        <v>65</v>
      </c>
      <c r="P273" s="3" t="s">
        <v>148</v>
      </c>
      <c r="R273" s="3" t="s">
        <v>67</v>
      </c>
      <c r="S273" s="4">
        <v>26</v>
      </c>
      <c r="T273" s="4">
        <v>26</v>
      </c>
      <c r="U273" s="5" t="s">
        <v>3723</v>
      </c>
      <c r="V273" s="5" t="s">
        <v>3723</v>
      </c>
      <c r="W273" s="5" t="s">
        <v>3724</v>
      </c>
      <c r="X273" s="5" t="s">
        <v>3724</v>
      </c>
      <c r="Y273" s="4">
        <v>857</v>
      </c>
      <c r="Z273" s="4">
        <v>788</v>
      </c>
      <c r="AA273" s="4">
        <v>797</v>
      </c>
      <c r="AB273" s="4">
        <v>4</v>
      </c>
      <c r="AC273" s="4">
        <v>4</v>
      </c>
      <c r="AD273" s="4">
        <v>23</v>
      </c>
      <c r="AE273" s="4">
        <v>23</v>
      </c>
      <c r="AF273" s="4">
        <v>8</v>
      </c>
      <c r="AG273" s="4">
        <v>8</v>
      </c>
      <c r="AH273" s="4">
        <v>6</v>
      </c>
      <c r="AI273" s="4">
        <v>6</v>
      </c>
      <c r="AJ273" s="4">
        <v>13</v>
      </c>
      <c r="AK273" s="4">
        <v>13</v>
      </c>
      <c r="AL273" s="4">
        <v>3</v>
      </c>
      <c r="AM273" s="4">
        <v>3</v>
      </c>
      <c r="AN273" s="4">
        <v>0</v>
      </c>
      <c r="AO273" s="4">
        <v>0</v>
      </c>
      <c r="AP273" s="3" t="s">
        <v>58</v>
      </c>
      <c r="AQ273" s="3" t="s">
        <v>87</v>
      </c>
      <c r="AR273" s="6" t="str">
        <f>HYPERLINK("http://catalog.hathitrust.org/Record/000481294","HathiTrust Record")</f>
        <v>HathiTrust Record</v>
      </c>
      <c r="AS273" s="6" t="str">
        <f>HYPERLINK("https://creighton-primo.hosted.exlibrisgroup.com/primo-explore/search?tab=default_tab&amp;search_scope=EVERYTHING&amp;vid=01CRU&amp;lang=en_US&amp;offset=0&amp;query=any,contains,991000825769702656","Catalog Record")</f>
        <v>Catalog Record</v>
      </c>
      <c r="AT273" s="6" t="str">
        <f>HYPERLINK("http://www.worldcat.org/oclc/13423175","WorldCat Record")</f>
        <v>WorldCat Record</v>
      </c>
      <c r="AU273" s="3" t="s">
        <v>3725</v>
      </c>
      <c r="AV273" s="3" t="s">
        <v>3726</v>
      </c>
      <c r="AW273" s="3" t="s">
        <v>3727</v>
      </c>
      <c r="AX273" s="3" t="s">
        <v>3727</v>
      </c>
      <c r="AY273" s="3" t="s">
        <v>3728</v>
      </c>
      <c r="AZ273" s="3" t="s">
        <v>74</v>
      </c>
      <c r="BB273" s="3" t="s">
        <v>3729</v>
      </c>
      <c r="BC273" s="3" t="s">
        <v>3730</v>
      </c>
      <c r="BD273" s="3" t="s">
        <v>3731</v>
      </c>
    </row>
    <row r="274" spans="1:56" ht="45.75" customHeight="1" x14ac:dyDescent="0.25">
      <c r="A274" s="7" t="s">
        <v>58</v>
      </c>
      <c r="B274" s="2" t="s">
        <v>3732</v>
      </c>
      <c r="C274" s="2" t="s">
        <v>3733</v>
      </c>
      <c r="D274" s="2" t="s">
        <v>3734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60</v>
      </c>
      <c r="L274" s="2" t="s">
        <v>3735</v>
      </c>
      <c r="M274" s="3" t="s">
        <v>83</v>
      </c>
      <c r="O274" s="3" t="s">
        <v>65</v>
      </c>
      <c r="P274" s="3" t="s">
        <v>336</v>
      </c>
      <c r="R274" s="3" t="s">
        <v>67</v>
      </c>
      <c r="S274" s="4">
        <v>30</v>
      </c>
      <c r="T274" s="4">
        <v>30</v>
      </c>
      <c r="U274" s="5" t="s">
        <v>3736</v>
      </c>
      <c r="V274" s="5" t="s">
        <v>3736</v>
      </c>
      <c r="W274" s="5" t="s">
        <v>3682</v>
      </c>
      <c r="X274" s="5" t="s">
        <v>3682</v>
      </c>
      <c r="Y274" s="4">
        <v>549</v>
      </c>
      <c r="Z274" s="4">
        <v>492</v>
      </c>
      <c r="AA274" s="4">
        <v>579</v>
      </c>
      <c r="AB274" s="4">
        <v>2</v>
      </c>
      <c r="AC274" s="4">
        <v>2</v>
      </c>
      <c r="AD274" s="4">
        <v>25</v>
      </c>
      <c r="AE274" s="4">
        <v>25</v>
      </c>
      <c r="AF274" s="4">
        <v>8</v>
      </c>
      <c r="AG274" s="4">
        <v>8</v>
      </c>
      <c r="AH274" s="4">
        <v>6</v>
      </c>
      <c r="AI274" s="4">
        <v>6</v>
      </c>
      <c r="AJ274" s="4">
        <v>11</v>
      </c>
      <c r="AK274" s="4">
        <v>11</v>
      </c>
      <c r="AL274" s="4">
        <v>1</v>
      </c>
      <c r="AM274" s="4">
        <v>1</v>
      </c>
      <c r="AN274" s="4">
        <v>3</v>
      </c>
      <c r="AO274" s="4">
        <v>3</v>
      </c>
      <c r="AP274" s="3" t="s">
        <v>58</v>
      </c>
      <c r="AQ274" s="3" t="s">
        <v>87</v>
      </c>
      <c r="AR274" s="6" t="str">
        <f>HYPERLINK("http://catalog.hathitrust.org/Record/000430658","HathiTrust Record")</f>
        <v>HathiTrust Record</v>
      </c>
      <c r="AS274" s="6" t="str">
        <f>HYPERLINK("https://creighton-primo.hosted.exlibrisgroup.com/primo-explore/search?tab=default_tab&amp;search_scope=EVERYTHING&amp;vid=01CRU&amp;lang=en_US&amp;offset=0&amp;query=any,contains,991000711479702656","Catalog Record")</f>
        <v>Catalog Record</v>
      </c>
      <c r="AT274" s="6" t="str">
        <f>HYPERLINK("http://www.worldcat.org/oclc/12583592","WorldCat Record")</f>
        <v>WorldCat Record</v>
      </c>
      <c r="AU274" s="3" t="s">
        <v>3737</v>
      </c>
      <c r="AV274" s="3" t="s">
        <v>3738</v>
      </c>
      <c r="AW274" s="3" t="s">
        <v>3739</v>
      </c>
      <c r="AX274" s="3" t="s">
        <v>3739</v>
      </c>
      <c r="AY274" s="3" t="s">
        <v>3740</v>
      </c>
      <c r="AZ274" s="3" t="s">
        <v>74</v>
      </c>
      <c r="BB274" s="3" t="s">
        <v>3741</v>
      </c>
      <c r="BC274" s="3" t="s">
        <v>3742</v>
      </c>
      <c r="BD274" s="3" t="s">
        <v>3743</v>
      </c>
    </row>
    <row r="275" spans="1:56" ht="45.75" customHeight="1" x14ac:dyDescent="0.25">
      <c r="A275" s="7" t="s">
        <v>58</v>
      </c>
      <c r="B275" s="2" t="s">
        <v>3744</v>
      </c>
      <c r="C275" s="2" t="s">
        <v>3745</v>
      </c>
      <c r="D275" s="2" t="s">
        <v>3746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K275" s="2" t="s">
        <v>3747</v>
      </c>
      <c r="L275" s="2" t="s">
        <v>3748</v>
      </c>
      <c r="M275" s="3" t="s">
        <v>116</v>
      </c>
      <c r="O275" s="3" t="s">
        <v>65</v>
      </c>
      <c r="P275" s="3" t="s">
        <v>84</v>
      </c>
      <c r="Q275" s="2" t="s">
        <v>3749</v>
      </c>
      <c r="R275" s="3" t="s">
        <v>67</v>
      </c>
      <c r="S275" s="4">
        <v>7</v>
      </c>
      <c r="T275" s="4">
        <v>7</v>
      </c>
      <c r="U275" s="5" t="s">
        <v>3750</v>
      </c>
      <c r="V275" s="5" t="s">
        <v>3750</v>
      </c>
      <c r="W275" s="5" t="s">
        <v>3751</v>
      </c>
      <c r="X275" s="5" t="s">
        <v>3751</v>
      </c>
      <c r="Y275" s="4">
        <v>249</v>
      </c>
      <c r="Z275" s="4">
        <v>225</v>
      </c>
      <c r="AA275" s="4">
        <v>227</v>
      </c>
      <c r="AB275" s="4">
        <v>2</v>
      </c>
      <c r="AC275" s="4">
        <v>2</v>
      </c>
      <c r="AD275" s="4">
        <v>17</v>
      </c>
      <c r="AE275" s="4">
        <v>17</v>
      </c>
      <c r="AF275" s="4">
        <v>6</v>
      </c>
      <c r="AG275" s="4">
        <v>6</v>
      </c>
      <c r="AH275" s="4">
        <v>5</v>
      </c>
      <c r="AI275" s="4">
        <v>5</v>
      </c>
      <c r="AJ275" s="4">
        <v>10</v>
      </c>
      <c r="AK275" s="4">
        <v>10</v>
      </c>
      <c r="AL275" s="4">
        <v>1</v>
      </c>
      <c r="AM275" s="4">
        <v>1</v>
      </c>
      <c r="AN275" s="4">
        <v>0</v>
      </c>
      <c r="AO275" s="4">
        <v>0</v>
      </c>
      <c r="AP275" s="3" t="s">
        <v>58</v>
      </c>
      <c r="AQ275" s="3" t="s">
        <v>87</v>
      </c>
      <c r="AR275" s="6" t="str">
        <f>HYPERLINK("http://catalog.hathitrust.org/Record/004029516","HathiTrust Record")</f>
        <v>HathiTrust Record</v>
      </c>
      <c r="AS275" s="6" t="str">
        <f>HYPERLINK("https://creighton-primo.hosted.exlibrisgroup.com/primo-explore/search?tab=default_tab&amp;search_scope=EVERYTHING&amp;vid=01CRU&amp;lang=en_US&amp;offset=0&amp;query=any,contains,991002943689702656","Catalog Record")</f>
        <v>Catalog Record</v>
      </c>
      <c r="AT275" s="6" t="str">
        <f>HYPERLINK("http://www.worldcat.org/oclc/39195319","WorldCat Record")</f>
        <v>WorldCat Record</v>
      </c>
      <c r="AU275" s="3" t="s">
        <v>3752</v>
      </c>
      <c r="AV275" s="3" t="s">
        <v>3753</v>
      </c>
      <c r="AW275" s="3" t="s">
        <v>3754</v>
      </c>
      <c r="AX275" s="3" t="s">
        <v>3754</v>
      </c>
      <c r="AY275" s="3" t="s">
        <v>3755</v>
      </c>
      <c r="AZ275" s="3" t="s">
        <v>74</v>
      </c>
      <c r="BB275" s="3" t="s">
        <v>3756</v>
      </c>
      <c r="BC275" s="3" t="s">
        <v>3757</v>
      </c>
      <c r="BD275" s="3" t="s">
        <v>3758</v>
      </c>
    </row>
    <row r="276" spans="1:56" ht="45.75" customHeight="1" x14ac:dyDescent="0.25">
      <c r="A276" s="7" t="s">
        <v>58</v>
      </c>
      <c r="B276" s="2" t="s">
        <v>3759</v>
      </c>
      <c r="C276" s="2" t="s">
        <v>3760</v>
      </c>
      <c r="D276" s="2" t="s">
        <v>3761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60</v>
      </c>
      <c r="K276" s="2" t="s">
        <v>3762</v>
      </c>
      <c r="L276" s="2" t="s">
        <v>3763</v>
      </c>
      <c r="M276" s="3" t="s">
        <v>1032</v>
      </c>
      <c r="O276" s="3" t="s">
        <v>65</v>
      </c>
      <c r="P276" s="3" t="s">
        <v>84</v>
      </c>
      <c r="Q276" s="2" t="s">
        <v>3764</v>
      </c>
      <c r="R276" s="3" t="s">
        <v>67</v>
      </c>
      <c r="S276" s="4">
        <v>11</v>
      </c>
      <c r="T276" s="4">
        <v>11</v>
      </c>
      <c r="U276" s="5" t="s">
        <v>3765</v>
      </c>
      <c r="V276" s="5" t="s">
        <v>3765</v>
      </c>
      <c r="W276" s="5" t="s">
        <v>3766</v>
      </c>
      <c r="X276" s="5" t="s">
        <v>3766</v>
      </c>
      <c r="Y276" s="4">
        <v>194</v>
      </c>
      <c r="Z276" s="4">
        <v>158</v>
      </c>
      <c r="AA276" s="4">
        <v>181</v>
      </c>
      <c r="AB276" s="4">
        <v>3</v>
      </c>
      <c r="AC276" s="4">
        <v>3</v>
      </c>
      <c r="AD276" s="4">
        <v>8</v>
      </c>
      <c r="AE276" s="4">
        <v>8</v>
      </c>
      <c r="AF276" s="4">
        <v>1</v>
      </c>
      <c r="AG276" s="4">
        <v>1</v>
      </c>
      <c r="AH276" s="4">
        <v>3</v>
      </c>
      <c r="AI276" s="4">
        <v>3</v>
      </c>
      <c r="AJ276" s="4">
        <v>4</v>
      </c>
      <c r="AK276" s="4">
        <v>4</v>
      </c>
      <c r="AL276" s="4">
        <v>2</v>
      </c>
      <c r="AM276" s="4">
        <v>2</v>
      </c>
      <c r="AN276" s="4">
        <v>0</v>
      </c>
      <c r="AO276" s="4">
        <v>0</v>
      </c>
      <c r="AP276" s="3" t="s">
        <v>58</v>
      </c>
      <c r="AQ276" s="3" t="s">
        <v>58</v>
      </c>
      <c r="AS276" s="6" t="str">
        <f>HYPERLINK("https://creighton-primo.hosted.exlibrisgroup.com/primo-explore/search?tab=default_tab&amp;search_scope=EVERYTHING&amp;vid=01CRU&amp;lang=en_US&amp;offset=0&amp;query=any,contains,991002755359702656","Catalog Record")</f>
        <v>Catalog Record</v>
      </c>
      <c r="AT276" s="6" t="str">
        <f>HYPERLINK("http://www.worldcat.org/oclc/36138306","WorldCat Record")</f>
        <v>WorldCat Record</v>
      </c>
      <c r="AU276" s="3" t="s">
        <v>3767</v>
      </c>
      <c r="AV276" s="3" t="s">
        <v>3768</v>
      </c>
      <c r="AW276" s="3" t="s">
        <v>3769</v>
      </c>
      <c r="AX276" s="3" t="s">
        <v>3769</v>
      </c>
      <c r="AY276" s="3" t="s">
        <v>3770</v>
      </c>
      <c r="AZ276" s="3" t="s">
        <v>74</v>
      </c>
      <c r="BB276" s="3" t="s">
        <v>3771</v>
      </c>
      <c r="BC276" s="3" t="s">
        <v>3772</v>
      </c>
      <c r="BD276" s="3" t="s">
        <v>3773</v>
      </c>
    </row>
    <row r="277" spans="1:56" ht="45.75" customHeight="1" x14ac:dyDescent="0.25">
      <c r="A277" s="7" t="s">
        <v>58</v>
      </c>
      <c r="B277" s="2" t="s">
        <v>3774</v>
      </c>
      <c r="C277" s="2" t="s">
        <v>3775</v>
      </c>
      <c r="D277" s="2" t="s">
        <v>3776</v>
      </c>
      <c r="F277" s="3" t="s">
        <v>58</v>
      </c>
      <c r="G277" s="3" t="s">
        <v>59</v>
      </c>
      <c r="H277" s="3" t="s">
        <v>58</v>
      </c>
      <c r="I277" s="3" t="s">
        <v>58</v>
      </c>
      <c r="J277" s="3" t="s">
        <v>60</v>
      </c>
      <c r="L277" s="2" t="s">
        <v>3777</v>
      </c>
      <c r="M277" s="3" t="s">
        <v>116</v>
      </c>
      <c r="O277" s="3" t="s">
        <v>65</v>
      </c>
      <c r="P277" s="3" t="s">
        <v>66</v>
      </c>
      <c r="R277" s="3" t="s">
        <v>67</v>
      </c>
      <c r="S277" s="4">
        <v>3</v>
      </c>
      <c r="T277" s="4">
        <v>3</v>
      </c>
      <c r="U277" s="5" t="s">
        <v>3778</v>
      </c>
      <c r="V277" s="5" t="s">
        <v>3778</v>
      </c>
      <c r="W277" s="5" t="s">
        <v>3779</v>
      </c>
      <c r="X277" s="5" t="s">
        <v>3779</v>
      </c>
      <c r="Y277" s="4">
        <v>173</v>
      </c>
      <c r="Z277" s="4">
        <v>157</v>
      </c>
      <c r="AA277" s="4">
        <v>160</v>
      </c>
      <c r="AB277" s="4">
        <v>3</v>
      </c>
      <c r="AC277" s="4">
        <v>3</v>
      </c>
      <c r="AD277" s="4">
        <v>10</v>
      </c>
      <c r="AE277" s="4">
        <v>10</v>
      </c>
      <c r="AF277" s="4">
        <v>3</v>
      </c>
      <c r="AG277" s="4">
        <v>3</v>
      </c>
      <c r="AH277" s="4">
        <v>2</v>
      </c>
      <c r="AI277" s="4">
        <v>2</v>
      </c>
      <c r="AJ277" s="4">
        <v>6</v>
      </c>
      <c r="AK277" s="4">
        <v>6</v>
      </c>
      <c r="AL277" s="4">
        <v>2</v>
      </c>
      <c r="AM277" s="4">
        <v>2</v>
      </c>
      <c r="AN277" s="4">
        <v>0</v>
      </c>
      <c r="AO277" s="4">
        <v>0</v>
      </c>
      <c r="AP277" s="3" t="s">
        <v>58</v>
      </c>
      <c r="AQ277" s="3" t="s">
        <v>87</v>
      </c>
      <c r="AR277" s="6" t="str">
        <f>HYPERLINK("http://catalog.hathitrust.org/Record/004028434","HathiTrust Record")</f>
        <v>HathiTrust Record</v>
      </c>
      <c r="AS277" s="6" t="str">
        <f>HYPERLINK("https://creighton-primo.hosted.exlibrisgroup.com/primo-explore/search?tab=default_tab&amp;search_scope=EVERYTHING&amp;vid=01CRU&amp;lang=en_US&amp;offset=0&amp;query=any,contains,991003572549702656","Catalog Record")</f>
        <v>Catalog Record</v>
      </c>
      <c r="AT277" s="6" t="str">
        <f>HYPERLINK("http://www.worldcat.org/oclc/36806928","WorldCat Record")</f>
        <v>WorldCat Record</v>
      </c>
      <c r="AU277" s="3" t="s">
        <v>3780</v>
      </c>
      <c r="AV277" s="3" t="s">
        <v>3781</v>
      </c>
      <c r="AW277" s="3" t="s">
        <v>3782</v>
      </c>
      <c r="AX277" s="3" t="s">
        <v>3782</v>
      </c>
      <c r="AY277" s="3" t="s">
        <v>3783</v>
      </c>
      <c r="AZ277" s="3" t="s">
        <v>74</v>
      </c>
      <c r="BB277" s="3" t="s">
        <v>3784</v>
      </c>
      <c r="BC277" s="3" t="s">
        <v>3785</v>
      </c>
      <c r="BD277" s="3" t="s">
        <v>3786</v>
      </c>
    </row>
    <row r="278" spans="1:56" ht="45.75" customHeight="1" x14ac:dyDescent="0.25">
      <c r="A278" s="7" t="s">
        <v>58</v>
      </c>
      <c r="B278" s="2" t="s">
        <v>3787</v>
      </c>
      <c r="C278" s="2" t="s">
        <v>3788</v>
      </c>
      <c r="D278" s="2" t="s">
        <v>3789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60</v>
      </c>
      <c r="K278" s="2" t="s">
        <v>3790</v>
      </c>
      <c r="L278" s="2" t="s">
        <v>3791</v>
      </c>
      <c r="M278" s="3" t="s">
        <v>867</v>
      </c>
      <c r="O278" s="3" t="s">
        <v>65</v>
      </c>
      <c r="P278" s="3" t="s">
        <v>3792</v>
      </c>
      <c r="R278" s="3" t="s">
        <v>67</v>
      </c>
      <c r="S278" s="4">
        <v>32</v>
      </c>
      <c r="T278" s="4">
        <v>32</v>
      </c>
      <c r="U278" s="5" t="s">
        <v>3793</v>
      </c>
      <c r="V278" s="5" t="s">
        <v>3793</v>
      </c>
      <c r="W278" s="5" t="s">
        <v>3794</v>
      </c>
      <c r="X278" s="5" t="s">
        <v>3794</v>
      </c>
      <c r="Y278" s="4">
        <v>87</v>
      </c>
      <c r="Z278" s="4">
        <v>84</v>
      </c>
      <c r="AA278" s="4">
        <v>85</v>
      </c>
      <c r="AB278" s="4">
        <v>1</v>
      </c>
      <c r="AC278" s="4">
        <v>1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3" t="s">
        <v>58</v>
      </c>
      <c r="AQ278" s="3" t="s">
        <v>87</v>
      </c>
      <c r="AR278" s="6" t="str">
        <f>HYPERLINK("http://catalog.hathitrust.org/Record/009136661","HathiTrust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HYPERLINK("https://creighton-primo.hosted.exlibrisgroup.com/primo-explore/search?tab=default_tab&amp;search_scope=EVERYTHING&amp;vid=01CRU&amp;lang=en_US&amp;offset=0&amp;query=any,contains,991001903709702656","Catalog Record")</f>
        <v>Catalog Record</v>
      </c>
      <c r="AT278" s="6" t="str">
        <f>HYPERLINK("http://www.worldcat.org/oclc/24065385","WorldCat Record")</f>
        <v>WorldCat Record</v>
      </c>
      <c r="AU278" s="3" t="s">
        <v>3795</v>
      </c>
      <c r="AV278" s="3" t="s">
        <v>3796</v>
      </c>
      <c r="AW278" s="3" t="s">
        <v>3797</v>
      </c>
      <c r="AX278" s="3" t="s">
        <v>3797</v>
      </c>
      <c r="AY278" s="3" t="s">
        <v>3798</v>
      </c>
      <c r="AZ278" s="3" t="s">
        <v>74</v>
      </c>
      <c r="BB278" s="3" t="s">
        <v>3799</v>
      </c>
      <c r="BC278" s="3" t="s">
        <v>3800</v>
      </c>
      <c r="BD278" s="3" t="s">
        <v>3801</v>
      </c>
    </row>
    <row r="279" spans="1:56" ht="45.75" customHeight="1" x14ac:dyDescent="0.25">
      <c r="A279" s="7" t="s">
        <v>58</v>
      </c>
      <c r="B279" s="2" t="s">
        <v>3802</v>
      </c>
      <c r="C279" s="2" t="s">
        <v>3803</v>
      </c>
      <c r="D279" s="2" t="s">
        <v>3804</v>
      </c>
      <c r="F279" s="3" t="s">
        <v>58</v>
      </c>
      <c r="G279" s="3" t="s">
        <v>59</v>
      </c>
      <c r="H279" s="3" t="s">
        <v>58</v>
      </c>
      <c r="I279" s="3" t="s">
        <v>58</v>
      </c>
      <c r="J279" s="3" t="s">
        <v>60</v>
      </c>
      <c r="K279" s="2" t="s">
        <v>3805</v>
      </c>
      <c r="L279" s="2" t="s">
        <v>3806</v>
      </c>
      <c r="M279" s="3" t="s">
        <v>1058</v>
      </c>
      <c r="O279" s="3" t="s">
        <v>65</v>
      </c>
      <c r="P279" s="3" t="s">
        <v>84</v>
      </c>
      <c r="R279" s="3" t="s">
        <v>67</v>
      </c>
      <c r="S279" s="4">
        <v>27</v>
      </c>
      <c r="T279" s="4">
        <v>27</v>
      </c>
      <c r="U279" s="5" t="s">
        <v>3807</v>
      </c>
      <c r="V279" s="5" t="s">
        <v>3807</v>
      </c>
      <c r="W279" s="5" t="s">
        <v>3808</v>
      </c>
      <c r="X279" s="5" t="s">
        <v>3808</v>
      </c>
      <c r="Y279" s="4">
        <v>507</v>
      </c>
      <c r="Z279" s="4">
        <v>471</v>
      </c>
      <c r="AA279" s="4">
        <v>498</v>
      </c>
      <c r="AB279" s="4">
        <v>3</v>
      </c>
      <c r="AC279" s="4">
        <v>3</v>
      </c>
      <c r="AD279" s="4">
        <v>25</v>
      </c>
      <c r="AE279" s="4">
        <v>26</v>
      </c>
      <c r="AF279" s="4">
        <v>11</v>
      </c>
      <c r="AG279" s="4">
        <v>12</v>
      </c>
      <c r="AH279" s="4">
        <v>5</v>
      </c>
      <c r="AI279" s="4">
        <v>5</v>
      </c>
      <c r="AJ279" s="4">
        <v>11</v>
      </c>
      <c r="AK279" s="4">
        <v>12</v>
      </c>
      <c r="AL279" s="4">
        <v>2</v>
      </c>
      <c r="AM279" s="4">
        <v>2</v>
      </c>
      <c r="AN279" s="4">
        <v>0</v>
      </c>
      <c r="AO279" s="4">
        <v>0</v>
      </c>
      <c r="AP279" s="3" t="s">
        <v>58</v>
      </c>
      <c r="AQ279" s="3" t="s">
        <v>58</v>
      </c>
      <c r="AS279" s="6" t="str">
        <f>HYPERLINK("https://creighton-primo.hosted.exlibrisgroup.com/primo-explore/search?tab=default_tab&amp;search_scope=EVERYTHING&amp;vid=01CRU&amp;lang=en_US&amp;offset=0&amp;query=any,contains,991001120829702656","Catalog Record")</f>
        <v>Catalog Record</v>
      </c>
      <c r="AT279" s="6" t="str">
        <f>HYPERLINK("http://www.worldcat.org/oclc/16580516","WorldCat Record")</f>
        <v>WorldCat Record</v>
      </c>
      <c r="AU279" s="3" t="s">
        <v>3809</v>
      </c>
      <c r="AV279" s="3" t="s">
        <v>3810</v>
      </c>
      <c r="AW279" s="3" t="s">
        <v>3811</v>
      </c>
      <c r="AX279" s="3" t="s">
        <v>3811</v>
      </c>
      <c r="AY279" s="3" t="s">
        <v>3812</v>
      </c>
      <c r="AZ279" s="3" t="s">
        <v>74</v>
      </c>
      <c r="BB279" s="3" t="s">
        <v>3813</v>
      </c>
      <c r="BC279" s="3" t="s">
        <v>3814</v>
      </c>
      <c r="BD279" s="3" t="s">
        <v>3815</v>
      </c>
    </row>
    <row r="280" spans="1:56" ht="45.75" customHeight="1" x14ac:dyDescent="0.25">
      <c r="A280" s="7" t="s">
        <v>58</v>
      </c>
      <c r="B280" s="2" t="s">
        <v>3816</v>
      </c>
      <c r="C280" s="2" t="s">
        <v>3817</v>
      </c>
      <c r="D280" s="2" t="s">
        <v>3818</v>
      </c>
      <c r="F280" s="3" t="s">
        <v>58</v>
      </c>
      <c r="G280" s="3" t="s">
        <v>59</v>
      </c>
      <c r="H280" s="3" t="s">
        <v>58</v>
      </c>
      <c r="I280" s="3" t="s">
        <v>58</v>
      </c>
      <c r="J280" s="3" t="s">
        <v>60</v>
      </c>
      <c r="K280" s="2" t="s">
        <v>3585</v>
      </c>
      <c r="L280" s="2" t="s">
        <v>3819</v>
      </c>
      <c r="M280" s="3" t="s">
        <v>742</v>
      </c>
      <c r="O280" s="3" t="s">
        <v>65</v>
      </c>
      <c r="P280" s="3" t="s">
        <v>84</v>
      </c>
      <c r="R280" s="3" t="s">
        <v>67</v>
      </c>
      <c r="S280" s="4">
        <v>10</v>
      </c>
      <c r="T280" s="4">
        <v>10</v>
      </c>
      <c r="U280" s="5" t="s">
        <v>3820</v>
      </c>
      <c r="V280" s="5" t="s">
        <v>3820</v>
      </c>
      <c r="W280" s="5" t="s">
        <v>3821</v>
      </c>
      <c r="X280" s="5" t="s">
        <v>3821</v>
      </c>
      <c r="Y280" s="4">
        <v>603</v>
      </c>
      <c r="Z280" s="4">
        <v>551</v>
      </c>
      <c r="AA280" s="4">
        <v>557</v>
      </c>
      <c r="AB280" s="4">
        <v>4</v>
      </c>
      <c r="AC280" s="4">
        <v>4</v>
      </c>
      <c r="AD280" s="4">
        <v>33</v>
      </c>
      <c r="AE280" s="4">
        <v>33</v>
      </c>
      <c r="AF280" s="4">
        <v>12</v>
      </c>
      <c r="AG280" s="4">
        <v>12</v>
      </c>
      <c r="AH280" s="4">
        <v>8</v>
      </c>
      <c r="AI280" s="4">
        <v>8</v>
      </c>
      <c r="AJ280" s="4">
        <v>17</v>
      </c>
      <c r="AK280" s="4">
        <v>17</v>
      </c>
      <c r="AL280" s="4">
        <v>3</v>
      </c>
      <c r="AM280" s="4">
        <v>3</v>
      </c>
      <c r="AN280" s="4">
        <v>2</v>
      </c>
      <c r="AO280" s="4">
        <v>2</v>
      </c>
      <c r="AP280" s="3" t="s">
        <v>58</v>
      </c>
      <c r="AQ280" s="3" t="s">
        <v>87</v>
      </c>
      <c r="AR280" s="6" t="str">
        <f>HYPERLINK("http://catalog.hathitrust.org/Record/001536590","HathiTrust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HYPERLINK("https://creighton-primo.hosted.exlibrisgroup.com/primo-explore/search?tab=default_tab&amp;search_scope=EVERYTHING&amp;vid=01CRU&amp;lang=en_US&amp;offset=0&amp;query=any,contains,991001389049702656","Catalog Record")</f>
        <v>Catalog Record</v>
      </c>
      <c r="AT280" s="6" t="str">
        <f>HYPERLINK("http://www.worldcat.org/oclc/18743243","WorldCat Record")</f>
        <v>WorldCat Record</v>
      </c>
      <c r="AU280" s="3" t="s">
        <v>3822</v>
      </c>
      <c r="AV280" s="3" t="s">
        <v>3823</v>
      </c>
      <c r="AW280" s="3" t="s">
        <v>3824</v>
      </c>
      <c r="AX280" s="3" t="s">
        <v>3824</v>
      </c>
      <c r="AY280" s="3" t="s">
        <v>3825</v>
      </c>
      <c r="AZ280" s="3" t="s">
        <v>74</v>
      </c>
      <c r="BB280" s="3" t="s">
        <v>3826</v>
      </c>
      <c r="BC280" s="3" t="s">
        <v>3827</v>
      </c>
      <c r="BD280" s="3" t="s">
        <v>3828</v>
      </c>
    </row>
    <row r="281" spans="1:56" ht="45.75" customHeight="1" x14ac:dyDescent="0.25">
      <c r="A281" s="7" t="s">
        <v>58</v>
      </c>
      <c r="B281" s="2" t="s">
        <v>3829</v>
      </c>
      <c r="C281" s="2" t="s">
        <v>3830</v>
      </c>
      <c r="D281" s="2" t="s">
        <v>3831</v>
      </c>
      <c r="F281" s="3" t="s">
        <v>58</v>
      </c>
      <c r="G281" s="3" t="s">
        <v>59</v>
      </c>
      <c r="H281" s="3" t="s">
        <v>58</v>
      </c>
      <c r="I281" s="3" t="s">
        <v>58</v>
      </c>
      <c r="J281" s="3" t="s">
        <v>60</v>
      </c>
      <c r="K281" s="2" t="s">
        <v>3832</v>
      </c>
      <c r="L281" s="2" t="s">
        <v>3707</v>
      </c>
      <c r="M281" s="3" t="s">
        <v>867</v>
      </c>
      <c r="O281" s="3" t="s">
        <v>65</v>
      </c>
      <c r="P281" s="3" t="s">
        <v>84</v>
      </c>
      <c r="Q281" s="2" t="s">
        <v>3833</v>
      </c>
      <c r="R281" s="3" t="s">
        <v>67</v>
      </c>
      <c r="S281" s="4">
        <v>23</v>
      </c>
      <c r="T281" s="4">
        <v>23</v>
      </c>
      <c r="U281" s="5" t="s">
        <v>3834</v>
      </c>
      <c r="V281" s="5" t="s">
        <v>3834</v>
      </c>
      <c r="W281" s="5" t="s">
        <v>3710</v>
      </c>
      <c r="X281" s="5" t="s">
        <v>3710</v>
      </c>
      <c r="Y281" s="4">
        <v>374</v>
      </c>
      <c r="Z281" s="4">
        <v>299</v>
      </c>
      <c r="AA281" s="4">
        <v>325</v>
      </c>
      <c r="AB281" s="4">
        <v>3</v>
      </c>
      <c r="AC281" s="4">
        <v>3</v>
      </c>
      <c r="AD281" s="4">
        <v>19</v>
      </c>
      <c r="AE281" s="4">
        <v>20</v>
      </c>
      <c r="AF281" s="4">
        <v>8</v>
      </c>
      <c r="AG281" s="4">
        <v>9</v>
      </c>
      <c r="AH281" s="4">
        <v>4</v>
      </c>
      <c r="AI281" s="4">
        <v>4</v>
      </c>
      <c r="AJ281" s="4">
        <v>10</v>
      </c>
      <c r="AK281" s="4">
        <v>10</v>
      </c>
      <c r="AL281" s="4">
        <v>2</v>
      </c>
      <c r="AM281" s="4">
        <v>2</v>
      </c>
      <c r="AN281" s="4">
        <v>0</v>
      </c>
      <c r="AO281" s="4">
        <v>0</v>
      </c>
      <c r="AP281" s="3" t="s">
        <v>58</v>
      </c>
      <c r="AQ281" s="3" t="s">
        <v>87</v>
      </c>
      <c r="AR281" s="6" t="str">
        <f>HYPERLINK("http://catalog.hathitrust.org/Record/002545479","HathiTrust Record")</f>
        <v>HathiTrust Record</v>
      </c>
      <c r="AS281" s="6" t="str">
        <f>HYPERLINK("https://creighton-primo.hosted.exlibrisgroup.com/primo-explore/search?tab=default_tab&amp;search_scope=EVERYTHING&amp;vid=01CRU&amp;lang=en_US&amp;offset=0&amp;query=any,contains,991001987709702656","Catalog Record")</f>
        <v>Catalog Record</v>
      </c>
      <c r="AT281" s="6" t="str">
        <f>HYPERLINK("http://www.worldcat.org/oclc/25246660","WorldCat Record")</f>
        <v>WorldCat Record</v>
      </c>
      <c r="AU281" s="3" t="s">
        <v>3835</v>
      </c>
      <c r="AV281" s="3" t="s">
        <v>3836</v>
      </c>
      <c r="AW281" s="3" t="s">
        <v>3837</v>
      </c>
      <c r="AX281" s="3" t="s">
        <v>3837</v>
      </c>
      <c r="AY281" s="3" t="s">
        <v>3838</v>
      </c>
      <c r="AZ281" s="3" t="s">
        <v>74</v>
      </c>
      <c r="BB281" s="3" t="s">
        <v>3839</v>
      </c>
      <c r="BC281" s="3" t="s">
        <v>3840</v>
      </c>
      <c r="BD281" s="3" t="s">
        <v>3841</v>
      </c>
    </row>
    <row r="282" spans="1:56" ht="45.75" customHeight="1" x14ac:dyDescent="0.25">
      <c r="A282" s="7" t="s">
        <v>58</v>
      </c>
      <c r="B282" s="2" t="s">
        <v>3842</v>
      </c>
      <c r="C282" s="2" t="s">
        <v>3843</v>
      </c>
      <c r="D282" s="2" t="s">
        <v>3844</v>
      </c>
      <c r="F282" s="3" t="s">
        <v>58</v>
      </c>
      <c r="G282" s="3" t="s">
        <v>59</v>
      </c>
      <c r="H282" s="3" t="s">
        <v>87</v>
      </c>
      <c r="I282" s="3" t="s">
        <v>58</v>
      </c>
      <c r="J282" s="3" t="s">
        <v>60</v>
      </c>
      <c r="K282" s="2" t="s">
        <v>3845</v>
      </c>
      <c r="L282" s="2" t="s">
        <v>262</v>
      </c>
      <c r="M282" s="3" t="s">
        <v>263</v>
      </c>
      <c r="O282" s="3" t="s">
        <v>65</v>
      </c>
      <c r="P282" s="3" t="s">
        <v>132</v>
      </c>
      <c r="Q282" s="2" t="s">
        <v>3846</v>
      </c>
      <c r="R282" s="3" t="s">
        <v>67</v>
      </c>
      <c r="S282" s="4">
        <v>10</v>
      </c>
      <c r="T282" s="4">
        <v>10</v>
      </c>
      <c r="U282" s="5" t="s">
        <v>3709</v>
      </c>
      <c r="V282" s="5" t="s">
        <v>3709</v>
      </c>
      <c r="W282" s="5" t="s">
        <v>3847</v>
      </c>
      <c r="X282" s="5" t="s">
        <v>3847</v>
      </c>
      <c r="Y282" s="4">
        <v>566</v>
      </c>
      <c r="Z282" s="4">
        <v>512</v>
      </c>
      <c r="AA282" s="4">
        <v>519</v>
      </c>
      <c r="AB282" s="4">
        <v>7</v>
      </c>
      <c r="AC282" s="4">
        <v>7</v>
      </c>
      <c r="AD282" s="4">
        <v>34</v>
      </c>
      <c r="AE282" s="4">
        <v>34</v>
      </c>
      <c r="AF282" s="4">
        <v>13</v>
      </c>
      <c r="AG282" s="4">
        <v>13</v>
      </c>
      <c r="AH282" s="4">
        <v>10</v>
      </c>
      <c r="AI282" s="4">
        <v>10</v>
      </c>
      <c r="AJ282" s="4">
        <v>15</v>
      </c>
      <c r="AK282" s="4">
        <v>15</v>
      </c>
      <c r="AL282" s="4">
        <v>5</v>
      </c>
      <c r="AM282" s="4">
        <v>5</v>
      </c>
      <c r="AN282" s="4">
        <v>0</v>
      </c>
      <c r="AO282" s="4">
        <v>0</v>
      </c>
      <c r="AP282" s="3" t="s">
        <v>58</v>
      </c>
      <c r="AQ282" s="3" t="s">
        <v>87</v>
      </c>
      <c r="AR282" s="6" t="str">
        <f>HYPERLINK("http://catalog.hathitrust.org/Record/003110457","HathiTrust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HYPERLINK("https://creighton-primo.hosted.exlibrisgroup.com/primo-explore/search?tab=default_tab&amp;search_scope=EVERYTHING&amp;vid=01CRU&amp;lang=en_US&amp;offset=0&amp;query=any,contains,991001671319702656","Catalog Record")</f>
        <v>Catalog Record</v>
      </c>
      <c r="AT282" s="6" t="str">
        <f>HYPERLINK("http://www.worldcat.org/oclc/34547555","WorldCat Record")</f>
        <v>WorldCat Record</v>
      </c>
      <c r="AU282" s="3" t="s">
        <v>3848</v>
      </c>
      <c r="AV282" s="3" t="s">
        <v>3849</v>
      </c>
      <c r="AW282" s="3" t="s">
        <v>3850</v>
      </c>
      <c r="AX282" s="3" t="s">
        <v>3850</v>
      </c>
      <c r="AY282" s="3" t="s">
        <v>3851</v>
      </c>
      <c r="AZ282" s="3" t="s">
        <v>74</v>
      </c>
      <c r="BB282" s="3" t="s">
        <v>3852</v>
      </c>
      <c r="BC282" s="3" t="s">
        <v>3853</v>
      </c>
      <c r="BD282" s="3" t="s">
        <v>3854</v>
      </c>
    </row>
    <row r="283" spans="1:56" ht="45.75" customHeight="1" x14ac:dyDescent="0.25">
      <c r="A283" s="7" t="s">
        <v>58</v>
      </c>
      <c r="B283" s="2" t="s">
        <v>3855</v>
      </c>
      <c r="C283" s="2" t="s">
        <v>3856</v>
      </c>
      <c r="D283" s="2" t="s">
        <v>3857</v>
      </c>
      <c r="F283" s="3" t="s">
        <v>58</v>
      </c>
      <c r="G283" s="3" t="s">
        <v>59</v>
      </c>
      <c r="H283" s="3" t="s">
        <v>58</v>
      </c>
      <c r="I283" s="3" t="s">
        <v>58</v>
      </c>
      <c r="J283" s="3" t="s">
        <v>60</v>
      </c>
      <c r="K283" s="2" t="s">
        <v>3858</v>
      </c>
      <c r="L283" s="2" t="s">
        <v>3859</v>
      </c>
      <c r="M283" s="3" t="s">
        <v>742</v>
      </c>
      <c r="O283" s="3" t="s">
        <v>65</v>
      </c>
      <c r="P283" s="3" t="s">
        <v>84</v>
      </c>
      <c r="Q283" s="2" t="s">
        <v>3860</v>
      </c>
      <c r="R283" s="3" t="s">
        <v>67</v>
      </c>
      <c r="S283" s="4">
        <v>28</v>
      </c>
      <c r="T283" s="4">
        <v>28</v>
      </c>
      <c r="U283" s="5" t="s">
        <v>3861</v>
      </c>
      <c r="V283" s="5" t="s">
        <v>3861</v>
      </c>
      <c r="W283" s="5" t="s">
        <v>3862</v>
      </c>
      <c r="X283" s="5" t="s">
        <v>3862</v>
      </c>
      <c r="Y283" s="4">
        <v>263</v>
      </c>
      <c r="Z283" s="4">
        <v>229</v>
      </c>
      <c r="AA283" s="4">
        <v>235</v>
      </c>
      <c r="AB283" s="4">
        <v>2</v>
      </c>
      <c r="AC283" s="4">
        <v>2</v>
      </c>
      <c r="AD283" s="4">
        <v>14</v>
      </c>
      <c r="AE283" s="4">
        <v>14</v>
      </c>
      <c r="AF283" s="4">
        <v>3</v>
      </c>
      <c r="AG283" s="4">
        <v>3</v>
      </c>
      <c r="AH283" s="4">
        <v>5</v>
      </c>
      <c r="AI283" s="4">
        <v>5</v>
      </c>
      <c r="AJ283" s="4">
        <v>5</v>
      </c>
      <c r="AK283" s="4">
        <v>5</v>
      </c>
      <c r="AL283" s="4">
        <v>1</v>
      </c>
      <c r="AM283" s="4">
        <v>1</v>
      </c>
      <c r="AN283" s="4">
        <v>2</v>
      </c>
      <c r="AO283" s="4">
        <v>2</v>
      </c>
      <c r="AP283" s="3" t="s">
        <v>58</v>
      </c>
      <c r="AQ283" s="3" t="s">
        <v>87</v>
      </c>
      <c r="AR283" s="6" t="str">
        <f>HYPERLINK("http://catalog.hathitrust.org/Record/002554127","HathiTrust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HYPERLINK("https://creighton-primo.hosted.exlibrisgroup.com/primo-explore/search?tab=default_tab&amp;search_scope=EVERYTHING&amp;vid=01CRU&amp;lang=en_US&amp;offset=0&amp;query=any,contains,991001418659702656","Catalog Record")</f>
        <v>Catalog Record</v>
      </c>
      <c r="AT283" s="6" t="str">
        <f>HYPERLINK("http://www.worldcat.org/oclc/18960637","WorldCat Record")</f>
        <v>WorldCat Record</v>
      </c>
      <c r="AU283" s="3" t="s">
        <v>3863</v>
      </c>
      <c r="AV283" s="3" t="s">
        <v>3864</v>
      </c>
      <c r="AW283" s="3" t="s">
        <v>3865</v>
      </c>
      <c r="AX283" s="3" t="s">
        <v>3865</v>
      </c>
      <c r="AY283" s="3" t="s">
        <v>3866</v>
      </c>
      <c r="AZ283" s="3" t="s">
        <v>74</v>
      </c>
      <c r="BB283" s="3" t="s">
        <v>3867</v>
      </c>
      <c r="BC283" s="3" t="s">
        <v>3868</v>
      </c>
      <c r="BD283" s="3" t="s">
        <v>3869</v>
      </c>
    </row>
    <row r="284" spans="1:56" ht="45.75" customHeight="1" x14ac:dyDescent="0.25">
      <c r="A284" s="7" t="s">
        <v>58</v>
      </c>
      <c r="B284" s="2" t="s">
        <v>3870</v>
      </c>
      <c r="C284" s="2" t="s">
        <v>3871</v>
      </c>
      <c r="D284" s="2" t="s">
        <v>3872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60</v>
      </c>
      <c r="K284" s="2" t="s">
        <v>3873</v>
      </c>
      <c r="L284" s="2" t="s">
        <v>3874</v>
      </c>
      <c r="M284" s="3" t="s">
        <v>220</v>
      </c>
      <c r="O284" s="3" t="s">
        <v>65</v>
      </c>
      <c r="P284" s="3" t="s">
        <v>84</v>
      </c>
      <c r="Q284" s="2" t="s">
        <v>3875</v>
      </c>
      <c r="R284" s="3" t="s">
        <v>67</v>
      </c>
      <c r="S284" s="4">
        <v>5</v>
      </c>
      <c r="T284" s="4">
        <v>5</v>
      </c>
      <c r="U284" s="5" t="s">
        <v>3876</v>
      </c>
      <c r="V284" s="5" t="s">
        <v>3876</v>
      </c>
      <c r="W284" s="5" t="s">
        <v>3877</v>
      </c>
      <c r="X284" s="5" t="s">
        <v>3877</v>
      </c>
      <c r="Y284" s="4">
        <v>684</v>
      </c>
      <c r="Z284" s="4">
        <v>619</v>
      </c>
      <c r="AA284" s="4">
        <v>641</v>
      </c>
      <c r="AB284" s="4">
        <v>5</v>
      </c>
      <c r="AC284" s="4">
        <v>6</v>
      </c>
      <c r="AD284" s="4">
        <v>35</v>
      </c>
      <c r="AE284" s="4">
        <v>36</v>
      </c>
      <c r="AF284" s="4">
        <v>14</v>
      </c>
      <c r="AG284" s="4">
        <v>14</v>
      </c>
      <c r="AH284" s="4">
        <v>9</v>
      </c>
      <c r="AI284" s="4">
        <v>9</v>
      </c>
      <c r="AJ284" s="4">
        <v>19</v>
      </c>
      <c r="AK284" s="4">
        <v>19</v>
      </c>
      <c r="AL284" s="4">
        <v>4</v>
      </c>
      <c r="AM284" s="4">
        <v>5</v>
      </c>
      <c r="AN284" s="4">
        <v>0</v>
      </c>
      <c r="AO284" s="4">
        <v>0</v>
      </c>
      <c r="AP284" s="3" t="s">
        <v>58</v>
      </c>
      <c r="AQ284" s="3" t="s">
        <v>58</v>
      </c>
      <c r="AS284" s="6" t="str">
        <f>HYPERLINK("https://creighton-primo.hosted.exlibrisgroup.com/primo-explore/search?tab=default_tab&amp;search_scope=EVERYTHING&amp;vid=01CRU&amp;lang=en_US&amp;offset=0&amp;query=any,contains,991003004079702656","Catalog Record")</f>
        <v>Catalog Record</v>
      </c>
      <c r="AT284" s="6" t="str">
        <f>HYPERLINK("http://www.worldcat.org/oclc/40698694","WorldCat Record")</f>
        <v>WorldCat Record</v>
      </c>
      <c r="AU284" s="3" t="s">
        <v>3878</v>
      </c>
      <c r="AV284" s="3" t="s">
        <v>3879</v>
      </c>
      <c r="AW284" s="3" t="s">
        <v>3880</v>
      </c>
      <c r="AX284" s="3" t="s">
        <v>3880</v>
      </c>
      <c r="AY284" s="3" t="s">
        <v>3881</v>
      </c>
      <c r="AZ284" s="3" t="s">
        <v>74</v>
      </c>
      <c r="BB284" s="3" t="s">
        <v>3882</v>
      </c>
      <c r="BC284" s="3" t="s">
        <v>3883</v>
      </c>
      <c r="BD284" s="3" t="s">
        <v>3884</v>
      </c>
    </row>
    <row r="285" spans="1:56" ht="45.75" customHeight="1" x14ac:dyDescent="0.25">
      <c r="A285" s="7" t="s">
        <v>58</v>
      </c>
      <c r="B285" s="2" t="s">
        <v>3885</v>
      </c>
      <c r="C285" s="2" t="s">
        <v>3886</v>
      </c>
      <c r="D285" s="2" t="s">
        <v>3887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K285" s="2" t="s">
        <v>3888</v>
      </c>
      <c r="L285" s="2" t="s">
        <v>3889</v>
      </c>
      <c r="M285" s="3" t="s">
        <v>116</v>
      </c>
      <c r="O285" s="3" t="s">
        <v>65</v>
      </c>
      <c r="P285" s="3" t="s">
        <v>84</v>
      </c>
      <c r="Q285" s="2" t="s">
        <v>3875</v>
      </c>
      <c r="R285" s="3" t="s">
        <v>67</v>
      </c>
      <c r="S285" s="4">
        <v>7</v>
      </c>
      <c r="T285" s="4">
        <v>7</v>
      </c>
      <c r="U285" s="5" t="s">
        <v>3778</v>
      </c>
      <c r="V285" s="5" t="s">
        <v>3778</v>
      </c>
      <c r="W285" s="5" t="s">
        <v>3890</v>
      </c>
      <c r="X285" s="5" t="s">
        <v>3890</v>
      </c>
      <c r="Y285" s="4">
        <v>651</v>
      </c>
      <c r="Z285" s="4">
        <v>593</v>
      </c>
      <c r="AA285" s="4">
        <v>597</v>
      </c>
      <c r="AB285" s="4">
        <v>5</v>
      </c>
      <c r="AC285" s="4">
        <v>5</v>
      </c>
      <c r="AD285" s="4">
        <v>33</v>
      </c>
      <c r="AE285" s="4">
        <v>33</v>
      </c>
      <c r="AF285" s="4">
        <v>12</v>
      </c>
      <c r="AG285" s="4">
        <v>12</v>
      </c>
      <c r="AH285" s="4">
        <v>8</v>
      </c>
      <c r="AI285" s="4">
        <v>8</v>
      </c>
      <c r="AJ285" s="4">
        <v>17</v>
      </c>
      <c r="AK285" s="4">
        <v>17</v>
      </c>
      <c r="AL285" s="4">
        <v>4</v>
      </c>
      <c r="AM285" s="4">
        <v>4</v>
      </c>
      <c r="AN285" s="4">
        <v>0</v>
      </c>
      <c r="AO285" s="4">
        <v>0</v>
      </c>
      <c r="AP285" s="3" t="s">
        <v>58</v>
      </c>
      <c r="AQ285" s="3" t="s">
        <v>58</v>
      </c>
      <c r="AS285" s="6" t="str">
        <f>HYPERLINK("https://creighton-primo.hosted.exlibrisgroup.com/primo-explore/search?tab=default_tab&amp;search_scope=EVERYTHING&amp;vid=01CRU&amp;lang=en_US&amp;offset=0&amp;query=any,contains,991002893359702656","Catalog Record")</f>
        <v>Catalog Record</v>
      </c>
      <c r="AT285" s="6" t="str">
        <f>HYPERLINK("http://www.worldcat.org/oclc/38120670","WorldCat Record")</f>
        <v>WorldCat Record</v>
      </c>
      <c r="AU285" s="3" t="s">
        <v>3891</v>
      </c>
      <c r="AV285" s="3" t="s">
        <v>3892</v>
      </c>
      <c r="AW285" s="3" t="s">
        <v>3893</v>
      </c>
      <c r="AX285" s="3" t="s">
        <v>3893</v>
      </c>
      <c r="AY285" s="3" t="s">
        <v>3894</v>
      </c>
      <c r="AZ285" s="3" t="s">
        <v>74</v>
      </c>
      <c r="BB285" s="3" t="s">
        <v>3895</v>
      </c>
      <c r="BC285" s="3" t="s">
        <v>3896</v>
      </c>
      <c r="BD285" s="3" t="s">
        <v>3897</v>
      </c>
    </row>
    <row r="286" spans="1:56" ht="45.75" customHeight="1" x14ac:dyDescent="0.25">
      <c r="A286" s="7" t="s">
        <v>58</v>
      </c>
      <c r="B286" s="2" t="s">
        <v>3898</v>
      </c>
      <c r="C286" s="2" t="s">
        <v>3899</v>
      </c>
      <c r="D286" s="2" t="s">
        <v>3900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60</v>
      </c>
      <c r="K286" s="2" t="s">
        <v>3901</v>
      </c>
      <c r="L286" s="2" t="s">
        <v>3902</v>
      </c>
      <c r="M286" s="3" t="s">
        <v>629</v>
      </c>
      <c r="O286" s="3" t="s">
        <v>65</v>
      </c>
      <c r="P286" s="3" t="s">
        <v>772</v>
      </c>
      <c r="R286" s="3" t="s">
        <v>67</v>
      </c>
      <c r="S286" s="4">
        <v>10</v>
      </c>
      <c r="T286" s="4">
        <v>10</v>
      </c>
      <c r="U286" s="5" t="s">
        <v>3903</v>
      </c>
      <c r="V286" s="5" t="s">
        <v>3903</v>
      </c>
      <c r="W286" s="5" t="s">
        <v>3904</v>
      </c>
      <c r="X286" s="5" t="s">
        <v>3904</v>
      </c>
      <c r="Y286" s="4">
        <v>246</v>
      </c>
      <c r="Z286" s="4">
        <v>219</v>
      </c>
      <c r="AA286" s="4">
        <v>239</v>
      </c>
      <c r="AB286" s="4">
        <v>2</v>
      </c>
      <c r="AC286" s="4">
        <v>2</v>
      </c>
      <c r="AD286" s="4">
        <v>13</v>
      </c>
      <c r="AE286" s="4">
        <v>15</v>
      </c>
      <c r="AF286" s="4">
        <v>4</v>
      </c>
      <c r="AG286" s="4">
        <v>5</v>
      </c>
      <c r="AH286" s="4">
        <v>4</v>
      </c>
      <c r="AI286" s="4">
        <v>5</v>
      </c>
      <c r="AJ286" s="4">
        <v>7</v>
      </c>
      <c r="AK286" s="4">
        <v>7</v>
      </c>
      <c r="AL286" s="4">
        <v>1</v>
      </c>
      <c r="AM286" s="4">
        <v>1</v>
      </c>
      <c r="AN286" s="4">
        <v>0</v>
      </c>
      <c r="AO286" s="4">
        <v>0</v>
      </c>
      <c r="AP286" s="3" t="s">
        <v>58</v>
      </c>
      <c r="AQ286" s="3" t="s">
        <v>87</v>
      </c>
      <c r="AR286" s="6" t="str">
        <f>HYPERLINK("http://catalog.hathitrust.org/Record/002806527","HathiTrust Record")</f>
        <v>HathiTrust Record</v>
      </c>
      <c r="AS286" s="6" t="str">
        <f>HYPERLINK("https://creighton-primo.hosted.exlibrisgroup.com/primo-explore/search?tab=default_tab&amp;search_scope=EVERYTHING&amp;vid=01CRU&amp;lang=en_US&amp;offset=0&amp;query=any,contains,991002255709702656","Catalog Record")</f>
        <v>Catalog Record</v>
      </c>
      <c r="AT286" s="6" t="str">
        <f>HYPERLINK("http://www.worldcat.org/oclc/29223200","WorldCat Record")</f>
        <v>WorldCat Record</v>
      </c>
      <c r="AU286" s="3" t="s">
        <v>3905</v>
      </c>
      <c r="AV286" s="3" t="s">
        <v>3906</v>
      </c>
      <c r="AW286" s="3" t="s">
        <v>3907</v>
      </c>
      <c r="AX286" s="3" t="s">
        <v>3907</v>
      </c>
      <c r="AY286" s="3" t="s">
        <v>3908</v>
      </c>
      <c r="AZ286" s="3" t="s">
        <v>74</v>
      </c>
      <c r="BB286" s="3" t="s">
        <v>3909</v>
      </c>
      <c r="BC286" s="3" t="s">
        <v>3910</v>
      </c>
      <c r="BD286" s="3" t="s">
        <v>3911</v>
      </c>
    </row>
    <row r="287" spans="1:56" ht="45.75" customHeight="1" x14ac:dyDescent="0.25">
      <c r="A287" s="7" t="s">
        <v>58</v>
      </c>
      <c r="B287" s="2" t="s">
        <v>3912</v>
      </c>
      <c r="C287" s="2" t="s">
        <v>3913</v>
      </c>
      <c r="D287" s="2" t="s">
        <v>3914</v>
      </c>
      <c r="F287" s="3" t="s">
        <v>58</v>
      </c>
      <c r="G287" s="3" t="s">
        <v>59</v>
      </c>
      <c r="H287" s="3" t="s">
        <v>58</v>
      </c>
      <c r="I287" s="3" t="s">
        <v>58</v>
      </c>
      <c r="J287" s="3" t="s">
        <v>60</v>
      </c>
      <c r="K287" s="2" t="s">
        <v>3915</v>
      </c>
      <c r="L287" s="2" t="s">
        <v>3916</v>
      </c>
      <c r="M287" s="3" t="s">
        <v>189</v>
      </c>
      <c r="O287" s="3" t="s">
        <v>65</v>
      </c>
      <c r="P287" s="3" t="s">
        <v>84</v>
      </c>
      <c r="R287" s="3" t="s">
        <v>67</v>
      </c>
      <c r="S287" s="4">
        <v>6</v>
      </c>
      <c r="T287" s="4">
        <v>6</v>
      </c>
      <c r="U287" s="5" t="s">
        <v>3778</v>
      </c>
      <c r="V287" s="5" t="s">
        <v>3778</v>
      </c>
      <c r="W287" s="5" t="s">
        <v>3917</v>
      </c>
      <c r="X287" s="5" t="s">
        <v>3917</v>
      </c>
      <c r="Y287" s="4">
        <v>51</v>
      </c>
      <c r="Z287" s="4">
        <v>50</v>
      </c>
      <c r="AA287" s="4">
        <v>932</v>
      </c>
      <c r="AB287" s="4">
        <v>2</v>
      </c>
      <c r="AC287" s="4">
        <v>16</v>
      </c>
      <c r="AD287" s="4">
        <v>0</v>
      </c>
      <c r="AE287" s="4">
        <v>6</v>
      </c>
      <c r="AF287" s="4">
        <v>0</v>
      </c>
      <c r="AG287" s="4">
        <v>1</v>
      </c>
      <c r="AH287" s="4">
        <v>0</v>
      </c>
      <c r="AI287" s="4">
        <v>3</v>
      </c>
      <c r="AJ287" s="4">
        <v>0</v>
      </c>
      <c r="AK287" s="4">
        <v>0</v>
      </c>
      <c r="AL287" s="4">
        <v>0</v>
      </c>
      <c r="AM287" s="4">
        <v>2</v>
      </c>
      <c r="AN287" s="4">
        <v>0</v>
      </c>
      <c r="AO287" s="4">
        <v>0</v>
      </c>
      <c r="AP287" s="3" t="s">
        <v>58</v>
      </c>
      <c r="AQ287" s="3" t="s">
        <v>58</v>
      </c>
      <c r="AS287" s="6" t="str">
        <f>HYPERLINK("https://creighton-primo.hosted.exlibrisgroup.com/primo-explore/search?tab=default_tab&amp;search_scope=EVERYTHING&amp;vid=01CRU&amp;lang=en_US&amp;offset=0&amp;query=any,contains,991005377589702656","Catalog Record")</f>
        <v>Catalog Record</v>
      </c>
      <c r="AT287" s="6" t="str">
        <f>HYPERLINK("http://www.worldcat.org/oclc/477404131","WorldCat Record")</f>
        <v>WorldCat Record</v>
      </c>
      <c r="AU287" s="3" t="s">
        <v>3918</v>
      </c>
      <c r="AV287" s="3" t="s">
        <v>3919</v>
      </c>
      <c r="AW287" s="3" t="s">
        <v>3920</v>
      </c>
      <c r="AX287" s="3" t="s">
        <v>3920</v>
      </c>
      <c r="AY287" s="3" t="s">
        <v>3921</v>
      </c>
      <c r="AZ287" s="3" t="s">
        <v>74</v>
      </c>
      <c r="BB287" s="3" t="s">
        <v>3922</v>
      </c>
      <c r="BC287" s="3" t="s">
        <v>3923</v>
      </c>
      <c r="BD287" s="3" t="s">
        <v>3924</v>
      </c>
    </row>
    <row r="288" spans="1:56" ht="45.75" customHeight="1" x14ac:dyDescent="0.25">
      <c r="A288" s="7" t="s">
        <v>58</v>
      </c>
      <c r="B288" s="2" t="s">
        <v>3925</v>
      </c>
      <c r="C288" s="2" t="s">
        <v>3926</v>
      </c>
      <c r="D288" s="2" t="s">
        <v>3927</v>
      </c>
      <c r="F288" s="3" t="s">
        <v>58</v>
      </c>
      <c r="G288" s="3" t="s">
        <v>59</v>
      </c>
      <c r="H288" s="3" t="s">
        <v>58</v>
      </c>
      <c r="I288" s="3" t="s">
        <v>58</v>
      </c>
      <c r="J288" s="3" t="s">
        <v>60</v>
      </c>
      <c r="K288" s="2" t="s">
        <v>3928</v>
      </c>
      <c r="L288" s="2" t="s">
        <v>3929</v>
      </c>
      <c r="M288" s="3" t="s">
        <v>263</v>
      </c>
      <c r="N288" s="2" t="s">
        <v>543</v>
      </c>
      <c r="O288" s="3" t="s">
        <v>65</v>
      </c>
      <c r="P288" s="3" t="s">
        <v>3930</v>
      </c>
      <c r="R288" s="3" t="s">
        <v>67</v>
      </c>
      <c r="S288" s="4">
        <v>4</v>
      </c>
      <c r="T288" s="4">
        <v>4</v>
      </c>
      <c r="U288" s="5" t="s">
        <v>3931</v>
      </c>
      <c r="V288" s="5" t="s">
        <v>3931</v>
      </c>
      <c r="W288" s="5" t="s">
        <v>3932</v>
      </c>
      <c r="X288" s="5" t="s">
        <v>3932</v>
      </c>
      <c r="Y288" s="4">
        <v>75</v>
      </c>
      <c r="Z288" s="4">
        <v>74</v>
      </c>
      <c r="AA288" s="4">
        <v>74</v>
      </c>
      <c r="AB288" s="4">
        <v>2</v>
      </c>
      <c r="AC288" s="4">
        <v>2</v>
      </c>
      <c r="AD288" s="4">
        <v>4</v>
      </c>
      <c r="AE288" s="4">
        <v>4</v>
      </c>
      <c r="AF288" s="4">
        <v>2</v>
      </c>
      <c r="AG288" s="4">
        <v>2</v>
      </c>
      <c r="AH288" s="4">
        <v>1</v>
      </c>
      <c r="AI288" s="4">
        <v>1</v>
      </c>
      <c r="AJ288" s="4">
        <v>0</v>
      </c>
      <c r="AK288" s="4">
        <v>0</v>
      </c>
      <c r="AL288" s="4">
        <v>1</v>
      </c>
      <c r="AM288" s="4">
        <v>1</v>
      </c>
      <c r="AN288" s="4">
        <v>0</v>
      </c>
      <c r="AO288" s="4">
        <v>0</v>
      </c>
      <c r="AP288" s="3" t="s">
        <v>58</v>
      </c>
      <c r="AQ288" s="3" t="s">
        <v>58</v>
      </c>
      <c r="AS288" s="6" t="str">
        <f>HYPERLINK("https://creighton-primo.hosted.exlibrisgroup.com/primo-explore/search?tab=default_tab&amp;search_scope=EVERYTHING&amp;vid=01CRU&amp;lang=en_US&amp;offset=0&amp;query=any,contains,991002728859702656","Catalog Record")</f>
        <v>Catalog Record</v>
      </c>
      <c r="AT288" s="6" t="str">
        <f>HYPERLINK("http://www.worldcat.org/oclc/35789222","WorldCat Record")</f>
        <v>WorldCat Record</v>
      </c>
      <c r="AU288" s="3" t="s">
        <v>3933</v>
      </c>
      <c r="AV288" s="3" t="s">
        <v>3934</v>
      </c>
      <c r="AW288" s="3" t="s">
        <v>3935</v>
      </c>
      <c r="AX288" s="3" t="s">
        <v>3935</v>
      </c>
      <c r="AY288" s="3" t="s">
        <v>3936</v>
      </c>
      <c r="AZ288" s="3" t="s">
        <v>74</v>
      </c>
      <c r="BB288" s="3" t="s">
        <v>3937</v>
      </c>
      <c r="BC288" s="3" t="s">
        <v>3938</v>
      </c>
      <c r="BD288" s="3" t="s">
        <v>3939</v>
      </c>
    </row>
    <row r="289" spans="1:56" ht="45.75" customHeight="1" x14ac:dyDescent="0.25">
      <c r="A289" s="7" t="s">
        <v>58</v>
      </c>
      <c r="B289" s="2" t="s">
        <v>3940</v>
      </c>
      <c r="C289" s="2" t="s">
        <v>3941</v>
      </c>
      <c r="D289" s="2" t="s">
        <v>3942</v>
      </c>
      <c r="F289" s="3" t="s">
        <v>58</v>
      </c>
      <c r="G289" s="3" t="s">
        <v>59</v>
      </c>
      <c r="H289" s="3" t="s">
        <v>58</v>
      </c>
      <c r="I289" s="3" t="s">
        <v>58</v>
      </c>
      <c r="J289" s="3" t="s">
        <v>60</v>
      </c>
      <c r="K289" s="2" t="s">
        <v>3943</v>
      </c>
      <c r="L289" s="2" t="s">
        <v>3944</v>
      </c>
      <c r="M289" s="3" t="s">
        <v>307</v>
      </c>
      <c r="O289" s="3" t="s">
        <v>65</v>
      </c>
      <c r="P289" s="3" t="s">
        <v>587</v>
      </c>
      <c r="Q289" s="2" t="s">
        <v>3945</v>
      </c>
      <c r="R289" s="3" t="s">
        <v>67</v>
      </c>
      <c r="S289" s="4">
        <v>4</v>
      </c>
      <c r="T289" s="4">
        <v>4</v>
      </c>
      <c r="U289" s="5" t="s">
        <v>3946</v>
      </c>
      <c r="V289" s="5" t="s">
        <v>3946</v>
      </c>
      <c r="W289" s="5" t="s">
        <v>3947</v>
      </c>
      <c r="X289" s="5" t="s">
        <v>3947</v>
      </c>
      <c r="Y289" s="4">
        <v>538</v>
      </c>
      <c r="Z289" s="4">
        <v>481</v>
      </c>
      <c r="AA289" s="4">
        <v>482</v>
      </c>
      <c r="AB289" s="4">
        <v>2</v>
      </c>
      <c r="AC289" s="4">
        <v>2</v>
      </c>
      <c r="AD289" s="4">
        <v>15</v>
      </c>
      <c r="AE289" s="4">
        <v>15</v>
      </c>
      <c r="AF289" s="4">
        <v>4</v>
      </c>
      <c r="AG289" s="4">
        <v>4</v>
      </c>
      <c r="AH289" s="4">
        <v>4</v>
      </c>
      <c r="AI289" s="4">
        <v>4</v>
      </c>
      <c r="AJ289" s="4">
        <v>11</v>
      </c>
      <c r="AK289" s="4">
        <v>11</v>
      </c>
      <c r="AL289" s="4">
        <v>1</v>
      </c>
      <c r="AM289" s="4">
        <v>1</v>
      </c>
      <c r="AN289" s="4">
        <v>0</v>
      </c>
      <c r="AO289" s="4">
        <v>0</v>
      </c>
      <c r="AP289" s="3" t="s">
        <v>58</v>
      </c>
      <c r="AQ289" s="3" t="s">
        <v>58</v>
      </c>
      <c r="AS289" s="6" t="str">
        <f>HYPERLINK("https://creighton-primo.hosted.exlibrisgroup.com/primo-explore/search?tab=default_tab&amp;search_scope=EVERYTHING&amp;vid=01CRU&amp;lang=en_US&amp;offset=0&amp;query=any,contains,991002508329702656","Catalog Record")</f>
        <v>Catalog Record</v>
      </c>
      <c r="AT289" s="6" t="str">
        <f>HYPERLINK("http://www.worldcat.org/oclc/32625272","WorldCat Record")</f>
        <v>WorldCat Record</v>
      </c>
      <c r="AU289" s="3" t="s">
        <v>3948</v>
      </c>
      <c r="AV289" s="3" t="s">
        <v>3949</v>
      </c>
      <c r="AW289" s="3" t="s">
        <v>3950</v>
      </c>
      <c r="AX289" s="3" t="s">
        <v>3950</v>
      </c>
      <c r="AY289" s="3" t="s">
        <v>3951</v>
      </c>
      <c r="AZ289" s="3" t="s">
        <v>74</v>
      </c>
      <c r="BB289" s="3" t="s">
        <v>3952</v>
      </c>
      <c r="BC289" s="3" t="s">
        <v>3953</v>
      </c>
      <c r="BD289" s="3" t="s">
        <v>3954</v>
      </c>
    </row>
    <row r="290" spans="1:56" ht="45.75" customHeight="1" x14ac:dyDescent="0.25">
      <c r="A290" s="7" t="s">
        <v>58</v>
      </c>
      <c r="B290" s="2" t="s">
        <v>3955</v>
      </c>
      <c r="C290" s="2" t="s">
        <v>3956</v>
      </c>
      <c r="D290" s="2" t="s">
        <v>3957</v>
      </c>
      <c r="F290" s="3" t="s">
        <v>58</v>
      </c>
      <c r="G290" s="3" t="s">
        <v>59</v>
      </c>
      <c r="H290" s="3" t="s">
        <v>87</v>
      </c>
      <c r="I290" s="3" t="s">
        <v>58</v>
      </c>
      <c r="J290" s="3" t="s">
        <v>60</v>
      </c>
      <c r="K290" s="2" t="s">
        <v>3958</v>
      </c>
      <c r="L290" s="2" t="s">
        <v>3959</v>
      </c>
      <c r="M290" s="3" t="s">
        <v>800</v>
      </c>
      <c r="O290" s="3" t="s">
        <v>65</v>
      </c>
      <c r="P290" s="3" t="s">
        <v>175</v>
      </c>
      <c r="R290" s="3" t="s">
        <v>67</v>
      </c>
      <c r="S290" s="4">
        <v>26</v>
      </c>
      <c r="T290" s="4">
        <v>27</v>
      </c>
      <c r="U290" s="5" t="s">
        <v>3960</v>
      </c>
      <c r="V290" s="5" t="s">
        <v>3960</v>
      </c>
      <c r="W290" s="5" t="s">
        <v>3961</v>
      </c>
      <c r="X290" s="5" t="s">
        <v>3962</v>
      </c>
      <c r="Y290" s="4">
        <v>624</v>
      </c>
      <c r="Z290" s="4">
        <v>434</v>
      </c>
      <c r="AA290" s="4">
        <v>448</v>
      </c>
      <c r="AB290" s="4">
        <v>3</v>
      </c>
      <c r="AC290" s="4">
        <v>3</v>
      </c>
      <c r="AD290" s="4">
        <v>29</v>
      </c>
      <c r="AE290" s="4">
        <v>29</v>
      </c>
      <c r="AF290" s="4">
        <v>6</v>
      </c>
      <c r="AG290" s="4">
        <v>6</v>
      </c>
      <c r="AH290" s="4">
        <v>7</v>
      </c>
      <c r="AI290" s="4">
        <v>7</v>
      </c>
      <c r="AJ290" s="4">
        <v>14</v>
      </c>
      <c r="AK290" s="4">
        <v>14</v>
      </c>
      <c r="AL290" s="4">
        <v>1</v>
      </c>
      <c r="AM290" s="4">
        <v>1</v>
      </c>
      <c r="AN290" s="4">
        <v>8</v>
      </c>
      <c r="AO290" s="4">
        <v>8</v>
      </c>
      <c r="AP290" s="3" t="s">
        <v>58</v>
      </c>
      <c r="AQ290" s="3" t="s">
        <v>58</v>
      </c>
      <c r="AS290" s="6" t="str">
        <f>HYPERLINK("https://creighton-primo.hosted.exlibrisgroup.com/primo-explore/search?tab=default_tab&amp;search_scope=EVERYTHING&amp;vid=01CRU&amp;lang=en_US&amp;offset=0&amp;query=any,contains,991001645929702656","Catalog Record")</f>
        <v>Catalog Record</v>
      </c>
      <c r="AT290" s="6" t="str">
        <f>HYPERLINK("http://www.worldcat.org/oclc/21870296","WorldCat Record")</f>
        <v>WorldCat Record</v>
      </c>
      <c r="AU290" s="3" t="s">
        <v>3963</v>
      </c>
      <c r="AV290" s="3" t="s">
        <v>3964</v>
      </c>
      <c r="AW290" s="3" t="s">
        <v>3965</v>
      </c>
      <c r="AX290" s="3" t="s">
        <v>3965</v>
      </c>
      <c r="AY290" s="3" t="s">
        <v>3966</v>
      </c>
      <c r="AZ290" s="3" t="s">
        <v>74</v>
      </c>
      <c r="BB290" s="3" t="s">
        <v>3967</v>
      </c>
      <c r="BC290" s="3" t="s">
        <v>3968</v>
      </c>
      <c r="BD290" s="3" t="s">
        <v>3969</v>
      </c>
    </row>
    <row r="291" spans="1:56" ht="45.75" customHeight="1" x14ac:dyDescent="0.25">
      <c r="A291" s="7" t="s">
        <v>58</v>
      </c>
      <c r="B291" s="2" t="s">
        <v>3970</v>
      </c>
      <c r="C291" s="2" t="s">
        <v>3971</v>
      </c>
      <c r="D291" s="2" t="s">
        <v>3972</v>
      </c>
      <c r="F291" s="3" t="s">
        <v>58</v>
      </c>
      <c r="G291" s="3" t="s">
        <v>59</v>
      </c>
      <c r="H291" s="3" t="s">
        <v>58</v>
      </c>
      <c r="I291" s="3" t="s">
        <v>58</v>
      </c>
      <c r="J291" s="3" t="s">
        <v>60</v>
      </c>
      <c r="K291" s="2" t="s">
        <v>3973</v>
      </c>
      <c r="L291" s="2" t="s">
        <v>3974</v>
      </c>
      <c r="M291" s="3" t="s">
        <v>131</v>
      </c>
      <c r="O291" s="3" t="s">
        <v>65</v>
      </c>
      <c r="P291" s="3" t="s">
        <v>175</v>
      </c>
      <c r="R291" s="3" t="s">
        <v>67</v>
      </c>
      <c r="S291" s="4">
        <v>1</v>
      </c>
      <c r="T291" s="4">
        <v>1</v>
      </c>
      <c r="U291" s="5" t="s">
        <v>3975</v>
      </c>
      <c r="V291" s="5" t="s">
        <v>3975</v>
      </c>
      <c r="W291" s="5" t="s">
        <v>3975</v>
      </c>
      <c r="X291" s="5" t="s">
        <v>3975</v>
      </c>
      <c r="Y291" s="4">
        <v>96</v>
      </c>
      <c r="Z291" s="4">
        <v>33</v>
      </c>
      <c r="AA291" s="4">
        <v>35</v>
      </c>
      <c r="AB291" s="4">
        <v>1</v>
      </c>
      <c r="AC291" s="4">
        <v>1</v>
      </c>
      <c r="AD291" s="4">
        <v>2</v>
      </c>
      <c r="AE291" s="4">
        <v>2</v>
      </c>
      <c r="AF291" s="4">
        <v>0</v>
      </c>
      <c r="AG291" s="4">
        <v>0</v>
      </c>
      <c r="AH291" s="4">
        <v>1</v>
      </c>
      <c r="AI291" s="4">
        <v>1</v>
      </c>
      <c r="AJ291" s="4">
        <v>2</v>
      </c>
      <c r="AK291" s="4">
        <v>2</v>
      </c>
      <c r="AL291" s="4">
        <v>0</v>
      </c>
      <c r="AM291" s="4">
        <v>0</v>
      </c>
      <c r="AN291" s="4">
        <v>0</v>
      </c>
      <c r="AO291" s="4">
        <v>0</v>
      </c>
      <c r="AP291" s="3" t="s">
        <v>58</v>
      </c>
      <c r="AQ291" s="3" t="s">
        <v>87</v>
      </c>
      <c r="AR291" s="6" t="str">
        <f>HYPERLINK("http://catalog.hathitrust.org/Record/005597631","HathiTrust Record")</f>
        <v>HathiTrust Record</v>
      </c>
      <c r="AS291" s="6" t="str">
        <f>HYPERLINK("https://creighton-primo.hosted.exlibrisgroup.com/primo-explore/search?tab=default_tab&amp;search_scope=EVERYTHING&amp;vid=01CRU&amp;lang=en_US&amp;offset=0&amp;query=any,contains,991005292779702656","Catalog Record")</f>
        <v>Catalog Record</v>
      </c>
      <c r="AT291" s="6" t="str">
        <f>HYPERLINK("http://www.worldcat.org/oclc/68192426","WorldCat Record")</f>
        <v>WorldCat Record</v>
      </c>
      <c r="AU291" s="3" t="s">
        <v>3976</v>
      </c>
      <c r="AV291" s="3" t="s">
        <v>3977</v>
      </c>
      <c r="AW291" s="3" t="s">
        <v>3978</v>
      </c>
      <c r="AX291" s="3" t="s">
        <v>3978</v>
      </c>
      <c r="AY291" s="3" t="s">
        <v>3979</v>
      </c>
      <c r="AZ291" s="3" t="s">
        <v>74</v>
      </c>
      <c r="BB291" s="3" t="s">
        <v>3980</v>
      </c>
      <c r="BC291" s="3" t="s">
        <v>3981</v>
      </c>
      <c r="BD291" s="3" t="s">
        <v>3982</v>
      </c>
    </row>
    <row r="292" spans="1:56" ht="45.75" customHeight="1" x14ac:dyDescent="0.25">
      <c r="A292" s="7" t="s">
        <v>58</v>
      </c>
      <c r="B292" s="2" t="s">
        <v>3983</v>
      </c>
      <c r="C292" s="2" t="s">
        <v>3984</v>
      </c>
      <c r="D292" s="2" t="s">
        <v>3985</v>
      </c>
      <c r="F292" s="3" t="s">
        <v>58</v>
      </c>
      <c r="G292" s="3" t="s">
        <v>59</v>
      </c>
      <c r="H292" s="3" t="s">
        <v>58</v>
      </c>
      <c r="I292" s="3" t="s">
        <v>58</v>
      </c>
      <c r="J292" s="3" t="s">
        <v>60</v>
      </c>
      <c r="K292" s="2" t="s">
        <v>3986</v>
      </c>
      <c r="L292" s="2" t="s">
        <v>3987</v>
      </c>
      <c r="M292" s="3" t="s">
        <v>557</v>
      </c>
      <c r="O292" s="3" t="s">
        <v>65</v>
      </c>
      <c r="P292" s="3" t="s">
        <v>84</v>
      </c>
      <c r="Q292" s="2" t="s">
        <v>3988</v>
      </c>
      <c r="R292" s="3" t="s">
        <v>67</v>
      </c>
      <c r="S292" s="4">
        <v>3</v>
      </c>
      <c r="T292" s="4">
        <v>3</v>
      </c>
      <c r="U292" s="5" t="s">
        <v>3989</v>
      </c>
      <c r="V292" s="5" t="s">
        <v>3989</v>
      </c>
      <c r="W292" s="5" t="s">
        <v>3990</v>
      </c>
      <c r="X292" s="5" t="s">
        <v>3990</v>
      </c>
      <c r="Y292" s="4">
        <v>131</v>
      </c>
      <c r="Z292" s="4">
        <v>115</v>
      </c>
      <c r="AA292" s="4">
        <v>116</v>
      </c>
      <c r="AB292" s="4">
        <v>1</v>
      </c>
      <c r="AC292" s="4">
        <v>1</v>
      </c>
      <c r="AD292" s="4">
        <v>3</v>
      </c>
      <c r="AE292" s="4">
        <v>3</v>
      </c>
      <c r="AF292" s="4">
        <v>2</v>
      </c>
      <c r="AG292" s="4">
        <v>2</v>
      </c>
      <c r="AH292" s="4">
        <v>1</v>
      </c>
      <c r="AI292" s="4">
        <v>1</v>
      </c>
      <c r="AJ292" s="4">
        <v>1</v>
      </c>
      <c r="AK292" s="4">
        <v>1</v>
      </c>
      <c r="AL292" s="4">
        <v>0</v>
      </c>
      <c r="AM292" s="4">
        <v>0</v>
      </c>
      <c r="AN292" s="4">
        <v>0</v>
      </c>
      <c r="AO292" s="4">
        <v>0</v>
      </c>
      <c r="AP292" s="3" t="s">
        <v>58</v>
      </c>
      <c r="AQ292" s="3" t="s">
        <v>58</v>
      </c>
      <c r="AS292" s="6" t="str">
        <f>HYPERLINK("https://creighton-primo.hosted.exlibrisgroup.com/primo-explore/search?tab=default_tab&amp;search_scope=EVERYTHING&amp;vid=01CRU&amp;lang=en_US&amp;offset=0&amp;query=any,contains,991002155209702656","Catalog Record")</f>
        <v>Catalog Record</v>
      </c>
      <c r="AT292" s="6" t="str">
        <f>HYPERLINK("http://www.worldcat.org/oclc/27769906","WorldCat Record")</f>
        <v>WorldCat Record</v>
      </c>
      <c r="AU292" s="3" t="s">
        <v>3991</v>
      </c>
      <c r="AV292" s="3" t="s">
        <v>3992</v>
      </c>
      <c r="AW292" s="3" t="s">
        <v>3993</v>
      </c>
      <c r="AX292" s="3" t="s">
        <v>3993</v>
      </c>
      <c r="AY292" s="3" t="s">
        <v>3994</v>
      </c>
      <c r="AZ292" s="3" t="s">
        <v>74</v>
      </c>
      <c r="BB292" s="3" t="s">
        <v>3995</v>
      </c>
      <c r="BC292" s="3" t="s">
        <v>3996</v>
      </c>
      <c r="BD292" s="3" t="s">
        <v>3997</v>
      </c>
    </row>
    <row r="293" spans="1:56" ht="45.75" customHeight="1" x14ac:dyDescent="0.25">
      <c r="A293" s="7" t="s">
        <v>58</v>
      </c>
      <c r="B293" s="2" t="s">
        <v>3998</v>
      </c>
      <c r="C293" s="2" t="s">
        <v>3999</v>
      </c>
      <c r="D293" s="2" t="s">
        <v>4000</v>
      </c>
      <c r="F293" s="3" t="s">
        <v>58</v>
      </c>
      <c r="G293" s="3" t="s">
        <v>59</v>
      </c>
      <c r="H293" s="3" t="s">
        <v>58</v>
      </c>
      <c r="I293" s="3" t="s">
        <v>58</v>
      </c>
      <c r="J293" s="3" t="s">
        <v>60</v>
      </c>
      <c r="L293" s="2" t="s">
        <v>4001</v>
      </c>
      <c r="M293" s="3" t="s">
        <v>116</v>
      </c>
      <c r="O293" s="3" t="s">
        <v>65</v>
      </c>
      <c r="P293" s="3" t="s">
        <v>84</v>
      </c>
      <c r="R293" s="3" t="s">
        <v>67</v>
      </c>
      <c r="S293" s="4">
        <v>9</v>
      </c>
      <c r="T293" s="4">
        <v>9</v>
      </c>
      <c r="U293" s="5" t="s">
        <v>4002</v>
      </c>
      <c r="V293" s="5" t="s">
        <v>4002</v>
      </c>
      <c r="W293" s="5" t="s">
        <v>4003</v>
      </c>
      <c r="X293" s="5" t="s">
        <v>4003</v>
      </c>
      <c r="Y293" s="4">
        <v>205</v>
      </c>
      <c r="Z293" s="4">
        <v>173</v>
      </c>
      <c r="AA293" s="4">
        <v>209</v>
      </c>
      <c r="AB293" s="4">
        <v>1</v>
      </c>
      <c r="AC293" s="4">
        <v>1</v>
      </c>
      <c r="AD293" s="4">
        <v>6</v>
      </c>
      <c r="AE293" s="4">
        <v>6</v>
      </c>
      <c r="AF293" s="4">
        <v>1</v>
      </c>
      <c r="AG293" s="4">
        <v>1</v>
      </c>
      <c r="AH293" s="4">
        <v>0</v>
      </c>
      <c r="AI293" s="4">
        <v>0</v>
      </c>
      <c r="AJ293" s="4">
        <v>5</v>
      </c>
      <c r="AK293" s="4">
        <v>5</v>
      </c>
      <c r="AL293" s="4">
        <v>0</v>
      </c>
      <c r="AM293" s="4">
        <v>0</v>
      </c>
      <c r="AN293" s="4">
        <v>1</v>
      </c>
      <c r="AO293" s="4">
        <v>1</v>
      </c>
      <c r="AP293" s="3" t="s">
        <v>58</v>
      </c>
      <c r="AQ293" s="3" t="s">
        <v>58</v>
      </c>
      <c r="AS293" s="6" t="str">
        <f>HYPERLINK("https://creighton-primo.hosted.exlibrisgroup.com/primo-explore/search?tab=default_tab&amp;search_scope=EVERYTHING&amp;vid=01CRU&amp;lang=en_US&amp;offset=0&amp;query=any,contains,991002843889702656","Catalog Record")</f>
        <v>Catalog Record</v>
      </c>
      <c r="AT293" s="6" t="str">
        <f>HYPERLINK("http://www.worldcat.org/oclc/37464364","WorldCat Record")</f>
        <v>WorldCat Record</v>
      </c>
      <c r="AU293" s="3" t="s">
        <v>4004</v>
      </c>
      <c r="AV293" s="3" t="s">
        <v>4005</v>
      </c>
      <c r="AW293" s="3" t="s">
        <v>4006</v>
      </c>
      <c r="AX293" s="3" t="s">
        <v>4006</v>
      </c>
      <c r="AY293" s="3" t="s">
        <v>4007</v>
      </c>
      <c r="AZ293" s="3" t="s">
        <v>74</v>
      </c>
      <c r="BB293" s="3" t="s">
        <v>4008</v>
      </c>
      <c r="BC293" s="3" t="s">
        <v>4009</v>
      </c>
      <c r="BD293" s="3" t="s">
        <v>4010</v>
      </c>
    </row>
    <row r="294" spans="1:56" ht="45.75" customHeight="1" x14ac:dyDescent="0.25">
      <c r="A294" s="7" t="s">
        <v>58</v>
      </c>
      <c r="B294" s="2" t="s">
        <v>4011</v>
      </c>
      <c r="C294" s="2" t="s">
        <v>4012</v>
      </c>
      <c r="D294" s="2" t="s">
        <v>4013</v>
      </c>
      <c r="F294" s="3" t="s">
        <v>58</v>
      </c>
      <c r="G294" s="3" t="s">
        <v>59</v>
      </c>
      <c r="H294" s="3" t="s">
        <v>58</v>
      </c>
      <c r="I294" s="3" t="s">
        <v>58</v>
      </c>
      <c r="J294" s="3" t="s">
        <v>60</v>
      </c>
      <c r="L294" s="2" t="s">
        <v>4014</v>
      </c>
      <c r="M294" s="3" t="s">
        <v>573</v>
      </c>
      <c r="O294" s="3" t="s">
        <v>65</v>
      </c>
      <c r="P294" s="3" t="s">
        <v>148</v>
      </c>
      <c r="R294" s="3" t="s">
        <v>67</v>
      </c>
      <c r="S294" s="4">
        <v>6</v>
      </c>
      <c r="T294" s="4">
        <v>6</v>
      </c>
      <c r="U294" s="5" t="s">
        <v>4015</v>
      </c>
      <c r="V294" s="5" t="s">
        <v>4015</v>
      </c>
      <c r="W294" s="5" t="s">
        <v>4016</v>
      </c>
      <c r="X294" s="5" t="s">
        <v>4016</v>
      </c>
      <c r="Y294" s="4">
        <v>204</v>
      </c>
      <c r="Z294" s="4">
        <v>170</v>
      </c>
      <c r="AA294" s="4">
        <v>176</v>
      </c>
      <c r="AB294" s="4">
        <v>3</v>
      </c>
      <c r="AC294" s="4">
        <v>3</v>
      </c>
      <c r="AD294" s="4">
        <v>7</v>
      </c>
      <c r="AE294" s="4">
        <v>7</v>
      </c>
      <c r="AF294" s="4">
        <v>1</v>
      </c>
      <c r="AG294" s="4">
        <v>1</v>
      </c>
      <c r="AH294" s="4">
        <v>2</v>
      </c>
      <c r="AI294" s="4">
        <v>2</v>
      </c>
      <c r="AJ294" s="4">
        <v>4</v>
      </c>
      <c r="AK294" s="4">
        <v>4</v>
      </c>
      <c r="AL294" s="4">
        <v>2</v>
      </c>
      <c r="AM294" s="4">
        <v>2</v>
      </c>
      <c r="AN294" s="4">
        <v>0</v>
      </c>
      <c r="AO294" s="4">
        <v>0</v>
      </c>
      <c r="AP294" s="3" t="s">
        <v>58</v>
      </c>
      <c r="AQ294" s="3" t="s">
        <v>87</v>
      </c>
      <c r="AR294" s="6" t="str">
        <f>HYPERLINK("http://catalog.hathitrust.org/Record/004314480","HathiTrust Record")</f>
        <v>HathiTrust Record</v>
      </c>
      <c r="AS294" s="6" t="str">
        <f>HYPERLINK("https://creighton-primo.hosted.exlibrisgroup.com/primo-explore/search?tab=default_tab&amp;search_scope=EVERYTHING&amp;vid=01CRU&amp;lang=en_US&amp;offset=0&amp;query=any,contains,991004232639702656","Catalog Record")</f>
        <v>Catalog Record</v>
      </c>
      <c r="AT294" s="6" t="str">
        <f>HYPERLINK("http://www.worldcat.org/oclc/49902092","WorldCat Record")</f>
        <v>WorldCat Record</v>
      </c>
      <c r="AU294" s="3" t="s">
        <v>4017</v>
      </c>
      <c r="AV294" s="3" t="s">
        <v>4018</v>
      </c>
      <c r="AW294" s="3" t="s">
        <v>4019</v>
      </c>
      <c r="AX294" s="3" t="s">
        <v>4019</v>
      </c>
      <c r="AY294" s="3" t="s">
        <v>4020</v>
      </c>
      <c r="AZ294" s="3" t="s">
        <v>74</v>
      </c>
      <c r="BB294" s="3" t="s">
        <v>4021</v>
      </c>
      <c r="BC294" s="3" t="s">
        <v>4022</v>
      </c>
      <c r="BD294" s="3" t="s">
        <v>4023</v>
      </c>
    </row>
    <row r="295" spans="1:56" ht="45.75" customHeight="1" x14ac:dyDescent="0.25">
      <c r="A295" s="7" t="s">
        <v>58</v>
      </c>
      <c r="B295" s="2" t="s">
        <v>4024</v>
      </c>
      <c r="C295" s="2" t="s">
        <v>4025</v>
      </c>
      <c r="D295" s="2" t="s">
        <v>4026</v>
      </c>
      <c r="F295" s="3" t="s">
        <v>58</v>
      </c>
      <c r="G295" s="3" t="s">
        <v>59</v>
      </c>
      <c r="H295" s="3" t="s">
        <v>58</v>
      </c>
      <c r="I295" s="3" t="s">
        <v>58</v>
      </c>
      <c r="J295" s="3" t="s">
        <v>60</v>
      </c>
      <c r="L295" s="2" t="s">
        <v>4027</v>
      </c>
      <c r="M295" s="3" t="s">
        <v>290</v>
      </c>
      <c r="O295" s="3" t="s">
        <v>65</v>
      </c>
      <c r="P295" s="3" t="s">
        <v>336</v>
      </c>
      <c r="R295" s="3" t="s">
        <v>67</v>
      </c>
      <c r="S295" s="4">
        <v>8</v>
      </c>
      <c r="T295" s="4">
        <v>8</v>
      </c>
      <c r="U295" s="5" t="s">
        <v>4002</v>
      </c>
      <c r="V295" s="5" t="s">
        <v>4002</v>
      </c>
      <c r="W295" s="5" t="s">
        <v>4028</v>
      </c>
      <c r="X295" s="5" t="s">
        <v>4028</v>
      </c>
      <c r="Y295" s="4">
        <v>1658</v>
      </c>
      <c r="Z295" s="4">
        <v>1656</v>
      </c>
      <c r="AA295" s="4">
        <v>2143</v>
      </c>
      <c r="AB295" s="4">
        <v>26</v>
      </c>
      <c r="AC295" s="4">
        <v>29</v>
      </c>
      <c r="AD295" s="4">
        <v>41</v>
      </c>
      <c r="AE295" s="4">
        <v>53</v>
      </c>
      <c r="AF295" s="4">
        <v>13</v>
      </c>
      <c r="AG295" s="4">
        <v>15</v>
      </c>
      <c r="AH295" s="4">
        <v>4</v>
      </c>
      <c r="AI295" s="4">
        <v>6</v>
      </c>
      <c r="AJ295" s="4">
        <v>18</v>
      </c>
      <c r="AK295" s="4">
        <v>21</v>
      </c>
      <c r="AL295" s="4">
        <v>12</v>
      </c>
      <c r="AM295" s="4">
        <v>13</v>
      </c>
      <c r="AN295" s="4">
        <v>0</v>
      </c>
      <c r="AO295" s="4">
        <v>6</v>
      </c>
      <c r="AP295" s="3" t="s">
        <v>58</v>
      </c>
      <c r="AQ295" s="3" t="s">
        <v>87</v>
      </c>
      <c r="AR295" s="6" t="str">
        <f>HYPERLINK("http://catalog.hathitrust.org/Record/003590207","HathiTrust Record")</f>
        <v>HathiTrust Record</v>
      </c>
      <c r="AS295" s="6" t="str">
        <f>HYPERLINK("https://creighton-primo.hosted.exlibrisgroup.com/primo-explore/search?tab=default_tab&amp;search_scope=EVERYTHING&amp;vid=01CRU&amp;lang=en_US&amp;offset=0&amp;query=any,contains,991003531459702656","Catalog Record")</f>
        <v>Catalog Record</v>
      </c>
      <c r="AT295" s="6" t="str">
        <f>HYPERLINK("http://www.worldcat.org/oclc/46764144","WorldCat Record")</f>
        <v>WorldCat Record</v>
      </c>
      <c r="AU295" s="3" t="s">
        <v>4029</v>
      </c>
      <c r="AV295" s="3" t="s">
        <v>4030</v>
      </c>
      <c r="AW295" s="3" t="s">
        <v>4031</v>
      </c>
      <c r="AX295" s="3" t="s">
        <v>4031</v>
      </c>
      <c r="AY295" s="3" t="s">
        <v>4032</v>
      </c>
      <c r="AZ295" s="3" t="s">
        <v>74</v>
      </c>
      <c r="BB295" s="3" t="s">
        <v>4033</v>
      </c>
      <c r="BC295" s="3" t="s">
        <v>4034</v>
      </c>
      <c r="BD295" s="3" t="s">
        <v>4035</v>
      </c>
    </row>
    <row r="296" spans="1:56" ht="45.75" customHeight="1" x14ac:dyDescent="0.25">
      <c r="A296" s="7" t="s">
        <v>58</v>
      </c>
      <c r="B296" s="2" t="s">
        <v>4036</v>
      </c>
      <c r="C296" s="2" t="s">
        <v>4037</v>
      </c>
      <c r="D296" s="2" t="s">
        <v>4038</v>
      </c>
      <c r="F296" s="3" t="s">
        <v>58</v>
      </c>
      <c r="G296" s="3" t="s">
        <v>59</v>
      </c>
      <c r="H296" s="3" t="s">
        <v>58</v>
      </c>
      <c r="I296" s="3" t="s">
        <v>58</v>
      </c>
      <c r="J296" s="3" t="s">
        <v>60</v>
      </c>
      <c r="L296" s="2" t="s">
        <v>4039</v>
      </c>
      <c r="M296" s="3" t="s">
        <v>1088</v>
      </c>
      <c r="O296" s="3" t="s">
        <v>65</v>
      </c>
      <c r="P296" s="3" t="s">
        <v>84</v>
      </c>
      <c r="R296" s="3" t="s">
        <v>67</v>
      </c>
      <c r="S296" s="4">
        <v>43</v>
      </c>
      <c r="T296" s="4">
        <v>43</v>
      </c>
      <c r="U296" s="5" t="s">
        <v>4002</v>
      </c>
      <c r="V296" s="5" t="s">
        <v>4002</v>
      </c>
      <c r="W296" s="5" t="s">
        <v>4040</v>
      </c>
      <c r="X296" s="5" t="s">
        <v>4040</v>
      </c>
      <c r="Y296" s="4">
        <v>287</v>
      </c>
      <c r="Z296" s="4">
        <v>237</v>
      </c>
      <c r="AA296" s="4">
        <v>269</v>
      </c>
      <c r="AB296" s="4">
        <v>1</v>
      </c>
      <c r="AC296" s="4">
        <v>1</v>
      </c>
      <c r="AD296" s="4">
        <v>6</v>
      </c>
      <c r="AE296" s="4">
        <v>6</v>
      </c>
      <c r="AF296" s="4">
        <v>2</v>
      </c>
      <c r="AG296" s="4">
        <v>2</v>
      </c>
      <c r="AH296" s="4">
        <v>2</v>
      </c>
      <c r="AI296" s="4">
        <v>2</v>
      </c>
      <c r="AJ296" s="4">
        <v>3</v>
      </c>
      <c r="AK296" s="4">
        <v>3</v>
      </c>
      <c r="AL296" s="4">
        <v>0</v>
      </c>
      <c r="AM296" s="4">
        <v>0</v>
      </c>
      <c r="AN296" s="4">
        <v>0</v>
      </c>
      <c r="AO296" s="4">
        <v>0</v>
      </c>
      <c r="AP296" s="3" t="s">
        <v>58</v>
      </c>
      <c r="AQ296" s="3" t="s">
        <v>87</v>
      </c>
      <c r="AR296" s="6" t="str">
        <f>HYPERLINK("http://catalog.hathitrust.org/Record/000823940","HathiTrust Record")</f>
        <v>HathiTrust Record</v>
      </c>
      <c r="AS296" s="6" t="str">
        <f>HYPERLINK("https://creighton-primo.hosted.exlibrisgroup.com/primo-explore/search?tab=default_tab&amp;search_scope=EVERYTHING&amp;vid=01CRU&amp;lang=en_US&amp;offset=0&amp;query=any,contains,991000562709702656","Catalog Record")</f>
        <v>Catalog Record</v>
      </c>
      <c r="AT296" s="6" t="str">
        <f>HYPERLINK("http://www.worldcat.org/oclc/11599455","WorldCat Record")</f>
        <v>WorldCat Record</v>
      </c>
      <c r="AU296" s="3" t="s">
        <v>4041</v>
      </c>
      <c r="AV296" s="3" t="s">
        <v>4042</v>
      </c>
      <c r="AW296" s="3" t="s">
        <v>4043</v>
      </c>
      <c r="AX296" s="3" t="s">
        <v>4043</v>
      </c>
      <c r="AY296" s="3" t="s">
        <v>4044</v>
      </c>
      <c r="AZ296" s="3" t="s">
        <v>74</v>
      </c>
      <c r="BB296" s="3" t="s">
        <v>4045</v>
      </c>
      <c r="BC296" s="3" t="s">
        <v>4046</v>
      </c>
      <c r="BD296" s="3" t="s">
        <v>4047</v>
      </c>
    </row>
    <row r="297" spans="1:56" ht="45.75" customHeight="1" x14ac:dyDescent="0.25">
      <c r="A297" s="7" t="s">
        <v>58</v>
      </c>
      <c r="B297" s="2" t="s">
        <v>4048</v>
      </c>
      <c r="C297" s="2" t="s">
        <v>4049</v>
      </c>
      <c r="D297" s="2" t="s">
        <v>4050</v>
      </c>
      <c r="F297" s="3" t="s">
        <v>58</v>
      </c>
      <c r="G297" s="3" t="s">
        <v>59</v>
      </c>
      <c r="H297" s="3" t="s">
        <v>58</v>
      </c>
      <c r="I297" s="3" t="s">
        <v>58</v>
      </c>
      <c r="J297" s="3" t="s">
        <v>60</v>
      </c>
      <c r="K297" s="2" t="s">
        <v>4051</v>
      </c>
      <c r="L297" s="2" t="s">
        <v>4052</v>
      </c>
      <c r="M297" s="3" t="s">
        <v>203</v>
      </c>
      <c r="N297" s="2" t="s">
        <v>4053</v>
      </c>
      <c r="O297" s="3" t="s">
        <v>65</v>
      </c>
      <c r="P297" s="3" t="s">
        <v>84</v>
      </c>
      <c r="R297" s="3" t="s">
        <v>67</v>
      </c>
      <c r="S297" s="4">
        <v>4</v>
      </c>
      <c r="T297" s="4">
        <v>4</v>
      </c>
      <c r="U297" s="5" t="s">
        <v>4054</v>
      </c>
      <c r="V297" s="5" t="s">
        <v>4054</v>
      </c>
      <c r="W297" s="5" t="s">
        <v>4055</v>
      </c>
      <c r="X297" s="5" t="s">
        <v>4055</v>
      </c>
      <c r="Y297" s="4">
        <v>687</v>
      </c>
      <c r="Z297" s="4">
        <v>650</v>
      </c>
      <c r="AA297" s="4">
        <v>751</v>
      </c>
      <c r="AB297" s="4">
        <v>3</v>
      </c>
      <c r="AC297" s="4">
        <v>5</v>
      </c>
      <c r="AD297" s="4">
        <v>14</v>
      </c>
      <c r="AE297" s="4">
        <v>17</v>
      </c>
      <c r="AF297" s="4">
        <v>8</v>
      </c>
      <c r="AG297" s="4">
        <v>9</v>
      </c>
      <c r="AH297" s="4">
        <v>2</v>
      </c>
      <c r="AI297" s="4">
        <v>2</v>
      </c>
      <c r="AJ297" s="4">
        <v>6</v>
      </c>
      <c r="AK297" s="4">
        <v>6</v>
      </c>
      <c r="AL297" s="4">
        <v>2</v>
      </c>
      <c r="AM297" s="4">
        <v>4</v>
      </c>
      <c r="AN297" s="4">
        <v>0</v>
      </c>
      <c r="AO297" s="4">
        <v>0</v>
      </c>
      <c r="AP297" s="3" t="s">
        <v>58</v>
      </c>
      <c r="AQ297" s="3" t="s">
        <v>58</v>
      </c>
      <c r="AS297" s="6" t="str">
        <f>HYPERLINK("https://creighton-primo.hosted.exlibrisgroup.com/primo-explore/search?tab=default_tab&amp;search_scope=EVERYTHING&amp;vid=01CRU&amp;lang=en_US&amp;offset=0&amp;query=any,contains,991003933599702656","Catalog Record")</f>
        <v>Catalog Record</v>
      </c>
      <c r="AT297" s="6" t="str">
        <f>HYPERLINK("http://www.worldcat.org/oclc/50184840","WorldCat Record")</f>
        <v>WorldCat Record</v>
      </c>
      <c r="AU297" s="3" t="s">
        <v>4056</v>
      </c>
      <c r="AV297" s="3" t="s">
        <v>4057</v>
      </c>
      <c r="AW297" s="3" t="s">
        <v>4058</v>
      </c>
      <c r="AX297" s="3" t="s">
        <v>4058</v>
      </c>
      <c r="AY297" s="3" t="s">
        <v>4059</v>
      </c>
      <c r="AZ297" s="3" t="s">
        <v>74</v>
      </c>
      <c r="BB297" s="3" t="s">
        <v>4060</v>
      </c>
      <c r="BC297" s="3" t="s">
        <v>4061</v>
      </c>
      <c r="BD297" s="3" t="s">
        <v>4062</v>
      </c>
    </row>
    <row r="298" spans="1:56" ht="45.75" customHeight="1" x14ac:dyDescent="0.25">
      <c r="A298" s="7" t="s">
        <v>58</v>
      </c>
      <c r="B298" s="2" t="s">
        <v>4063</v>
      </c>
      <c r="C298" s="2" t="s">
        <v>4064</v>
      </c>
      <c r="D298" s="2" t="s">
        <v>4065</v>
      </c>
      <c r="F298" s="3" t="s">
        <v>58</v>
      </c>
      <c r="G298" s="3" t="s">
        <v>59</v>
      </c>
      <c r="H298" s="3" t="s">
        <v>58</v>
      </c>
      <c r="I298" s="3" t="s">
        <v>58</v>
      </c>
      <c r="J298" s="3" t="s">
        <v>60</v>
      </c>
      <c r="K298" s="2" t="s">
        <v>4066</v>
      </c>
      <c r="L298" s="2" t="s">
        <v>4067</v>
      </c>
      <c r="M298" s="3" t="s">
        <v>100</v>
      </c>
      <c r="N298" s="2" t="s">
        <v>1624</v>
      </c>
      <c r="O298" s="3" t="s">
        <v>65</v>
      </c>
      <c r="P298" s="3" t="s">
        <v>2800</v>
      </c>
      <c r="Q298" s="2" t="s">
        <v>4068</v>
      </c>
      <c r="R298" s="3" t="s">
        <v>67</v>
      </c>
      <c r="S298" s="4">
        <v>53</v>
      </c>
      <c r="T298" s="4">
        <v>53</v>
      </c>
      <c r="U298" s="5" t="s">
        <v>4069</v>
      </c>
      <c r="V298" s="5" t="s">
        <v>4069</v>
      </c>
      <c r="W298" s="5" t="s">
        <v>4070</v>
      </c>
      <c r="X298" s="5" t="s">
        <v>4070</v>
      </c>
      <c r="Y298" s="4">
        <v>174</v>
      </c>
      <c r="Z298" s="4">
        <v>145</v>
      </c>
      <c r="AA298" s="4">
        <v>306</v>
      </c>
      <c r="AB298" s="4">
        <v>2</v>
      </c>
      <c r="AC298" s="4">
        <v>3</v>
      </c>
      <c r="AD298" s="4">
        <v>7</v>
      </c>
      <c r="AE298" s="4">
        <v>9</v>
      </c>
      <c r="AF298" s="4">
        <v>5</v>
      </c>
      <c r="AG298" s="4">
        <v>6</v>
      </c>
      <c r="AH298" s="4">
        <v>0</v>
      </c>
      <c r="AI298" s="4">
        <v>0</v>
      </c>
      <c r="AJ298" s="4">
        <v>3</v>
      </c>
      <c r="AK298" s="4">
        <v>4</v>
      </c>
      <c r="AL298" s="4">
        <v>1</v>
      </c>
      <c r="AM298" s="4">
        <v>1</v>
      </c>
      <c r="AN298" s="4">
        <v>0</v>
      </c>
      <c r="AO298" s="4">
        <v>0</v>
      </c>
      <c r="AP298" s="3" t="s">
        <v>58</v>
      </c>
      <c r="AQ298" s="3" t="s">
        <v>58</v>
      </c>
      <c r="AS298" s="6" t="str">
        <f>HYPERLINK("https://creighton-primo.hosted.exlibrisgroup.com/primo-explore/search?tab=default_tab&amp;search_scope=EVERYTHING&amp;vid=01CRU&amp;lang=en_US&amp;offset=0&amp;query=any,contains,991003693339702656","Catalog Record")</f>
        <v>Catalog Record</v>
      </c>
      <c r="AT298" s="6" t="str">
        <f>HYPERLINK("http://www.worldcat.org/oclc/1323905","WorldCat Record")</f>
        <v>WorldCat Record</v>
      </c>
      <c r="AU298" s="3" t="s">
        <v>4071</v>
      </c>
      <c r="AV298" s="3" t="s">
        <v>4072</v>
      </c>
      <c r="AW298" s="3" t="s">
        <v>4073</v>
      </c>
      <c r="AX298" s="3" t="s">
        <v>4073</v>
      </c>
      <c r="AY298" s="3" t="s">
        <v>4074</v>
      </c>
      <c r="AZ298" s="3" t="s">
        <v>74</v>
      </c>
      <c r="BB298" s="3" t="s">
        <v>4075</v>
      </c>
      <c r="BC298" s="3" t="s">
        <v>4076</v>
      </c>
      <c r="BD298" s="3" t="s">
        <v>4077</v>
      </c>
    </row>
    <row r="299" spans="1:56" ht="45.75" customHeight="1" x14ac:dyDescent="0.25">
      <c r="A299" s="7" t="s">
        <v>58</v>
      </c>
      <c r="B299" s="2" t="s">
        <v>4078</v>
      </c>
      <c r="C299" s="2" t="s">
        <v>4079</v>
      </c>
      <c r="D299" s="2" t="s">
        <v>4080</v>
      </c>
      <c r="F299" s="3" t="s">
        <v>58</v>
      </c>
      <c r="G299" s="3" t="s">
        <v>59</v>
      </c>
      <c r="H299" s="3" t="s">
        <v>58</v>
      </c>
      <c r="I299" s="3" t="s">
        <v>58</v>
      </c>
      <c r="J299" s="3" t="s">
        <v>60</v>
      </c>
      <c r="K299" s="2" t="s">
        <v>4081</v>
      </c>
      <c r="L299" s="2" t="s">
        <v>4082</v>
      </c>
      <c r="M299" s="3" t="s">
        <v>2324</v>
      </c>
      <c r="O299" s="3" t="s">
        <v>65</v>
      </c>
      <c r="P299" s="3" t="s">
        <v>84</v>
      </c>
      <c r="R299" s="3" t="s">
        <v>67</v>
      </c>
      <c r="S299" s="4">
        <v>41</v>
      </c>
      <c r="T299" s="4">
        <v>41</v>
      </c>
      <c r="U299" s="5" t="s">
        <v>4083</v>
      </c>
      <c r="V299" s="5" t="s">
        <v>4083</v>
      </c>
      <c r="W299" s="5" t="s">
        <v>4040</v>
      </c>
      <c r="X299" s="5" t="s">
        <v>4040</v>
      </c>
      <c r="Y299" s="4">
        <v>560</v>
      </c>
      <c r="Z299" s="4">
        <v>500</v>
      </c>
      <c r="AA299" s="4">
        <v>505</v>
      </c>
      <c r="AB299" s="4">
        <v>4</v>
      </c>
      <c r="AC299" s="4">
        <v>4</v>
      </c>
      <c r="AD299" s="4">
        <v>20</v>
      </c>
      <c r="AE299" s="4">
        <v>20</v>
      </c>
      <c r="AF299" s="4">
        <v>10</v>
      </c>
      <c r="AG299" s="4">
        <v>10</v>
      </c>
      <c r="AH299" s="4">
        <v>2</v>
      </c>
      <c r="AI299" s="4">
        <v>2</v>
      </c>
      <c r="AJ299" s="4">
        <v>10</v>
      </c>
      <c r="AK299" s="4">
        <v>10</v>
      </c>
      <c r="AL299" s="4">
        <v>3</v>
      </c>
      <c r="AM299" s="4">
        <v>3</v>
      </c>
      <c r="AN299" s="4">
        <v>0</v>
      </c>
      <c r="AO299" s="4">
        <v>0</v>
      </c>
      <c r="AP299" s="3" t="s">
        <v>58</v>
      </c>
      <c r="AQ299" s="3" t="s">
        <v>58</v>
      </c>
      <c r="AS299" s="6" t="str">
        <f>HYPERLINK("https://creighton-primo.hosted.exlibrisgroup.com/primo-explore/search?tab=default_tab&amp;search_scope=EVERYTHING&amp;vid=01CRU&amp;lang=en_US&amp;offset=0&amp;query=any,contains,991000165589702656","Catalog Record")</f>
        <v>Catalog Record</v>
      </c>
      <c r="AT299" s="6" t="str">
        <f>HYPERLINK("http://www.worldcat.org/oclc/9283180","WorldCat Record")</f>
        <v>WorldCat Record</v>
      </c>
      <c r="AU299" s="3" t="s">
        <v>4084</v>
      </c>
      <c r="AV299" s="3" t="s">
        <v>4085</v>
      </c>
      <c r="AW299" s="3" t="s">
        <v>4086</v>
      </c>
      <c r="AX299" s="3" t="s">
        <v>4086</v>
      </c>
      <c r="AY299" s="3" t="s">
        <v>4087</v>
      </c>
      <c r="AZ299" s="3" t="s">
        <v>74</v>
      </c>
      <c r="BB299" s="3" t="s">
        <v>4088</v>
      </c>
      <c r="BC299" s="3" t="s">
        <v>4089</v>
      </c>
      <c r="BD299" s="3" t="s">
        <v>4090</v>
      </c>
    </row>
    <row r="300" spans="1:56" ht="45.75" customHeight="1" x14ac:dyDescent="0.25">
      <c r="A300" s="7" t="s">
        <v>58</v>
      </c>
      <c r="B300" s="2" t="s">
        <v>4091</v>
      </c>
      <c r="C300" s="2" t="s">
        <v>4092</v>
      </c>
      <c r="D300" s="2" t="s">
        <v>4093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60</v>
      </c>
      <c r="K300" s="2" t="s">
        <v>4094</v>
      </c>
      <c r="L300" s="2" t="s">
        <v>4095</v>
      </c>
      <c r="M300" s="3" t="s">
        <v>1662</v>
      </c>
      <c r="O300" s="3" t="s">
        <v>65</v>
      </c>
      <c r="P300" s="3" t="s">
        <v>84</v>
      </c>
      <c r="Q300" s="2" t="s">
        <v>4096</v>
      </c>
      <c r="R300" s="3" t="s">
        <v>67</v>
      </c>
      <c r="S300" s="4">
        <v>22</v>
      </c>
      <c r="T300" s="4">
        <v>22</v>
      </c>
      <c r="U300" s="5" t="s">
        <v>4097</v>
      </c>
      <c r="V300" s="5" t="s">
        <v>4097</v>
      </c>
      <c r="W300" s="5" t="s">
        <v>4098</v>
      </c>
      <c r="X300" s="5" t="s">
        <v>4098</v>
      </c>
      <c r="Y300" s="4">
        <v>629</v>
      </c>
      <c r="Z300" s="4">
        <v>515</v>
      </c>
      <c r="AA300" s="4">
        <v>549</v>
      </c>
      <c r="AB300" s="4">
        <v>8</v>
      </c>
      <c r="AC300" s="4">
        <v>8</v>
      </c>
      <c r="AD300" s="4">
        <v>34</v>
      </c>
      <c r="AE300" s="4">
        <v>35</v>
      </c>
      <c r="AF300" s="4">
        <v>12</v>
      </c>
      <c r="AG300" s="4">
        <v>12</v>
      </c>
      <c r="AH300" s="4">
        <v>7</v>
      </c>
      <c r="AI300" s="4">
        <v>7</v>
      </c>
      <c r="AJ300" s="4">
        <v>15</v>
      </c>
      <c r="AK300" s="4">
        <v>16</v>
      </c>
      <c r="AL300" s="4">
        <v>7</v>
      </c>
      <c r="AM300" s="4">
        <v>7</v>
      </c>
      <c r="AN300" s="4">
        <v>1</v>
      </c>
      <c r="AO300" s="4">
        <v>1</v>
      </c>
      <c r="AP300" s="3" t="s">
        <v>58</v>
      </c>
      <c r="AQ300" s="3" t="s">
        <v>87</v>
      </c>
      <c r="AR300" s="6" t="str">
        <f>HYPERLINK("http://catalog.hathitrust.org/Record/000148118","HathiTrust Record")</f>
        <v>HathiTrust Record</v>
      </c>
      <c r="AS300" s="6" t="str">
        <f>HYPERLINK("https://creighton-primo.hosted.exlibrisgroup.com/primo-explore/search?tab=default_tab&amp;search_scope=EVERYTHING&amp;vid=01CRU&amp;lang=en_US&amp;offset=0&amp;query=any,contains,991002862279702656","Catalog Record")</f>
        <v>Catalog Record</v>
      </c>
      <c r="AT300" s="6" t="str">
        <f>HYPERLINK("http://www.worldcat.org/oclc/494161","WorldCat Record")</f>
        <v>WorldCat Record</v>
      </c>
      <c r="AU300" s="3" t="s">
        <v>4099</v>
      </c>
      <c r="AV300" s="3" t="s">
        <v>4100</v>
      </c>
      <c r="AW300" s="3" t="s">
        <v>4101</v>
      </c>
      <c r="AX300" s="3" t="s">
        <v>4101</v>
      </c>
      <c r="AY300" s="3" t="s">
        <v>4102</v>
      </c>
      <c r="AZ300" s="3" t="s">
        <v>74</v>
      </c>
      <c r="BC300" s="3" t="s">
        <v>4103</v>
      </c>
      <c r="BD300" s="3" t="s">
        <v>4104</v>
      </c>
    </row>
    <row r="301" spans="1:56" ht="45.75" customHeight="1" x14ac:dyDescent="0.25">
      <c r="A301" s="7" t="s">
        <v>58</v>
      </c>
      <c r="B301" s="2" t="s">
        <v>4105</v>
      </c>
      <c r="C301" s="2" t="s">
        <v>4106</v>
      </c>
      <c r="D301" s="2" t="s">
        <v>4107</v>
      </c>
      <c r="F301" s="3" t="s">
        <v>58</v>
      </c>
      <c r="G301" s="3" t="s">
        <v>59</v>
      </c>
      <c r="H301" s="3" t="s">
        <v>58</v>
      </c>
      <c r="I301" s="3" t="s">
        <v>58</v>
      </c>
      <c r="J301" s="3" t="s">
        <v>60</v>
      </c>
      <c r="K301" s="2" t="s">
        <v>4108</v>
      </c>
      <c r="L301" s="2" t="s">
        <v>1101</v>
      </c>
      <c r="M301" s="3" t="s">
        <v>713</v>
      </c>
      <c r="O301" s="3" t="s">
        <v>65</v>
      </c>
      <c r="P301" s="3" t="s">
        <v>84</v>
      </c>
      <c r="R301" s="3" t="s">
        <v>67</v>
      </c>
      <c r="S301" s="4">
        <v>63</v>
      </c>
      <c r="T301" s="4">
        <v>63</v>
      </c>
      <c r="U301" s="5" t="s">
        <v>4069</v>
      </c>
      <c r="V301" s="5" t="s">
        <v>4069</v>
      </c>
      <c r="W301" s="5" t="s">
        <v>4109</v>
      </c>
      <c r="X301" s="5" t="s">
        <v>4109</v>
      </c>
      <c r="Y301" s="4">
        <v>842</v>
      </c>
      <c r="Z301" s="4">
        <v>760</v>
      </c>
      <c r="AA301" s="4">
        <v>921</v>
      </c>
      <c r="AB301" s="4">
        <v>6</v>
      </c>
      <c r="AC301" s="4">
        <v>7</v>
      </c>
      <c r="AD301" s="4">
        <v>29</v>
      </c>
      <c r="AE301" s="4">
        <v>36</v>
      </c>
      <c r="AF301" s="4">
        <v>12</v>
      </c>
      <c r="AG301" s="4">
        <v>16</v>
      </c>
      <c r="AH301" s="4">
        <v>5</v>
      </c>
      <c r="AI301" s="4">
        <v>5</v>
      </c>
      <c r="AJ301" s="4">
        <v>11</v>
      </c>
      <c r="AK301" s="4">
        <v>15</v>
      </c>
      <c r="AL301" s="4">
        <v>5</v>
      </c>
      <c r="AM301" s="4">
        <v>6</v>
      </c>
      <c r="AN301" s="4">
        <v>0</v>
      </c>
      <c r="AO301" s="4">
        <v>0</v>
      </c>
      <c r="AP301" s="3" t="s">
        <v>58</v>
      </c>
      <c r="AQ301" s="3" t="s">
        <v>58</v>
      </c>
      <c r="AS301" s="6" t="str">
        <f>HYPERLINK("https://creighton-primo.hosted.exlibrisgroup.com/primo-explore/search?tab=default_tab&amp;search_scope=EVERYTHING&amp;vid=01CRU&amp;lang=en_US&amp;offset=0&amp;query=any,contains,991005139959702656","Catalog Record")</f>
        <v>Catalog Record</v>
      </c>
      <c r="AT301" s="6" t="str">
        <f>HYPERLINK("http://www.worldcat.org/oclc/7597683","WorldCat Record")</f>
        <v>WorldCat Record</v>
      </c>
      <c r="AU301" s="3" t="s">
        <v>4110</v>
      </c>
      <c r="AV301" s="3" t="s">
        <v>4111</v>
      </c>
      <c r="AW301" s="3" t="s">
        <v>4112</v>
      </c>
      <c r="AX301" s="3" t="s">
        <v>4112</v>
      </c>
      <c r="AY301" s="3" t="s">
        <v>4113</v>
      </c>
      <c r="AZ301" s="3" t="s">
        <v>74</v>
      </c>
      <c r="BB301" s="3" t="s">
        <v>4114</v>
      </c>
      <c r="BC301" s="3" t="s">
        <v>4115</v>
      </c>
      <c r="BD301" s="3" t="s">
        <v>4116</v>
      </c>
    </row>
    <row r="302" spans="1:56" ht="45.75" customHeight="1" x14ac:dyDescent="0.25">
      <c r="A302" s="7" t="s">
        <v>58</v>
      </c>
      <c r="B302" s="2" t="s">
        <v>4117</v>
      </c>
      <c r="C302" s="2" t="s">
        <v>4118</v>
      </c>
      <c r="D302" s="2" t="s">
        <v>4119</v>
      </c>
      <c r="F302" s="3" t="s">
        <v>58</v>
      </c>
      <c r="G302" s="3" t="s">
        <v>59</v>
      </c>
      <c r="H302" s="3" t="s">
        <v>58</v>
      </c>
      <c r="I302" s="3" t="s">
        <v>58</v>
      </c>
      <c r="J302" s="3" t="s">
        <v>60</v>
      </c>
      <c r="K302" s="2" t="s">
        <v>4120</v>
      </c>
      <c r="L302" s="2" t="s">
        <v>4121</v>
      </c>
      <c r="M302" s="3" t="s">
        <v>1419</v>
      </c>
      <c r="O302" s="3" t="s">
        <v>65</v>
      </c>
      <c r="P302" s="3" t="s">
        <v>3930</v>
      </c>
      <c r="R302" s="3" t="s">
        <v>67</v>
      </c>
      <c r="S302" s="4">
        <v>39</v>
      </c>
      <c r="T302" s="4">
        <v>39</v>
      </c>
      <c r="U302" s="5" t="s">
        <v>4083</v>
      </c>
      <c r="V302" s="5" t="s">
        <v>4083</v>
      </c>
      <c r="W302" s="5" t="s">
        <v>4122</v>
      </c>
      <c r="X302" s="5" t="s">
        <v>4122</v>
      </c>
      <c r="Y302" s="4">
        <v>107</v>
      </c>
      <c r="Z302" s="4">
        <v>96</v>
      </c>
      <c r="AA302" s="4">
        <v>101</v>
      </c>
      <c r="AB302" s="4">
        <v>2</v>
      </c>
      <c r="AC302" s="4">
        <v>2</v>
      </c>
      <c r="AD302" s="4">
        <v>5</v>
      </c>
      <c r="AE302" s="4">
        <v>5</v>
      </c>
      <c r="AF302" s="4">
        <v>1</v>
      </c>
      <c r="AG302" s="4">
        <v>1</v>
      </c>
      <c r="AH302" s="4">
        <v>1</v>
      </c>
      <c r="AI302" s="4">
        <v>1</v>
      </c>
      <c r="AJ302" s="4">
        <v>2</v>
      </c>
      <c r="AK302" s="4">
        <v>2</v>
      </c>
      <c r="AL302" s="4">
        <v>1</v>
      </c>
      <c r="AM302" s="4">
        <v>1</v>
      </c>
      <c r="AN302" s="4">
        <v>0</v>
      </c>
      <c r="AO302" s="4">
        <v>0</v>
      </c>
      <c r="AP302" s="3" t="s">
        <v>58</v>
      </c>
      <c r="AQ302" s="3" t="s">
        <v>58</v>
      </c>
      <c r="AS302" s="6" t="str">
        <f>HYPERLINK("https://creighton-primo.hosted.exlibrisgroup.com/primo-explore/search?tab=default_tab&amp;search_scope=EVERYTHING&amp;vid=01CRU&amp;lang=en_US&amp;offset=0&amp;query=any,contains,991004617529702656","Catalog Record")</f>
        <v>Catalog Record</v>
      </c>
      <c r="AT302" s="6" t="str">
        <f>HYPERLINK("http://www.worldcat.org/oclc/4492984","WorldCat Record")</f>
        <v>WorldCat Record</v>
      </c>
      <c r="AU302" s="3" t="s">
        <v>4123</v>
      </c>
      <c r="AV302" s="3" t="s">
        <v>4124</v>
      </c>
      <c r="AW302" s="3" t="s">
        <v>4125</v>
      </c>
      <c r="AX302" s="3" t="s">
        <v>4125</v>
      </c>
      <c r="AY302" s="3" t="s">
        <v>4126</v>
      </c>
      <c r="AZ302" s="3" t="s">
        <v>74</v>
      </c>
      <c r="BB302" s="3" t="s">
        <v>4127</v>
      </c>
      <c r="BC302" s="3" t="s">
        <v>4128</v>
      </c>
      <c r="BD302" s="3" t="s">
        <v>4129</v>
      </c>
    </row>
    <row r="303" spans="1:56" ht="45.75" customHeight="1" x14ac:dyDescent="0.25">
      <c r="A303" s="7" t="s">
        <v>58</v>
      </c>
      <c r="B303" s="2" t="s">
        <v>4130</v>
      </c>
      <c r="C303" s="2" t="s">
        <v>4131</v>
      </c>
      <c r="D303" s="2" t="s">
        <v>4132</v>
      </c>
      <c r="F303" s="3" t="s">
        <v>58</v>
      </c>
      <c r="G303" s="3" t="s">
        <v>59</v>
      </c>
      <c r="H303" s="3" t="s">
        <v>58</v>
      </c>
      <c r="I303" s="3" t="s">
        <v>58</v>
      </c>
      <c r="J303" s="3" t="s">
        <v>60</v>
      </c>
      <c r="K303" s="2" t="s">
        <v>4133</v>
      </c>
      <c r="L303" s="2" t="s">
        <v>4134</v>
      </c>
      <c r="M303" s="3" t="s">
        <v>4135</v>
      </c>
      <c r="O303" s="3" t="s">
        <v>65</v>
      </c>
      <c r="P303" s="3" t="s">
        <v>1340</v>
      </c>
      <c r="R303" s="3" t="s">
        <v>67</v>
      </c>
      <c r="S303" s="4">
        <v>9</v>
      </c>
      <c r="T303" s="4">
        <v>9</v>
      </c>
      <c r="U303" s="5" t="s">
        <v>4136</v>
      </c>
      <c r="V303" s="5" t="s">
        <v>4136</v>
      </c>
      <c r="W303" s="5" t="s">
        <v>1487</v>
      </c>
      <c r="X303" s="5" t="s">
        <v>1487</v>
      </c>
      <c r="Y303" s="4">
        <v>423</v>
      </c>
      <c r="Z303" s="4">
        <v>401</v>
      </c>
      <c r="AA303" s="4">
        <v>659</v>
      </c>
      <c r="AB303" s="4">
        <v>7</v>
      </c>
      <c r="AC303" s="4">
        <v>8</v>
      </c>
      <c r="AD303" s="4">
        <v>24</v>
      </c>
      <c r="AE303" s="4">
        <v>35</v>
      </c>
      <c r="AF303" s="4">
        <v>11</v>
      </c>
      <c r="AG303" s="4">
        <v>15</v>
      </c>
      <c r="AH303" s="4">
        <v>4</v>
      </c>
      <c r="AI303" s="4">
        <v>6</v>
      </c>
      <c r="AJ303" s="4">
        <v>6</v>
      </c>
      <c r="AK303" s="4">
        <v>10</v>
      </c>
      <c r="AL303" s="4">
        <v>6</v>
      </c>
      <c r="AM303" s="4">
        <v>6</v>
      </c>
      <c r="AN303" s="4">
        <v>1</v>
      </c>
      <c r="AO303" s="4">
        <v>3</v>
      </c>
      <c r="AP303" s="3" t="s">
        <v>87</v>
      </c>
      <c r="AQ303" s="3" t="s">
        <v>58</v>
      </c>
      <c r="AR303" s="6" t="str">
        <f>HYPERLINK("http://catalog.hathitrust.org/Record/001133502","HathiTrust Record")</f>
        <v>HathiTrust Record</v>
      </c>
      <c r="AS303" s="6" t="str">
        <f>HYPERLINK("https://creighton-primo.hosted.exlibrisgroup.com/primo-explore/search?tab=default_tab&amp;search_scope=EVERYTHING&amp;vid=01CRU&amp;lang=en_US&amp;offset=0&amp;query=any,contains,991003778799702656","Catalog Record")</f>
        <v>Catalog Record</v>
      </c>
      <c r="AT303" s="6" t="str">
        <f>HYPERLINK("http://www.worldcat.org/oclc/1489867","WorldCat Record")</f>
        <v>WorldCat Record</v>
      </c>
      <c r="AU303" s="3" t="s">
        <v>4137</v>
      </c>
      <c r="AV303" s="3" t="s">
        <v>4138</v>
      </c>
      <c r="AW303" s="3" t="s">
        <v>4139</v>
      </c>
      <c r="AX303" s="3" t="s">
        <v>4139</v>
      </c>
      <c r="AY303" s="3" t="s">
        <v>4140</v>
      </c>
      <c r="AZ303" s="3" t="s">
        <v>74</v>
      </c>
      <c r="BC303" s="3" t="s">
        <v>4141</v>
      </c>
      <c r="BD303" s="3" t="s">
        <v>4142</v>
      </c>
    </row>
    <row r="304" spans="1:56" ht="45.75" customHeight="1" x14ac:dyDescent="0.25">
      <c r="A304" s="7" t="s">
        <v>58</v>
      </c>
      <c r="B304" s="2" t="s">
        <v>4143</v>
      </c>
      <c r="C304" s="2" t="s">
        <v>4144</v>
      </c>
      <c r="D304" s="2" t="s">
        <v>4145</v>
      </c>
      <c r="F304" s="3" t="s">
        <v>58</v>
      </c>
      <c r="G304" s="3" t="s">
        <v>59</v>
      </c>
      <c r="H304" s="3" t="s">
        <v>58</v>
      </c>
      <c r="I304" s="3" t="s">
        <v>58</v>
      </c>
      <c r="J304" s="3" t="s">
        <v>60</v>
      </c>
      <c r="K304" s="2" t="s">
        <v>4146</v>
      </c>
      <c r="L304" s="2" t="s">
        <v>4147</v>
      </c>
      <c r="M304" s="3" t="s">
        <v>4148</v>
      </c>
      <c r="O304" s="3" t="s">
        <v>65</v>
      </c>
      <c r="P304" s="3" t="s">
        <v>1340</v>
      </c>
      <c r="R304" s="3" t="s">
        <v>67</v>
      </c>
      <c r="S304" s="4">
        <v>7</v>
      </c>
      <c r="T304" s="4">
        <v>7</v>
      </c>
      <c r="U304" s="5" t="s">
        <v>4149</v>
      </c>
      <c r="V304" s="5" t="s">
        <v>4149</v>
      </c>
      <c r="W304" s="5" t="s">
        <v>1487</v>
      </c>
      <c r="X304" s="5" t="s">
        <v>1487</v>
      </c>
      <c r="Y304" s="4">
        <v>246</v>
      </c>
      <c r="Z304" s="4">
        <v>228</v>
      </c>
      <c r="AA304" s="4">
        <v>232</v>
      </c>
      <c r="AB304" s="4">
        <v>2</v>
      </c>
      <c r="AC304" s="4">
        <v>2</v>
      </c>
      <c r="AD304" s="4">
        <v>9</v>
      </c>
      <c r="AE304" s="4">
        <v>9</v>
      </c>
      <c r="AF304" s="4">
        <v>3</v>
      </c>
      <c r="AG304" s="4">
        <v>3</v>
      </c>
      <c r="AH304" s="4">
        <v>2</v>
      </c>
      <c r="AI304" s="4">
        <v>2</v>
      </c>
      <c r="AJ304" s="4">
        <v>3</v>
      </c>
      <c r="AK304" s="4">
        <v>3</v>
      </c>
      <c r="AL304" s="4">
        <v>1</v>
      </c>
      <c r="AM304" s="4">
        <v>1</v>
      </c>
      <c r="AN304" s="4">
        <v>1</v>
      </c>
      <c r="AO304" s="4">
        <v>1</v>
      </c>
      <c r="AP304" s="3" t="s">
        <v>58</v>
      </c>
      <c r="AQ304" s="3" t="s">
        <v>87</v>
      </c>
      <c r="AR304" s="6" t="str">
        <f>HYPERLINK("http://catalog.hathitrust.org/Record/002749813","HathiTrust Record")</f>
        <v>HathiTrust Record</v>
      </c>
      <c r="AS304" s="6" t="str">
        <f>HYPERLINK("https://creighton-primo.hosted.exlibrisgroup.com/primo-explore/search?tab=default_tab&amp;search_scope=EVERYTHING&amp;vid=01CRU&amp;lang=en_US&amp;offset=0&amp;query=any,contains,991003613819702656","Catalog Record")</f>
        <v>Catalog Record</v>
      </c>
      <c r="AT304" s="6" t="str">
        <f>HYPERLINK("http://www.worldcat.org/oclc/1196368","WorldCat Record")</f>
        <v>WorldCat Record</v>
      </c>
      <c r="AU304" s="3" t="s">
        <v>4150</v>
      </c>
      <c r="AV304" s="3" t="s">
        <v>4151</v>
      </c>
      <c r="AW304" s="3" t="s">
        <v>4152</v>
      </c>
      <c r="AX304" s="3" t="s">
        <v>4152</v>
      </c>
      <c r="AY304" s="3" t="s">
        <v>4153</v>
      </c>
      <c r="AZ304" s="3" t="s">
        <v>74</v>
      </c>
      <c r="BC304" s="3" t="s">
        <v>4154</v>
      </c>
      <c r="BD304" s="3" t="s">
        <v>4155</v>
      </c>
    </row>
    <row r="305" spans="1:56" ht="45.75" customHeight="1" x14ac:dyDescent="0.25">
      <c r="A305" s="7" t="s">
        <v>58</v>
      </c>
      <c r="B305" s="2" t="s">
        <v>4156</v>
      </c>
      <c r="C305" s="2" t="s">
        <v>4157</v>
      </c>
      <c r="D305" s="2" t="s">
        <v>4158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60</v>
      </c>
      <c r="K305" s="2" t="s">
        <v>4159</v>
      </c>
      <c r="L305" s="2" t="s">
        <v>4160</v>
      </c>
      <c r="M305" s="3" t="s">
        <v>4161</v>
      </c>
      <c r="N305" s="2" t="s">
        <v>4162</v>
      </c>
      <c r="O305" s="3" t="s">
        <v>65</v>
      </c>
      <c r="P305" s="3" t="s">
        <v>1340</v>
      </c>
      <c r="R305" s="3" t="s">
        <v>67</v>
      </c>
      <c r="S305" s="4">
        <v>8</v>
      </c>
      <c r="T305" s="4">
        <v>8</v>
      </c>
      <c r="U305" s="5" t="s">
        <v>4163</v>
      </c>
      <c r="V305" s="5" t="s">
        <v>4163</v>
      </c>
      <c r="W305" s="5" t="s">
        <v>2390</v>
      </c>
      <c r="X305" s="5" t="s">
        <v>2390</v>
      </c>
      <c r="Y305" s="4">
        <v>148</v>
      </c>
      <c r="Z305" s="4">
        <v>147</v>
      </c>
      <c r="AA305" s="4">
        <v>585</v>
      </c>
      <c r="AB305" s="4">
        <v>1</v>
      </c>
      <c r="AC305" s="4">
        <v>6</v>
      </c>
      <c r="AD305" s="4">
        <v>7</v>
      </c>
      <c r="AE305" s="4">
        <v>29</v>
      </c>
      <c r="AF305" s="4">
        <v>4</v>
      </c>
      <c r="AG305" s="4">
        <v>11</v>
      </c>
      <c r="AH305" s="4">
        <v>1</v>
      </c>
      <c r="AI305" s="4">
        <v>4</v>
      </c>
      <c r="AJ305" s="4">
        <v>3</v>
      </c>
      <c r="AK305" s="4">
        <v>8</v>
      </c>
      <c r="AL305" s="4">
        <v>0</v>
      </c>
      <c r="AM305" s="4">
        <v>4</v>
      </c>
      <c r="AN305" s="4">
        <v>0</v>
      </c>
      <c r="AO305" s="4">
        <v>6</v>
      </c>
      <c r="AP305" s="3" t="s">
        <v>87</v>
      </c>
      <c r="AQ305" s="3" t="s">
        <v>58</v>
      </c>
      <c r="AR305" s="6" t="str">
        <f>HYPERLINK("http://catalog.hathitrust.org/Record/001120178","HathiTrust Record")</f>
        <v>HathiTrust Record</v>
      </c>
      <c r="AS305" s="6" t="str">
        <f>HYPERLINK("https://creighton-primo.hosted.exlibrisgroup.com/primo-explore/search?tab=default_tab&amp;search_scope=EVERYTHING&amp;vid=01CRU&amp;lang=en_US&amp;offset=0&amp;query=any,contains,991003777579702656","Catalog Record")</f>
        <v>Catalog Record</v>
      </c>
      <c r="AT305" s="6" t="str">
        <f>HYPERLINK("http://www.worldcat.org/oclc/1487429","WorldCat Record")</f>
        <v>WorldCat Record</v>
      </c>
      <c r="AU305" s="3" t="s">
        <v>4164</v>
      </c>
      <c r="AV305" s="3" t="s">
        <v>4165</v>
      </c>
      <c r="AW305" s="3" t="s">
        <v>4166</v>
      </c>
      <c r="AX305" s="3" t="s">
        <v>4166</v>
      </c>
      <c r="AY305" s="3" t="s">
        <v>4167</v>
      </c>
      <c r="AZ305" s="3" t="s">
        <v>74</v>
      </c>
      <c r="BC305" s="3" t="s">
        <v>4168</v>
      </c>
      <c r="BD305" s="3" t="s">
        <v>4169</v>
      </c>
    </row>
    <row r="306" spans="1:56" ht="45.75" customHeight="1" x14ac:dyDescent="0.25">
      <c r="A306" s="7" t="s">
        <v>58</v>
      </c>
      <c r="B306" s="2" t="s">
        <v>4170</v>
      </c>
      <c r="C306" s="2" t="s">
        <v>4171</v>
      </c>
      <c r="D306" s="2" t="s">
        <v>4172</v>
      </c>
      <c r="F306" s="3" t="s">
        <v>58</v>
      </c>
      <c r="G306" s="3" t="s">
        <v>59</v>
      </c>
      <c r="H306" s="3" t="s">
        <v>58</v>
      </c>
      <c r="I306" s="3" t="s">
        <v>58</v>
      </c>
      <c r="J306" s="3" t="s">
        <v>60</v>
      </c>
      <c r="K306" s="2" t="s">
        <v>4159</v>
      </c>
      <c r="L306" s="2" t="s">
        <v>4173</v>
      </c>
      <c r="M306" s="3" t="s">
        <v>4174</v>
      </c>
      <c r="O306" s="3" t="s">
        <v>65</v>
      </c>
      <c r="P306" s="3" t="s">
        <v>84</v>
      </c>
      <c r="R306" s="3" t="s">
        <v>67</v>
      </c>
      <c r="S306" s="4">
        <v>5</v>
      </c>
      <c r="T306" s="4">
        <v>5</v>
      </c>
      <c r="U306" s="5" t="s">
        <v>4175</v>
      </c>
      <c r="V306" s="5" t="s">
        <v>4175</v>
      </c>
      <c r="W306" s="5" t="s">
        <v>4176</v>
      </c>
      <c r="X306" s="5" t="s">
        <v>4176</v>
      </c>
      <c r="Y306" s="4">
        <v>253</v>
      </c>
      <c r="Z306" s="4">
        <v>243</v>
      </c>
      <c r="AA306" s="4">
        <v>249</v>
      </c>
      <c r="AB306" s="4">
        <v>7</v>
      </c>
      <c r="AC306" s="4">
        <v>7</v>
      </c>
      <c r="AD306" s="4">
        <v>12</v>
      </c>
      <c r="AE306" s="4">
        <v>12</v>
      </c>
      <c r="AF306" s="4">
        <v>3</v>
      </c>
      <c r="AG306" s="4">
        <v>3</v>
      </c>
      <c r="AH306" s="4">
        <v>1</v>
      </c>
      <c r="AI306" s="4">
        <v>1</v>
      </c>
      <c r="AJ306" s="4">
        <v>2</v>
      </c>
      <c r="AK306" s="4">
        <v>2</v>
      </c>
      <c r="AL306" s="4">
        <v>6</v>
      </c>
      <c r="AM306" s="4">
        <v>6</v>
      </c>
      <c r="AN306" s="4">
        <v>0</v>
      </c>
      <c r="AO306" s="4">
        <v>0</v>
      </c>
      <c r="AP306" s="3" t="s">
        <v>58</v>
      </c>
      <c r="AQ306" s="3" t="s">
        <v>87</v>
      </c>
      <c r="AR306" s="6" t="str">
        <f>HYPERLINK("http://catalog.hathitrust.org/Record/001133512","HathiTrust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HYPERLINK("https://creighton-primo.hosted.exlibrisgroup.com/primo-explore/search?tab=default_tab&amp;search_scope=EVERYTHING&amp;vid=01CRU&amp;lang=en_US&amp;offset=0&amp;query=any,contains,991004068649702656","Catalog Record")</f>
        <v>Catalog Record</v>
      </c>
      <c r="AT306" s="6" t="str">
        <f>HYPERLINK("http://www.worldcat.org/oclc/2292407","WorldCat Record")</f>
        <v>WorldCat Record</v>
      </c>
      <c r="AU306" s="3" t="s">
        <v>4177</v>
      </c>
      <c r="AV306" s="3" t="s">
        <v>4178</v>
      </c>
      <c r="AW306" s="3" t="s">
        <v>4179</v>
      </c>
      <c r="AX306" s="3" t="s">
        <v>4179</v>
      </c>
      <c r="AY306" s="3" t="s">
        <v>4180</v>
      </c>
      <c r="AZ306" s="3" t="s">
        <v>74</v>
      </c>
      <c r="BC306" s="3" t="s">
        <v>4181</v>
      </c>
      <c r="BD306" s="3" t="s">
        <v>4182</v>
      </c>
    </row>
    <row r="307" spans="1:56" ht="45.75" customHeight="1" x14ac:dyDescent="0.25">
      <c r="A307" s="7" t="s">
        <v>58</v>
      </c>
      <c r="B307" s="2" t="s">
        <v>4183</v>
      </c>
      <c r="C307" s="2" t="s">
        <v>4184</v>
      </c>
      <c r="D307" s="2" t="s">
        <v>4185</v>
      </c>
      <c r="F307" s="3" t="s">
        <v>58</v>
      </c>
      <c r="G307" s="3" t="s">
        <v>59</v>
      </c>
      <c r="H307" s="3" t="s">
        <v>58</v>
      </c>
      <c r="I307" s="3" t="s">
        <v>58</v>
      </c>
      <c r="J307" s="3" t="s">
        <v>60</v>
      </c>
      <c r="K307" s="2" t="s">
        <v>4186</v>
      </c>
      <c r="L307" s="2" t="s">
        <v>3435</v>
      </c>
      <c r="M307" s="3" t="s">
        <v>908</v>
      </c>
      <c r="O307" s="3" t="s">
        <v>65</v>
      </c>
      <c r="P307" s="3" t="s">
        <v>190</v>
      </c>
      <c r="R307" s="3" t="s">
        <v>67</v>
      </c>
      <c r="S307" s="4">
        <v>20</v>
      </c>
      <c r="T307" s="4">
        <v>20</v>
      </c>
      <c r="U307" s="5" t="s">
        <v>4149</v>
      </c>
      <c r="V307" s="5" t="s">
        <v>4149</v>
      </c>
      <c r="W307" s="5" t="s">
        <v>4187</v>
      </c>
      <c r="X307" s="5" t="s">
        <v>4187</v>
      </c>
      <c r="Y307" s="4">
        <v>603</v>
      </c>
      <c r="Z307" s="4">
        <v>529</v>
      </c>
      <c r="AA307" s="4">
        <v>723</v>
      </c>
      <c r="AB307" s="4">
        <v>3</v>
      </c>
      <c r="AC307" s="4">
        <v>3</v>
      </c>
      <c r="AD307" s="4">
        <v>22</v>
      </c>
      <c r="AE307" s="4">
        <v>32</v>
      </c>
      <c r="AF307" s="4">
        <v>8</v>
      </c>
      <c r="AG307" s="4">
        <v>14</v>
      </c>
      <c r="AH307" s="4">
        <v>6</v>
      </c>
      <c r="AI307" s="4">
        <v>10</v>
      </c>
      <c r="AJ307" s="4">
        <v>9</v>
      </c>
      <c r="AK307" s="4">
        <v>13</v>
      </c>
      <c r="AL307" s="4">
        <v>2</v>
      </c>
      <c r="AM307" s="4">
        <v>2</v>
      </c>
      <c r="AN307" s="4">
        <v>3</v>
      </c>
      <c r="AO307" s="4">
        <v>3</v>
      </c>
      <c r="AP307" s="3" t="s">
        <v>58</v>
      </c>
      <c r="AQ307" s="3" t="s">
        <v>58</v>
      </c>
      <c r="AS307" s="6" t="str">
        <f>HYPERLINK("https://creighton-primo.hosted.exlibrisgroup.com/primo-explore/search?tab=default_tab&amp;search_scope=EVERYTHING&amp;vid=01CRU&amp;lang=en_US&amp;offset=0&amp;query=any,contains,991004758649702656","Catalog Record")</f>
        <v>Catalog Record</v>
      </c>
      <c r="AT307" s="6" t="str">
        <f>HYPERLINK("http://www.worldcat.org/oclc/4983340","WorldCat Record")</f>
        <v>WorldCat Record</v>
      </c>
      <c r="AU307" s="3" t="s">
        <v>4188</v>
      </c>
      <c r="AV307" s="3" t="s">
        <v>4189</v>
      </c>
      <c r="AW307" s="3" t="s">
        <v>4190</v>
      </c>
      <c r="AX307" s="3" t="s">
        <v>4190</v>
      </c>
      <c r="AY307" s="3" t="s">
        <v>4191</v>
      </c>
      <c r="AZ307" s="3" t="s">
        <v>74</v>
      </c>
      <c r="BB307" s="3" t="s">
        <v>4192</v>
      </c>
      <c r="BC307" s="3" t="s">
        <v>4193</v>
      </c>
      <c r="BD307" s="3" t="s">
        <v>4194</v>
      </c>
    </row>
    <row r="308" spans="1:56" ht="45.75" customHeight="1" x14ac:dyDescent="0.25">
      <c r="A308" s="7" t="s">
        <v>58</v>
      </c>
      <c r="B308" s="2" t="s">
        <v>4195</v>
      </c>
      <c r="C308" s="2" t="s">
        <v>4196</v>
      </c>
      <c r="D308" s="2" t="s">
        <v>4197</v>
      </c>
      <c r="F308" s="3" t="s">
        <v>58</v>
      </c>
      <c r="G308" s="3" t="s">
        <v>59</v>
      </c>
      <c r="H308" s="3" t="s">
        <v>58</v>
      </c>
      <c r="I308" s="3" t="s">
        <v>58</v>
      </c>
      <c r="J308" s="3" t="s">
        <v>60</v>
      </c>
      <c r="K308" s="2" t="s">
        <v>4198</v>
      </c>
      <c r="L308" s="2" t="s">
        <v>4199</v>
      </c>
      <c r="M308" s="3" t="s">
        <v>1674</v>
      </c>
      <c r="O308" s="3" t="s">
        <v>65</v>
      </c>
      <c r="P308" s="3" t="s">
        <v>4200</v>
      </c>
      <c r="Q308" s="2" t="s">
        <v>4201</v>
      </c>
      <c r="R308" s="3" t="s">
        <v>67</v>
      </c>
      <c r="S308" s="4">
        <v>13</v>
      </c>
      <c r="T308" s="4">
        <v>13</v>
      </c>
      <c r="U308" s="5" t="s">
        <v>4202</v>
      </c>
      <c r="V308" s="5" t="s">
        <v>4202</v>
      </c>
      <c r="W308" s="5" t="s">
        <v>4203</v>
      </c>
      <c r="X308" s="5" t="s">
        <v>4203</v>
      </c>
      <c r="Y308" s="4">
        <v>389</v>
      </c>
      <c r="Z308" s="4">
        <v>352</v>
      </c>
      <c r="AA308" s="4">
        <v>413</v>
      </c>
      <c r="AB308" s="4">
        <v>4</v>
      </c>
      <c r="AC308" s="4">
        <v>5</v>
      </c>
      <c r="AD308" s="4">
        <v>18</v>
      </c>
      <c r="AE308" s="4">
        <v>19</v>
      </c>
      <c r="AF308" s="4">
        <v>3</v>
      </c>
      <c r="AG308" s="4">
        <v>3</v>
      </c>
      <c r="AH308" s="4">
        <v>4</v>
      </c>
      <c r="AI308" s="4">
        <v>4</v>
      </c>
      <c r="AJ308" s="4">
        <v>10</v>
      </c>
      <c r="AK308" s="4">
        <v>10</v>
      </c>
      <c r="AL308" s="4">
        <v>3</v>
      </c>
      <c r="AM308" s="4">
        <v>4</v>
      </c>
      <c r="AN308" s="4">
        <v>1</v>
      </c>
      <c r="AO308" s="4">
        <v>1</v>
      </c>
      <c r="AP308" s="3" t="s">
        <v>58</v>
      </c>
      <c r="AQ308" s="3" t="s">
        <v>87</v>
      </c>
      <c r="AR308" s="6" t="str">
        <f>HYPERLINK("http://catalog.hathitrust.org/Record/001744064","HathiTrust Record")</f>
        <v>HathiTrust Record</v>
      </c>
      <c r="AS308" s="6" t="str">
        <f>HYPERLINK("https://creighton-primo.hosted.exlibrisgroup.com/primo-explore/search?tab=default_tab&amp;search_scope=EVERYTHING&amp;vid=01CRU&amp;lang=en_US&amp;offset=0&amp;query=any,contains,991000123929702656","Catalog Record")</f>
        <v>Catalog Record</v>
      </c>
      <c r="AT308" s="6" t="str">
        <f>HYPERLINK("http://www.worldcat.org/oclc/51205","WorldCat Record")</f>
        <v>WorldCat Record</v>
      </c>
      <c r="AU308" s="3" t="s">
        <v>4204</v>
      </c>
      <c r="AV308" s="3" t="s">
        <v>4205</v>
      </c>
      <c r="AW308" s="3" t="s">
        <v>4206</v>
      </c>
      <c r="AX308" s="3" t="s">
        <v>4206</v>
      </c>
      <c r="AY308" s="3" t="s">
        <v>4207</v>
      </c>
      <c r="AZ308" s="3" t="s">
        <v>74</v>
      </c>
      <c r="BC308" s="3" t="s">
        <v>4208</v>
      </c>
      <c r="BD308" s="3" t="s">
        <v>4209</v>
      </c>
    </row>
    <row r="309" spans="1:56" ht="45.75" customHeight="1" x14ac:dyDescent="0.25">
      <c r="A309" s="7" t="s">
        <v>58</v>
      </c>
      <c r="B309" s="2" t="s">
        <v>4210</v>
      </c>
      <c r="C309" s="2" t="s">
        <v>4211</v>
      </c>
      <c r="D309" s="2" t="s">
        <v>4212</v>
      </c>
      <c r="F309" s="3" t="s">
        <v>58</v>
      </c>
      <c r="G309" s="3" t="s">
        <v>59</v>
      </c>
      <c r="H309" s="3" t="s">
        <v>58</v>
      </c>
      <c r="I309" s="3" t="s">
        <v>58</v>
      </c>
      <c r="J309" s="3" t="s">
        <v>60</v>
      </c>
      <c r="K309" s="2" t="s">
        <v>4213</v>
      </c>
      <c r="L309" s="2" t="s">
        <v>4214</v>
      </c>
      <c r="M309" s="3" t="s">
        <v>1338</v>
      </c>
      <c r="O309" s="3" t="s">
        <v>65</v>
      </c>
      <c r="P309" s="3" t="s">
        <v>148</v>
      </c>
      <c r="R309" s="3" t="s">
        <v>67</v>
      </c>
      <c r="S309" s="4">
        <v>12</v>
      </c>
      <c r="T309" s="4">
        <v>12</v>
      </c>
      <c r="U309" s="5" t="s">
        <v>4215</v>
      </c>
      <c r="V309" s="5" t="s">
        <v>4215</v>
      </c>
      <c r="W309" s="5" t="s">
        <v>4216</v>
      </c>
      <c r="X309" s="5" t="s">
        <v>4216</v>
      </c>
      <c r="Y309" s="4">
        <v>796</v>
      </c>
      <c r="Z309" s="4">
        <v>715</v>
      </c>
      <c r="AA309" s="4">
        <v>836</v>
      </c>
      <c r="AB309" s="4">
        <v>8</v>
      </c>
      <c r="AC309" s="4">
        <v>8</v>
      </c>
      <c r="AD309" s="4">
        <v>32</v>
      </c>
      <c r="AE309" s="4">
        <v>35</v>
      </c>
      <c r="AF309" s="4">
        <v>11</v>
      </c>
      <c r="AG309" s="4">
        <v>12</v>
      </c>
      <c r="AH309" s="4">
        <v>5</v>
      </c>
      <c r="AI309" s="4">
        <v>6</v>
      </c>
      <c r="AJ309" s="4">
        <v>16</v>
      </c>
      <c r="AK309" s="4">
        <v>17</v>
      </c>
      <c r="AL309" s="4">
        <v>5</v>
      </c>
      <c r="AM309" s="4">
        <v>5</v>
      </c>
      <c r="AN309" s="4">
        <v>1</v>
      </c>
      <c r="AO309" s="4">
        <v>2</v>
      </c>
      <c r="AP309" s="3" t="s">
        <v>58</v>
      </c>
      <c r="AQ309" s="3" t="s">
        <v>87</v>
      </c>
      <c r="AR309" s="6" t="str">
        <f>HYPERLINK("http://catalog.hathitrust.org/Record/001133537","HathiTrust Record")</f>
        <v>HathiTrust Record</v>
      </c>
      <c r="AS309" s="6" t="str">
        <f>HYPERLINK("https://creighton-primo.hosted.exlibrisgroup.com/primo-explore/search?tab=default_tab&amp;search_scope=EVERYTHING&amp;vid=01CRU&amp;lang=en_US&amp;offset=0&amp;query=any,contains,991002080509702656","Catalog Record")</f>
        <v>Catalog Record</v>
      </c>
      <c r="AT309" s="6" t="str">
        <f>HYPERLINK("http://www.worldcat.org/oclc/264524","WorldCat Record")</f>
        <v>WorldCat Record</v>
      </c>
      <c r="AU309" s="3" t="s">
        <v>4217</v>
      </c>
      <c r="AV309" s="3" t="s">
        <v>4218</v>
      </c>
      <c r="AW309" s="3" t="s">
        <v>4219</v>
      </c>
      <c r="AX309" s="3" t="s">
        <v>4219</v>
      </c>
      <c r="AY309" s="3" t="s">
        <v>4220</v>
      </c>
      <c r="AZ309" s="3" t="s">
        <v>74</v>
      </c>
      <c r="BC309" s="3" t="s">
        <v>4221</v>
      </c>
      <c r="BD309" s="3" t="s">
        <v>4222</v>
      </c>
    </row>
    <row r="310" spans="1:56" ht="45.75" customHeight="1" x14ac:dyDescent="0.25">
      <c r="A310" s="7" t="s">
        <v>58</v>
      </c>
      <c r="B310" s="2" t="s">
        <v>4223</v>
      </c>
      <c r="C310" s="2" t="s">
        <v>4224</v>
      </c>
      <c r="D310" s="2" t="s">
        <v>4225</v>
      </c>
      <c r="F310" s="3" t="s">
        <v>58</v>
      </c>
      <c r="G310" s="3" t="s">
        <v>59</v>
      </c>
      <c r="H310" s="3" t="s">
        <v>58</v>
      </c>
      <c r="I310" s="3" t="s">
        <v>58</v>
      </c>
      <c r="J310" s="3" t="s">
        <v>60</v>
      </c>
      <c r="K310" s="2" t="s">
        <v>4226</v>
      </c>
      <c r="L310" s="2" t="s">
        <v>2439</v>
      </c>
      <c r="M310" s="3" t="s">
        <v>908</v>
      </c>
      <c r="O310" s="3" t="s">
        <v>65</v>
      </c>
      <c r="P310" s="3" t="s">
        <v>84</v>
      </c>
      <c r="R310" s="3" t="s">
        <v>67</v>
      </c>
      <c r="S310" s="4">
        <v>7</v>
      </c>
      <c r="T310" s="4">
        <v>7</v>
      </c>
      <c r="U310" s="5" t="s">
        <v>4202</v>
      </c>
      <c r="V310" s="5" t="s">
        <v>4202</v>
      </c>
      <c r="W310" s="5" t="s">
        <v>4227</v>
      </c>
      <c r="X310" s="5" t="s">
        <v>4227</v>
      </c>
      <c r="Y310" s="4">
        <v>824</v>
      </c>
      <c r="Z310" s="4">
        <v>749</v>
      </c>
      <c r="AA310" s="4">
        <v>752</v>
      </c>
      <c r="AB310" s="4">
        <v>8</v>
      </c>
      <c r="AC310" s="4">
        <v>8</v>
      </c>
      <c r="AD310" s="4">
        <v>23</v>
      </c>
      <c r="AE310" s="4">
        <v>23</v>
      </c>
      <c r="AF310" s="4">
        <v>5</v>
      </c>
      <c r="AG310" s="4">
        <v>5</v>
      </c>
      <c r="AH310" s="4">
        <v>5</v>
      </c>
      <c r="AI310" s="4">
        <v>5</v>
      </c>
      <c r="AJ310" s="4">
        <v>12</v>
      </c>
      <c r="AK310" s="4">
        <v>12</v>
      </c>
      <c r="AL310" s="4">
        <v>5</v>
      </c>
      <c r="AM310" s="4">
        <v>5</v>
      </c>
      <c r="AN310" s="4">
        <v>2</v>
      </c>
      <c r="AO310" s="4">
        <v>2</v>
      </c>
      <c r="AP310" s="3" t="s">
        <v>58</v>
      </c>
      <c r="AQ310" s="3" t="s">
        <v>87</v>
      </c>
      <c r="AR310" s="6" t="str">
        <f>HYPERLINK("http://catalog.hathitrust.org/Record/000300836","HathiTrust Record")</f>
        <v>HathiTrust Record</v>
      </c>
      <c r="AS310" s="6" t="str">
        <f>HYPERLINK("https://creighton-primo.hosted.exlibrisgroup.com/primo-explore/search?tab=default_tab&amp;search_scope=EVERYTHING&amp;vid=01CRU&amp;lang=en_US&amp;offset=0&amp;query=any,contains,991004750109702656","Catalog Record")</f>
        <v>Catalog Record</v>
      </c>
      <c r="AT310" s="6" t="str">
        <f>HYPERLINK("http://www.worldcat.org/oclc/4933159","WorldCat Record")</f>
        <v>WorldCat Record</v>
      </c>
      <c r="AU310" s="3" t="s">
        <v>4228</v>
      </c>
      <c r="AV310" s="3" t="s">
        <v>4229</v>
      </c>
      <c r="AW310" s="3" t="s">
        <v>4230</v>
      </c>
      <c r="AX310" s="3" t="s">
        <v>4230</v>
      </c>
      <c r="AY310" s="3" t="s">
        <v>4231</v>
      </c>
      <c r="AZ310" s="3" t="s">
        <v>74</v>
      </c>
      <c r="BB310" s="3" t="s">
        <v>4232</v>
      </c>
      <c r="BC310" s="3" t="s">
        <v>4233</v>
      </c>
      <c r="BD310" s="3" t="s">
        <v>4234</v>
      </c>
    </row>
    <row r="311" spans="1:56" ht="45.75" customHeight="1" x14ac:dyDescent="0.25">
      <c r="A311" s="7" t="s">
        <v>58</v>
      </c>
      <c r="B311" s="2" t="s">
        <v>4235</v>
      </c>
      <c r="C311" s="2" t="s">
        <v>4236</v>
      </c>
      <c r="D311" s="2" t="s">
        <v>4237</v>
      </c>
      <c r="F311" s="3" t="s">
        <v>58</v>
      </c>
      <c r="G311" s="3" t="s">
        <v>59</v>
      </c>
      <c r="H311" s="3" t="s">
        <v>58</v>
      </c>
      <c r="I311" s="3" t="s">
        <v>58</v>
      </c>
      <c r="J311" s="3" t="s">
        <v>60</v>
      </c>
      <c r="K311" s="2" t="s">
        <v>4238</v>
      </c>
      <c r="L311" s="2" t="s">
        <v>4239</v>
      </c>
      <c r="M311" s="3" t="s">
        <v>1419</v>
      </c>
      <c r="O311" s="3" t="s">
        <v>65</v>
      </c>
      <c r="P311" s="3" t="s">
        <v>1238</v>
      </c>
      <c r="R311" s="3" t="s">
        <v>67</v>
      </c>
      <c r="S311" s="4">
        <v>6</v>
      </c>
      <c r="T311" s="4">
        <v>6</v>
      </c>
      <c r="U311" s="5" t="s">
        <v>4240</v>
      </c>
      <c r="V311" s="5" t="s">
        <v>4240</v>
      </c>
      <c r="W311" s="5" t="s">
        <v>4241</v>
      </c>
      <c r="X311" s="5" t="s">
        <v>4241</v>
      </c>
      <c r="Y311" s="4">
        <v>7</v>
      </c>
      <c r="Z311" s="4">
        <v>6</v>
      </c>
      <c r="AA311" s="4">
        <v>6</v>
      </c>
      <c r="AB311" s="4">
        <v>1</v>
      </c>
      <c r="AC311" s="4">
        <v>1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3" t="s">
        <v>58</v>
      </c>
      <c r="AQ311" s="3" t="s">
        <v>58</v>
      </c>
      <c r="AS311" s="6" t="str">
        <f>HYPERLINK("https://creighton-primo.hosted.exlibrisgroup.com/primo-explore/search?tab=default_tab&amp;search_scope=EVERYTHING&amp;vid=01CRU&amp;lang=en_US&amp;offset=0&amp;query=any,contains,991004811069702656","Catalog Record")</f>
        <v>Catalog Record</v>
      </c>
      <c r="AT311" s="6" t="str">
        <f>HYPERLINK("http://www.worldcat.org/oclc/5277497","WorldCat Record")</f>
        <v>WorldCat Record</v>
      </c>
      <c r="AU311" s="3" t="s">
        <v>4242</v>
      </c>
      <c r="AV311" s="3" t="s">
        <v>4243</v>
      </c>
      <c r="AW311" s="3" t="s">
        <v>4244</v>
      </c>
      <c r="AX311" s="3" t="s">
        <v>4244</v>
      </c>
      <c r="AY311" s="3" t="s">
        <v>4245</v>
      </c>
      <c r="AZ311" s="3" t="s">
        <v>74</v>
      </c>
      <c r="BC311" s="3" t="s">
        <v>4246</v>
      </c>
      <c r="BD311" s="3" t="s">
        <v>4247</v>
      </c>
    </row>
    <row r="312" spans="1:56" ht="45.75" customHeight="1" x14ac:dyDescent="0.25">
      <c r="A312" s="7" t="s">
        <v>58</v>
      </c>
      <c r="B312" s="2" t="s">
        <v>4248</v>
      </c>
      <c r="C312" s="2" t="s">
        <v>4249</v>
      </c>
      <c r="D312" s="2" t="s">
        <v>4250</v>
      </c>
      <c r="F312" s="3" t="s">
        <v>58</v>
      </c>
      <c r="G312" s="3" t="s">
        <v>59</v>
      </c>
      <c r="H312" s="3" t="s">
        <v>58</v>
      </c>
      <c r="I312" s="3" t="s">
        <v>58</v>
      </c>
      <c r="J312" s="3" t="s">
        <v>60</v>
      </c>
      <c r="K312" s="2" t="s">
        <v>4251</v>
      </c>
      <c r="L312" s="2" t="s">
        <v>4252</v>
      </c>
      <c r="M312" s="3" t="s">
        <v>1209</v>
      </c>
      <c r="O312" s="3" t="s">
        <v>65</v>
      </c>
      <c r="P312" s="3" t="s">
        <v>66</v>
      </c>
      <c r="Q312" s="2" t="s">
        <v>4253</v>
      </c>
      <c r="R312" s="3" t="s">
        <v>67</v>
      </c>
      <c r="S312" s="4">
        <v>38</v>
      </c>
      <c r="T312" s="4">
        <v>38</v>
      </c>
      <c r="U312" s="5" t="s">
        <v>4015</v>
      </c>
      <c r="V312" s="5" t="s">
        <v>4015</v>
      </c>
      <c r="W312" s="5" t="s">
        <v>4241</v>
      </c>
      <c r="X312" s="5" t="s">
        <v>4241</v>
      </c>
      <c r="Y312" s="4">
        <v>414</v>
      </c>
      <c r="Z312" s="4">
        <v>398</v>
      </c>
      <c r="AA312" s="4">
        <v>402</v>
      </c>
      <c r="AB312" s="4">
        <v>5</v>
      </c>
      <c r="AC312" s="4">
        <v>5</v>
      </c>
      <c r="AD312" s="4">
        <v>15</v>
      </c>
      <c r="AE312" s="4">
        <v>15</v>
      </c>
      <c r="AF312" s="4">
        <v>8</v>
      </c>
      <c r="AG312" s="4">
        <v>8</v>
      </c>
      <c r="AH312" s="4">
        <v>2</v>
      </c>
      <c r="AI312" s="4">
        <v>2</v>
      </c>
      <c r="AJ312" s="4">
        <v>6</v>
      </c>
      <c r="AK312" s="4">
        <v>6</v>
      </c>
      <c r="AL312" s="4">
        <v>4</v>
      </c>
      <c r="AM312" s="4">
        <v>4</v>
      </c>
      <c r="AN312" s="4">
        <v>0</v>
      </c>
      <c r="AO312" s="4">
        <v>0</v>
      </c>
      <c r="AP312" s="3" t="s">
        <v>58</v>
      </c>
      <c r="AQ312" s="3" t="s">
        <v>87</v>
      </c>
      <c r="AR312" s="6" t="str">
        <f>HYPERLINK("http://catalog.hathitrust.org/Record/004505110","HathiTrust Record")</f>
        <v>HathiTrust Record</v>
      </c>
      <c r="AS312" s="6" t="str">
        <f>HYPERLINK("https://creighton-primo.hosted.exlibrisgroup.com/primo-explore/search?tab=default_tab&amp;search_scope=EVERYTHING&amp;vid=01CRU&amp;lang=en_US&amp;offset=0&amp;query=any,contains,991000886499702656","Catalog Record")</f>
        <v>Catalog Record</v>
      </c>
      <c r="AT312" s="6" t="str">
        <f>HYPERLINK("http://www.worldcat.org/oclc/13861389","WorldCat Record")</f>
        <v>WorldCat Record</v>
      </c>
      <c r="AU312" s="3" t="s">
        <v>4254</v>
      </c>
      <c r="AV312" s="3" t="s">
        <v>4255</v>
      </c>
      <c r="AW312" s="3" t="s">
        <v>4256</v>
      </c>
      <c r="AX312" s="3" t="s">
        <v>4256</v>
      </c>
      <c r="AY312" s="3" t="s">
        <v>4257</v>
      </c>
      <c r="AZ312" s="3" t="s">
        <v>74</v>
      </c>
      <c r="BB312" s="3" t="s">
        <v>4258</v>
      </c>
      <c r="BC312" s="3" t="s">
        <v>4259</v>
      </c>
      <c r="BD312" s="3" t="s">
        <v>4260</v>
      </c>
    </row>
    <row r="313" spans="1:56" ht="45.75" customHeight="1" x14ac:dyDescent="0.25">
      <c r="A313" s="7" t="s">
        <v>58</v>
      </c>
      <c r="B313" s="2" t="s">
        <v>4261</v>
      </c>
      <c r="C313" s="2" t="s">
        <v>4262</v>
      </c>
      <c r="D313" s="2" t="s">
        <v>4263</v>
      </c>
      <c r="F313" s="3" t="s">
        <v>58</v>
      </c>
      <c r="G313" s="3" t="s">
        <v>59</v>
      </c>
      <c r="H313" s="3" t="s">
        <v>58</v>
      </c>
      <c r="I313" s="3" t="s">
        <v>58</v>
      </c>
      <c r="J313" s="3" t="s">
        <v>60</v>
      </c>
      <c r="L313" s="2" t="s">
        <v>4264</v>
      </c>
      <c r="M313" s="3" t="s">
        <v>1058</v>
      </c>
      <c r="O313" s="3" t="s">
        <v>65</v>
      </c>
      <c r="P313" s="3" t="s">
        <v>84</v>
      </c>
      <c r="R313" s="3" t="s">
        <v>67</v>
      </c>
      <c r="S313" s="4">
        <v>42</v>
      </c>
      <c r="T313" s="4">
        <v>42</v>
      </c>
      <c r="U313" s="5" t="s">
        <v>4265</v>
      </c>
      <c r="V313" s="5" t="s">
        <v>4265</v>
      </c>
      <c r="W313" s="5" t="s">
        <v>4266</v>
      </c>
      <c r="X313" s="5" t="s">
        <v>4266</v>
      </c>
      <c r="Y313" s="4">
        <v>216</v>
      </c>
      <c r="Z313" s="4">
        <v>167</v>
      </c>
      <c r="AA313" s="4">
        <v>169</v>
      </c>
      <c r="AB313" s="4">
        <v>1</v>
      </c>
      <c r="AC313" s="4">
        <v>1</v>
      </c>
      <c r="AD313" s="4">
        <v>4</v>
      </c>
      <c r="AE313" s="4">
        <v>4</v>
      </c>
      <c r="AF313" s="4">
        <v>0</v>
      </c>
      <c r="AG313" s="4">
        <v>0</v>
      </c>
      <c r="AH313" s="4">
        <v>1</v>
      </c>
      <c r="AI313" s="4">
        <v>1</v>
      </c>
      <c r="AJ313" s="4">
        <v>3</v>
      </c>
      <c r="AK313" s="4">
        <v>3</v>
      </c>
      <c r="AL313" s="4">
        <v>0</v>
      </c>
      <c r="AM313" s="4">
        <v>0</v>
      </c>
      <c r="AN313" s="4">
        <v>0</v>
      </c>
      <c r="AO313" s="4">
        <v>0</v>
      </c>
      <c r="AP313" s="3" t="s">
        <v>58</v>
      </c>
      <c r="AQ313" s="3" t="s">
        <v>58</v>
      </c>
      <c r="AS313" s="6" t="str">
        <f>HYPERLINK("https://creighton-primo.hosted.exlibrisgroup.com/primo-explore/search?tab=default_tab&amp;search_scope=EVERYTHING&amp;vid=01CRU&amp;lang=en_US&amp;offset=0&amp;query=any,contains,991001126659702656","Catalog Record")</f>
        <v>Catalog Record</v>
      </c>
      <c r="AT313" s="6" t="str">
        <f>HYPERLINK("http://www.worldcat.org/oclc/16649373","WorldCat Record")</f>
        <v>WorldCat Record</v>
      </c>
      <c r="AU313" s="3" t="s">
        <v>4267</v>
      </c>
      <c r="AV313" s="3" t="s">
        <v>4268</v>
      </c>
      <c r="AW313" s="3" t="s">
        <v>4269</v>
      </c>
      <c r="AX313" s="3" t="s">
        <v>4269</v>
      </c>
      <c r="AY313" s="3" t="s">
        <v>4270</v>
      </c>
      <c r="AZ313" s="3" t="s">
        <v>74</v>
      </c>
      <c r="BB313" s="3" t="s">
        <v>4271</v>
      </c>
      <c r="BC313" s="3" t="s">
        <v>4272</v>
      </c>
      <c r="BD313" s="3" t="s">
        <v>4273</v>
      </c>
    </row>
    <row r="314" spans="1:56" ht="45.75" customHeight="1" x14ac:dyDescent="0.25">
      <c r="A314" s="7" t="s">
        <v>58</v>
      </c>
      <c r="B314" s="2" t="s">
        <v>4274</v>
      </c>
      <c r="C314" s="2" t="s">
        <v>4275</v>
      </c>
      <c r="D314" s="2" t="s">
        <v>4276</v>
      </c>
      <c r="F314" s="3" t="s">
        <v>58</v>
      </c>
      <c r="G314" s="3" t="s">
        <v>59</v>
      </c>
      <c r="H314" s="3" t="s">
        <v>58</v>
      </c>
      <c r="I314" s="3" t="s">
        <v>58</v>
      </c>
      <c r="J314" s="3" t="s">
        <v>60</v>
      </c>
      <c r="L314" s="2" t="s">
        <v>4082</v>
      </c>
      <c r="M314" s="3" t="s">
        <v>2324</v>
      </c>
      <c r="O314" s="3" t="s">
        <v>65</v>
      </c>
      <c r="P314" s="3" t="s">
        <v>84</v>
      </c>
      <c r="Q314" s="2" t="s">
        <v>4277</v>
      </c>
      <c r="R314" s="3" t="s">
        <v>67</v>
      </c>
      <c r="S314" s="4">
        <v>26</v>
      </c>
      <c r="T314" s="4">
        <v>26</v>
      </c>
      <c r="U314" s="5" t="s">
        <v>4278</v>
      </c>
      <c r="V314" s="5" t="s">
        <v>4278</v>
      </c>
      <c r="W314" s="5" t="s">
        <v>4279</v>
      </c>
      <c r="X314" s="5" t="s">
        <v>4279</v>
      </c>
      <c r="Y314" s="4">
        <v>188</v>
      </c>
      <c r="Z314" s="4">
        <v>156</v>
      </c>
      <c r="AA314" s="4">
        <v>156</v>
      </c>
      <c r="AB314" s="4">
        <v>2</v>
      </c>
      <c r="AC314" s="4">
        <v>2</v>
      </c>
      <c r="AD314" s="4">
        <v>9</v>
      </c>
      <c r="AE314" s="4">
        <v>9</v>
      </c>
      <c r="AF314" s="4">
        <v>4</v>
      </c>
      <c r="AG314" s="4">
        <v>4</v>
      </c>
      <c r="AH314" s="4">
        <v>1</v>
      </c>
      <c r="AI314" s="4">
        <v>1</v>
      </c>
      <c r="AJ314" s="4">
        <v>4</v>
      </c>
      <c r="AK314" s="4">
        <v>4</v>
      </c>
      <c r="AL314" s="4">
        <v>1</v>
      </c>
      <c r="AM314" s="4">
        <v>1</v>
      </c>
      <c r="AN314" s="4">
        <v>0</v>
      </c>
      <c r="AO314" s="4">
        <v>0</v>
      </c>
      <c r="AP314" s="3" t="s">
        <v>58</v>
      </c>
      <c r="AQ314" s="3" t="s">
        <v>58</v>
      </c>
      <c r="AS314" s="6" t="str">
        <f>HYPERLINK("https://creighton-primo.hosted.exlibrisgroup.com/primo-explore/search?tab=default_tab&amp;search_scope=EVERYTHING&amp;vid=01CRU&amp;lang=en_US&amp;offset=0&amp;query=any,contains,991000141109702656","Catalog Record")</f>
        <v>Catalog Record</v>
      </c>
      <c r="AT314" s="6" t="str">
        <f>HYPERLINK("http://www.worldcat.org/oclc/9155015","WorldCat Record")</f>
        <v>WorldCat Record</v>
      </c>
      <c r="AU314" s="3" t="s">
        <v>4280</v>
      </c>
      <c r="AV314" s="3" t="s">
        <v>4281</v>
      </c>
      <c r="AW314" s="3" t="s">
        <v>4282</v>
      </c>
      <c r="AX314" s="3" t="s">
        <v>4282</v>
      </c>
      <c r="AY314" s="3" t="s">
        <v>4283</v>
      </c>
      <c r="AZ314" s="3" t="s">
        <v>74</v>
      </c>
      <c r="BB314" s="3" t="s">
        <v>4284</v>
      </c>
      <c r="BC314" s="3" t="s">
        <v>4285</v>
      </c>
      <c r="BD314" s="3" t="s">
        <v>4286</v>
      </c>
    </row>
    <row r="315" spans="1:56" ht="45.75" customHeight="1" x14ac:dyDescent="0.25">
      <c r="A315" s="7" t="s">
        <v>58</v>
      </c>
      <c r="B315" s="2" t="s">
        <v>4287</v>
      </c>
      <c r="C315" s="2" t="s">
        <v>4288</v>
      </c>
      <c r="D315" s="2" t="s">
        <v>4289</v>
      </c>
      <c r="F315" s="3" t="s">
        <v>58</v>
      </c>
      <c r="G315" s="3" t="s">
        <v>59</v>
      </c>
      <c r="H315" s="3" t="s">
        <v>58</v>
      </c>
      <c r="I315" s="3" t="s">
        <v>58</v>
      </c>
      <c r="J315" s="3" t="s">
        <v>60</v>
      </c>
      <c r="K315" s="2" t="s">
        <v>4290</v>
      </c>
      <c r="L315" s="2" t="s">
        <v>4291</v>
      </c>
      <c r="M315" s="3" t="s">
        <v>1500</v>
      </c>
      <c r="N315" s="2" t="s">
        <v>543</v>
      </c>
      <c r="O315" s="3" t="s">
        <v>65</v>
      </c>
      <c r="P315" s="3" t="s">
        <v>84</v>
      </c>
      <c r="R315" s="3" t="s">
        <v>67</v>
      </c>
      <c r="S315" s="4">
        <v>17</v>
      </c>
      <c r="T315" s="4">
        <v>17</v>
      </c>
      <c r="U315" s="5" t="s">
        <v>4292</v>
      </c>
      <c r="V315" s="5" t="s">
        <v>4292</v>
      </c>
      <c r="W315" s="5" t="s">
        <v>4293</v>
      </c>
      <c r="X315" s="5" t="s">
        <v>4293</v>
      </c>
      <c r="Y315" s="4">
        <v>460</v>
      </c>
      <c r="Z315" s="4">
        <v>441</v>
      </c>
      <c r="AA315" s="4">
        <v>494</v>
      </c>
      <c r="AB315" s="4">
        <v>3</v>
      </c>
      <c r="AC315" s="4">
        <v>3</v>
      </c>
      <c r="AD315" s="4">
        <v>7</v>
      </c>
      <c r="AE315" s="4">
        <v>7</v>
      </c>
      <c r="AF315" s="4">
        <v>3</v>
      </c>
      <c r="AG315" s="4">
        <v>3</v>
      </c>
      <c r="AH315" s="4">
        <v>1</v>
      </c>
      <c r="AI315" s="4">
        <v>1</v>
      </c>
      <c r="AJ315" s="4">
        <v>5</v>
      </c>
      <c r="AK315" s="4">
        <v>5</v>
      </c>
      <c r="AL315" s="4">
        <v>1</v>
      </c>
      <c r="AM315" s="4">
        <v>1</v>
      </c>
      <c r="AN315" s="4">
        <v>0</v>
      </c>
      <c r="AO315" s="4">
        <v>0</v>
      </c>
      <c r="AP315" s="3" t="s">
        <v>58</v>
      </c>
      <c r="AQ315" s="3" t="s">
        <v>87</v>
      </c>
      <c r="AR315" s="6" t="str">
        <f>HYPERLINK("http://catalog.hathitrust.org/Record/009807142","HathiTrust Record")</f>
        <v>HathiTrust Record</v>
      </c>
      <c r="AS315" s="6" t="str">
        <f>HYPERLINK("https://creighton-primo.hosted.exlibrisgroup.com/primo-explore/search?tab=default_tab&amp;search_scope=EVERYTHING&amp;vid=01CRU&amp;lang=en_US&amp;offset=0&amp;query=any,contains,991004935979702656","Catalog Record")</f>
        <v>Catalog Record</v>
      </c>
      <c r="AT315" s="6" t="str">
        <f>HYPERLINK("http://www.worldcat.org/oclc/6142997","WorldCat Record")</f>
        <v>WorldCat Record</v>
      </c>
      <c r="AU315" s="3" t="s">
        <v>4294</v>
      </c>
      <c r="AV315" s="3" t="s">
        <v>4295</v>
      </c>
      <c r="AW315" s="3" t="s">
        <v>4296</v>
      </c>
      <c r="AX315" s="3" t="s">
        <v>4296</v>
      </c>
      <c r="AY315" s="3" t="s">
        <v>4297</v>
      </c>
      <c r="AZ315" s="3" t="s">
        <v>74</v>
      </c>
      <c r="BB315" s="3" t="s">
        <v>4298</v>
      </c>
      <c r="BC315" s="3" t="s">
        <v>4299</v>
      </c>
      <c r="BD315" s="3" t="s">
        <v>4300</v>
      </c>
    </row>
    <row r="316" spans="1:56" ht="45.75" customHeight="1" x14ac:dyDescent="0.25">
      <c r="A316" s="7" t="s">
        <v>58</v>
      </c>
      <c r="B316" s="2" t="s">
        <v>4301</v>
      </c>
      <c r="C316" s="2" t="s">
        <v>4302</v>
      </c>
      <c r="D316" s="2" t="s">
        <v>4303</v>
      </c>
      <c r="F316" s="3" t="s">
        <v>58</v>
      </c>
      <c r="G316" s="3" t="s">
        <v>59</v>
      </c>
      <c r="H316" s="3" t="s">
        <v>58</v>
      </c>
      <c r="I316" s="3" t="s">
        <v>58</v>
      </c>
      <c r="J316" s="3" t="s">
        <v>60</v>
      </c>
      <c r="L316" s="2" t="s">
        <v>4304</v>
      </c>
      <c r="M316" s="3" t="s">
        <v>83</v>
      </c>
      <c r="O316" s="3" t="s">
        <v>65</v>
      </c>
      <c r="P316" s="3" t="s">
        <v>1238</v>
      </c>
      <c r="R316" s="3" t="s">
        <v>67</v>
      </c>
      <c r="S316" s="4">
        <v>38</v>
      </c>
      <c r="T316" s="4">
        <v>38</v>
      </c>
      <c r="U316" s="5" t="s">
        <v>4305</v>
      </c>
      <c r="V316" s="5" t="s">
        <v>4305</v>
      </c>
      <c r="W316" s="5" t="s">
        <v>3682</v>
      </c>
      <c r="X316" s="5" t="s">
        <v>3682</v>
      </c>
      <c r="Y316" s="4">
        <v>283</v>
      </c>
      <c r="Z316" s="4">
        <v>255</v>
      </c>
      <c r="AA316" s="4">
        <v>271</v>
      </c>
      <c r="AB316" s="4">
        <v>4</v>
      </c>
      <c r="AC316" s="4">
        <v>4</v>
      </c>
      <c r="AD316" s="4">
        <v>12</v>
      </c>
      <c r="AE316" s="4">
        <v>14</v>
      </c>
      <c r="AF316" s="4">
        <v>4</v>
      </c>
      <c r="AG316" s="4">
        <v>5</v>
      </c>
      <c r="AH316" s="4">
        <v>1</v>
      </c>
      <c r="AI316" s="4">
        <v>2</v>
      </c>
      <c r="AJ316" s="4">
        <v>7</v>
      </c>
      <c r="AK316" s="4">
        <v>7</v>
      </c>
      <c r="AL316" s="4">
        <v>3</v>
      </c>
      <c r="AM316" s="4">
        <v>3</v>
      </c>
      <c r="AN316" s="4">
        <v>0</v>
      </c>
      <c r="AO316" s="4">
        <v>0</v>
      </c>
      <c r="AP316" s="3" t="s">
        <v>58</v>
      </c>
      <c r="AQ316" s="3" t="s">
        <v>87</v>
      </c>
      <c r="AR316" s="6" t="str">
        <f>HYPERLINK("http://catalog.hathitrust.org/Record/009134856","HathiTrust Record")</f>
        <v>HathiTrust Record</v>
      </c>
      <c r="AS316" s="6" t="str">
        <f>HYPERLINK("https://creighton-primo.hosted.exlibrisgroup.com/primo-explore/search?tab=default_tab&amp;search_scope=EVERYTHING&amp;vid=01CRU&amp;lang=en_US&amp;offset=0&amp;query=any,contains,991000943999702656","Catalog Record")</f>
        <v>Catalog Record</v>
      </c>
      <c r="AT316" s="6" t="str">
        <f>HYPERLINK("http://www.worldcat.org/oclc/14509503","WorldCat Record")</f>
        <v>WorldCat Record</v>
      </c>
      <c r="AU316" s="3" t="s">
        <v>4306</v>
      </c>
      <c r="AV316" s="3" t="s">
        <v>4307</v>
      </c>
      <c r="AW316" s="3" t="s">
        <v>4308</v>
      </c>
      <c r="AX316" s="3" t="s">
        <v>4308</v>
      </c>
      <c r="AY316" s="3" t="s">
        <v>4309</v>
      </c>
      <c r="AZ316" s="3" t="s">
        <v>74</v>
      </c>
      <c r="BB316" s="3" t="s">
        <v>4310</v>
      </c>
      <c r="BC316" s="3" t="s">
        <v>4311</v>
      </c>
      <c r="BD316" s="3" t="s">
        <v>4312</v>
      </c>
    </row>
    <row r="317" spans="1:56" ht="45.75" customHeight="1" x14ac:dyDescent="0.25">
      <c r="A317" s="7" t="s">
        <v>58</v>
      </c>
      <c r="B317" s="2" t="s">
        <v>4313</v>
      </c>
      <c r="C317" s="2" t="s">
        <v>4314</v>
      </c>
      <c r="D317" s="2" t="s">
        <v>4315</v>
      </c>
      <c r="F317" s="3" t="s">
        <v>58</v>
      </c>
      <c r="G317" s="3" t="s">
        <v>59</v>
      </c>
      <c r="H317" s="3" t="s">
        <v>58</v>
      </c>
      <c r="I317" s="3" t="s">
        <v>58</v>
      </c>
      <c r="J317" s="3" t="s">
        <v>60</v>
      </c>
      <c r="K317" s="2" t="s">
        <v>4316</v>
      </c>
      <c r="L317" s="2" t="s">
        <v>4317</v>
      </c>
      <c r="M317" s="3" t="s">
        <v>1209</v>
      </c>
      <c r="O317" s="3" t="s">
        <v>65</v>
      </c>
      <c r="P317" s="3" t="s">
        <v>132</v>
      </c>
      <c r="R317" s="3" t="s">
        <v>67</v>
      </c>
      <c r="S317" s="4">
        <v>4</v>
      </c>
      <c r="T317" s="4">
        <v>4</v>
      </c>
      <c r="U317" s="5" t="s">
        <v>4292</v>
      </c>
      <c r="V317" s="5" t="s">
        <v>4292</v>
      </c>
      <c r="W317" s="5" t="s">
        <v>4318</v>
      </c>
      <c r="X317" s="5" t="s">
        <v>4318</v>
      </c>
      <c r="Y317" s="4">
        <v>214</v>
      </c>
      <c r="Z317" s="4">
        <v>207</v>
      </c>
      <c r="AA317" s="4">
        <v>230</v>
      </c>
      <c r="AB317" s="4">
        <v>2</v>
      </c>
      <c r="AC317" s="4">
        <v>2</v>
      </c>
      <c r="AD317" s="4">
        <v>3</v>
      </c>
      <c r="AE317" s="4">
        <v>5</v>
      </c>
      <c r="AF317" s="4">
        <v>0</v>
      </c>
      <c r="AG317" s="4">
        <v>1</v>
      </c>
      <c r="AH317" s="4">
        <v>1</v>
      </c>
      <c r="AI317" s="4">
        <v>2</v>
      </c>
      <c r="AJ317" s="4">
        <v>3</v>
      </c>
      <c r="AK317" s="4">
        <v>3</v>
      </c>
      <c r="AL317" s="4">
        <v>0</v>
      </c>
      <c r="AM317" s="4">
        <v>0</v>
      </c>
      <c r="AN317" s="4">
        <v>0</v>
      </c>
      <c r="AO317" s="4">
        <v>0</v>
      </c>
      <c r="AP317" s="3" t="s">
        <v>58</v>
      </c>
      <c r="AQ317" s="3" t="s">
        <v>58</v>
      </c>
      <c r="AS317" s="6" t="str">
        <f>HYPERLINK("https://creighton-primo.hosted.exlibrisgroup.com/primo-explore/search?tab=default_tab&amp;search_scope=EVERYTHING&amp;vid=01CRU&amp;lang=en_US&amp;offset=0&amp;query=any,contains,991003933739702656","Catalog Record")</f>
        <v>Catalog Record</v>
      </c>
      <c r="AT317" s="6" t="str">
        <f>HYPERLINK("http://www.worldcat.org/oclc/15018314","WorldCat Record")</f>
        <v>WorldCat Record</v>
      </c>
      <c r="AU317" s="3" t="s">
        <v>4319</v>
      </c>
      <c r="AV317" s="3" t="s">
        <v>4320</v>
      </c>
      <c r="AW317" s="3" t="s">
        <v>4321</v>
      </c>
      <c r="AX317" s="3" t="s">
        <v>4321</v>
      </c>
      <c r="AY317" s="3" t="s">
        <v>4322</v>
      </c>
      <c r="AZ317" s="3" t="s">
        <v>74</v>
      </c>
      <c r="BB317" s="3" t="s">
        <v>4323</v>
      </c>
      <c r="BC317" s="3" t="s">
        <v>4324</v>
      </c>
      <c r="BD317" s="3" t="s">
        <v>4325</v>
      </c>
    </row>
    <row r="318" spans="1:56" ht="45.75" customHeight="1" x14ac:dyDescent="0.25">
      <c r="A318" s="7" t="s">
        <v>58</v>
      </c>
      <c r="B318" s="2" t="s">
        <v>4326</v>
      </c>
      <c r="C318" s="2" t="s">
        <v>4327</v>
      </c>
      <c r="D318" s="2" t="s">
        <v>4328</v>
      </c>
      <c r="F318" s="3" t="s">
        <v>58</v>
      </c>
      <c r="G318" s="3" t="s">
        <v>59</v>
      </c>
      <c r="H318" s="3" t="s">
        <v>58</v>
      </c>
      <c r="I318" s="3" t="s">
        <v>58</v>
      </c>
      <c r="J318" s="3" t="s">
        <v>60</v>
      </c>
      <c r="K318" s="2" t="s">
        <v>4329</v>
      </c>
      <c r="L318" s="2" t="s">
        <v>4330</v>
      </c>
      <c r="M318" s="3" t="s">
        <v>1088</v>
      </c>
      <c r="O318" s="3" t="s">
        <v>65</v>
      </c>
      <c r="P318" s="3" t="s">
        <v>132</v>
      </c>
      <c r="R318" s="3" t="s">
        <v>67</v>
      </c>
      <c r="S318" s="4">
        <v>11</v>
      </c>
      <c r="T318" s="4">
        <v>11</v>
      </c>
      <c r="U318" s="5" t="s">
        <v>4292</v>
      </c>
      <c r="V318" s="5" t="s">
        <v>4292</v>
      </c>
      <c r="W318" s="5" t="s">
        <v>4331</v>
      </c>
      <c r="X318" s="5" t="s">
        <v>4331</v>
      </c>
      <c r="Y318" s="4">
        <v>303</v>
      </c>
      <c r="Z318" s="4">
        <v>287</v>
      </c>
      <c r="AA318" s="4">
        <v>306</v>
      </c>
      <c r="AB318" s="4">
        <v>3</v>
      </c>
      <c r="AC318" s="4">
        <v>3</v>
      </c>
      <c r="AD318" s="4">
        <v>6</v>
      </c>
      <c r="AE318" s="4">
        <v>6</v>
      </c>
      <c r="AF318" s="4">
        <v>3</v>
      </c>
      <c r="AG318" s="4">
        <v>3</v>
      </c>
      <c r="AH318" s="4">
        <v>2</v>
      </c>
      <c r="AI318" s="4">
        <v>2</v>
      </c>
      <c r="AJ318" s="4">
        <v>5</v>
      </c>
      <c r="AK318" s="4">
        <v>5</v>
      </c>
      <c r="AL318" s="4">
        <v>0</v>
      </c>
      <c r="AM318" s="4">
        <v>0</v>
      </c>
      <c r="AN318" s="4">
        <v>0</v>
      </c>
      <c r="AO318" s="4">
        <v>0</v>
      </c>
      <c r="AP318" s="3" t="s">
        <v>58</v>
      </c>
      <c r="AQ318" s="3" t="s">
        <v>58</v>
      </c>
      <c r="AS318" s="6" t="str">
        <f>HYPERLINK("https://creighton-primo.hosted.exlibrisgroup.com/primo-explore/search?tab=default_tab&amp;search_scope=EVERYTHING&amp;vid=01CRU&amp;lang=en_US&amp;offset=0&amp;query=any,contains,991001098759702656","Catalog Record")</f>
        <v>Catalog Record</v>
      </c>
      <c r="AT318" s="6" t="str">
        <f>HYPERLINK("http://www.worldcat.org/oclc/16278192","WorldCat Record")</f>
        <v>WorldCat Record</v>
      </c>
      <c r="AU318" s="3" t="s">
        <v>4332</v>
      </c>
      <c r="AV318" s="3" t="s">
        <v>4333</v>
      </c>
      <c r="AW318" s="3" t="s">
        <v>4334</v>
      </c>
      <c r="AX318" s="3" t="s">
        <v>4334</v>
      </c>
      <c r="AY318" s="3" t="s">
        <v>4335</v>
      </c>
      <c r="AZ318" s="3" t="s">
        <v>74</v>
      </c>
      <c r="BB318" s="3" t="s">
        <v>4336</v>
      </c>
      <c r="BC318" s="3" t="s">
        <v>4337</v>
      </c>
      <c r="BD318" s="3" t="s">
        <v>4338</v>
      </c>
    </row>
    <row r="319" spans="1:56" ht="45.75" customHeight="1" x14ac:dyDescent="0.25">
      <c r="A319" s="7" t="s">
        <v>58</v>
      </c>
      <c r="B319" s="2" t="s">
        <v>4339</v>
      </c>
      <c r="C319" s="2" t="s">
        <v>4340</v>
      </c>
      <c r="D319" s="2" t="s">
        <v>4341</v>
      </c>
      <c r="F319" s="3" t="s">
        <v>58</v>
      </c>
      <c r="G319" s="3" t="s">
        <v>59</v>
      </c>
      <c r="H319" s="3" t="s">
        <v>58</v>
      </c>
      <c r="I319" s="3" t="s">
        <v>58</v>
      </c>
      <c r="J319" s="3" t="s">
        <v>60</v>
      </c>
      <c r="K319" s="2" t="s">
        <v>4342</v>
      </c>
      <c r="L319" s="2" t="s">
        <v>4343</v>
      </c>
      <c r="M319" s="3" t="s">
        <v>742</v>
      </c>
      <c r="O319" s="3" t="s">
        <v>65</v>
      </c>
      <c r="P319" s="3" t="s">
        <v>336</v>
      </c>
      <c r="R319" s="3" t="s">
        <v>67</v>
      </c>
      <c r="S319" s="4">
        <v>2</v>
      </c>
      <c r="T319" s="4">
        <v>2</v>
      </c>
      <c r="U319" s="5" t="s">
        <v>4292</v>
      </c>
      <c r="V319" s="5" t="s">
        <v>4292</v>
      </c>
      <c r="W319" s="5" t="s">
        <v>4344</v>
      </c>
      <c r="X319" s="5" t="s">
        <v>4344</v>
      </c>
      <c r="Y319" s="4">
        <v>73</v>
      </c>
      <c r="Z319" s="4">
        <v>71</v>
      </c>
      <c r="AA319" s="4">
        <v>164</v>
      </c>
      <c r="AB319" s="4">
        <v>1</v>
      </c>
      <c r="AC319" s="4">
        <v>1</v>
      </c>
      <c r="AD319" s="4">
        <v>2</v>
      </c>
      <c r="AE319" s="4">
        <v>6</v>
      </c>
      <c r="AF319" s="4">
        <v>1</v>
      </c>
      <c r="AG319" s="4">
        <v>1</v>
      </c>
      <c r="AH319" s="4">
        <v>0</v>
      </c>
      <c r="AI319" s="4">
        <v>2</v>
      </c>
      <c r="AJ319" s="4">
        <v>1</v>
      </c>
      <c r="AK319" s="4">
        <v>3</v>
      </c>
      <c r="AL319" s="4">
        <v>0</v>
      </c>
      <c r="AM319" s="4">
        <v>0</v>
      </c>
      <c r="AN319" s="4">
        <v>0</v>
      </c>
      <c r="AO319" s="4">
        <v>0</v>
      </c>
      <c r="AP319" s="3" t="s">
        <v>58</v>
      </c>
      <c r="AQ319" s="3" t="s">
        <v>58</v>
      </c>
      <c r="AS319" s="6" t="str">
        <f>HYPERLINK("https://creighton-primo.hosted.exlibrisgroup.com/primo-explore/search?tab=default_tab&amp;search_scope=EVERYTHING&amp;vid=01CRU&amp;lang=en_US&amp;offset=0&amp;query=any,contains,991003828059702656","Catalog Record")</f>
        <v>Catalog Record</v>
      </c>
      <c r="AT319" s="6" t="str">
        <f>HYPERLINK("http://www.worldcat.org/oclc/21728723","WorldCat Record")</f>
        <v>WorldCat Record</v>
      </c>
      <c r="AU319" s="3" t="s">
        <v>4345</v>
      </c>
      <c r="AV319" s="3" t="s">
        <v>4346</v>
      </c>
      <c r="AW319" s="3" t="s">
        <v>4347</v>
      </c>
      <c r="AX319" s="3" t="s">
        <v>4347</v>
      </c>
      <c r="AY319" s="3" t="s">
        <v>4348</v>
      </c>
      <c r="AZ319" s="3" t="s">
        <v>74</v>
      </c>
      <c r="BC319" s="3" t="s">
        <v>4349</v>
      </c>
      <c r="BD319" s="3" t="s">
        <v>4350</v>
      </c>
    </row>
    <row r="320" spans="1:56" ht="45.75" customHeight="1" x14ac:dyDescent="0.25">
      <c r="A320" s="7" t="s">
        <v>58</v>
      </c>
      <c r="B320" s="2" t="s">
        <v>4351</v>
      </c>
      <c r="C320" s="2" t="s">
        <v>4352</v>
      </c>
      <c r="D320" s="2" t="s">
        <v>4353</v>
      </c>
      <c r="F320" s="3" t="s">
        <v>58</v>
      </c>
      <c r="G320" s="3" t="s">
        <v>59</v>
      </c>
      <c r="H320" s="3" t="s">
        <v>58</v>
      </c>
      <c r="I320" s="3" t="s">
        <v>58</v>
      </c>
      <c r="J320" s="3" t="s">
        <v>60</v>
      </c>
      <c r="K320" s="2" t="s">
        <v>4354</v>
      </c>
      <c r="L320" s="2" t="s">
        <v>4355</v>
      </c>
      <c r="M320" s="3" t="s">
        <v>290</v>
      </c>
      <c r="O320" s="3" t="s">
        <v>65</v>
      </c>
      <c r="P320" s="3" t="s">
        <v>529</v>
      </c>
      <c r="Q320" s="2" t="s">
        <v>4356</v>
      </c>
      <c r="R320" s="3" t="s">
        <v>67</v>
      </c>
      <c r="S320" s="4">
        <v>1</v>
      </c>
      <c r="T320" s="4">
        <v>1</v>
      </c>
      <c r="U320" s="5" t="s">
        <v>4357</v>
      </c>
      <c r="V320" s="5" t="s">
        <v>4357</v>
      </c>
      <c r="W320" s="5" t="s">
        <v>4357</v>
      </c>
      <c r="X320" s="5" t="s">
        <v>4357</v>
      </c>
      <c r="Y320" s="4">
        <v>1021</v>
      </c>
      <c r="Z320" s="4">
        <v>990</v>
      </c>
      <c r="AA320" s="4">
        <v>1044</v>
      </c>
      <c r="AB320" s="4">
        <v>7</v>
      </c>
      <c r="AC320" s="4">
        <v>8</v>
      </c>
      <c r="AD320" s="4">
        <v>35</v>
      </c>
      <c r="AE320" s="4">
        <v>36</v>
      </c>
      <c r="AF320" s="4">
        <v>16</v>
      </c>
      <c r="AG320" s="4">
        <v>16</v>
      </c>
      <c r="AH320" s="4">
        <v>9</v>
      </c>
      <c r="AI320" s="4">
        <v>9</v>
      </c>
      <c r="AJ320" s="4">
        <v>17</v>
      </c>
      <c r="AK320" s="4">
        <v>17</v>
      </c>
      <c r="AL320" s="4">
        <v>4</v>
      </c>
      <c r="AM320" s="4">
        <v>5</v>
      </c>
      <c r="AN320" s="4">
        <v>0</v>
      </c>
      <c r="AO320" s="4">
        <v>0</v>
      </c>
      <c r="AP320" s="3" t="s">
        <v>58</v>
      </c>
      <c r="AQ320" s="3" t="s">
        <v>58</v>
      </c>
      <c r="AS320" s="6" t="str">
        <f>HYPERLINK("https://creighton-primo.hosted.exlibrisgroup.com/primo-explore/search?tab=default_tab&amp;search_scope=EVERYTHING&amp;vid=01CRU&amp;lang=en_US&amp;offset=0&amp;query=any,contains,991003610589702656","Catalog Record")</f>
        <v>Catalog Record</v>
      </c>
      <c r="AT320" s="6" t="str">
        <f>HYPERLINK("http://www.worldcat.org/oclc/44868996","WorldCat Record")</f>
        <v>WorldCat Record</v>
      </c>
      <c r="AU320" s="3" t="s">
        <v>4358</v>
      </c>
      <c r="AV320" s="3" t="s">
        <v>4359</v>
      </c>
      <c r="AW320" s="3" t="s">
        <v>4360</v>
      </c>
      <c r="AX320" s="3" t="s">
        <v>4360</v>
      </c>
      <c r="AY320" s="3" t="s">
        <v>4361</v>
      </c>
      <c r="AZ320" s="3" t="s">
        <v>74</v>
      </c>
      <c r="BB320" s="3" t="s">
        <v>4362</v>
      </c>
      <c r="BC320" s="3" t="s">
        <v>4363</v>
      </c>
      <c r="BD320" s="3" t="s">
        <v>4364</v>
      </c>
    </row>
    <row r="321" spans="1:56" ht="45.75" customHeight="1" x14ac:dyDescent="0.25">
      <c r="A321" s="7" t="s">
        <v>58</v>
      </c>
      <c r="B321" s="2" t="s">
        <v>4365</v>
      </c>
      <c r="C321" s="2" t="s">
        <v>4366</v>
      </c>
      <c r="D321" s="2" t="s">
        <v>4367</v>
      </c>
      <c r="F321" s="3" t="s">
        <v>58</v>
      </c>
      <c r="G321" s="3" t="s">
        <v>59</v>
      </c>
      <c r="H321" s="3" t="s">
        <v>58</v>
      </c>
      <c r="I321" s="3" t="s">
        <v>58</v>
      </c>
      <c r="J321" s="3" t="s">
        <v>60</v>
      </c>
      <c r="K321" s="2" t="s">
        <v>4368</v>
      </c>
      <c r="L321" s="2" t="s">
        <v>4369</v>
      </c>
      <c r="M321" s="3" t="s">
        <v>116</v>
      </c>
      <c r="O321" s="3" t="s">
        <v>65</v>
      </c>
      <c r="P321" s="3" t="s">
        <v>66</v>
      </c>
      <c r="R321" s="3" t="s">
        <v>67</v>
      </c>
      <c r="S321" s="4">
        <v>5</v>
      </c>
      <c r="T321" s="4">
        <v>5</v>
      </c>
      <c r="U321" s="5" t="s">
        <v>4370</v>
      </c>
      <c r="V321" s="5" t="s">
        <v>4370</v>
      </c>
      <c r="W321" s="5" t="s">
        <v>4371</v>
      </c>
      <c r="X321" s="5" t="s">
        <v>4371</v>
      </c>
      <c r="Y321" s="4">
        <v>444</v>
      </c>
      <c r="Z321" s="4">
        <v>377</v>
      </c>
      <c r="AA321" s="4">
        <v>827</v>
      </c>
      <c r="AB321" s="4">
        <v>5</v>
      </c>
      <c r="AC321" s="4">
        <v>8</v>
      </c>
      <c r="AD321" s="4">
        <v>23</v>
      </c>
      <c r="AE321" s="4">
        <v>29</v>
      </c>
      <c r="AF321" s="4">
        <v>7</v>
      </c>
      <c r="AG321" s="4">
        <v>10</v>
      </c>
      <c r="AH321" s="4">
        <v>8</v>
      </c>
      <c r="AI321" s="4">
        <v>8</v>
      </c>
      <c r="AJ321" s="4">
        <v>10</v>
      </c>
      <c r="AK321" s="4">
        <v>10</v>
      </c>
      <c r="AL321" s="4">
        <v>4</v>
      </c>
      <c r="AM321" s="4">
        <v>7</v>
      </c>
      <c r="AN321" s="4">
        <v>1</v>
      </c>
      <c r="AO321" s="4">
        <v>1</v>
      </c>
      <c r="AP321" s="3" t="s">
        <v>58</v>
      </c>
      <c r="AQ321" s="3" t="s">
        <v>87</v>
      </c>
      <c r="AR321" s="6" t="str">
        <f>HYPERLINK("http://catalog.hathitrust.org/Record/004013310","HathiTrust Record")</f>
        <v>HathiTrust Record</v>
      </c>
      <c r="AS321" s="6" t="str">
        <f>HYPERLINK("https://creighton-primo.hosted.exlibrisgroup.com/primo-explore/search?tab=default_tab&amp;search_scope=EVERYTHING&amp;vid=01CRU&amp;lang=en_US&amp;offset=0&amp;query=any,contains,991002936089702656","Catalog Record")</f>
        <v>Catalog Record</v>
      </c>
      <c r="AT321" s="6" t="str">
        <f>HYPERLINK("http://www.worldcat.org/oclc/39051835","WorldCat Record")</f>
        <v>WorldCat Record</v>
      </c>
      <c r="AU321" s="3" t="s">
        <v>4372</v>
      </c>
      <c r="AV321" s="3" t="s">
        <v>4373</v>
      </c>
      <c r="AW321" s="3" t="s">
        <v>4374</v>
      </c>
      <c r="AX321" s="3" t="s">
        <v>4374</v>
      </c>
      <c r="AY321" s="3" t="s">
        <v>4375</v>
      </c>
      <c r="AZ321" s="3" t="s">
        <v>74</v>
      </c>
      <c r="BB321" s="3" t="s">
        <v>4376</v>
      </c>
      <c r="BC321" s="3" t="s">
        <v>4377</v>
      </c>
      <c r="BD321" s="3" t="s">
        <v>4378</v>
      </c>
    </row>
    <row r="322" spans="1:56" ht="45.75" customHeight="1" x14ac:dyDescent="0.25">
      <c r="A322" s="7" t="s">
        <v>58</v>
      </c>
      <c r="B322" s="2" t="s">
        <v>4379</v>
      </c>
      <c r="C322" s="2" t="s">
        <v>4380</v>
      </c>
      <c r="D322" s="2" t="s">
        <v>4381</v>
      </c>
      <c r="F322" s="3" t="s">
        <v>58</v>
      </c>
      <c r="G322" s="3" t="s">
        <v>59</v>
      </c>
      <c r="H322" s="3" t="s">
        <v>58</v>
      </c>
      <c r="I322" s="3" t="s">
        <v>58</v>
      </c>
      <c r="J322" s="3" t="s">
        <v>60</v>
      </c>
      <c r="K322" s="2" t="s">
        <v>4368</v>
      </c>
      <c r="L322" s="2" t="s">
        <v>4382</v>
      </c>
      <c r="M322" s="3" t="s">
        <v>629</v>
      </c>
      <c r="O322" s="3" t="s">
        <v>65</v>
      </c>
      <c r="P322" s="3" t="s">
        <v>66</v>
      </c>
      <c r="R322" s="3" t="s">
        <v>67</v>
      </c>
      <c r="S322" s="4">
        <v>1</v>
      </c>
      <c r="T322" s="4">
        <v>1</v>
      </c>
      <c r="U322" s="5" t="s">
        <v>4383</v>
      </c>
      <c r="V322" s="5" t="s">
        <v>4383</v>
      </c>
      <c r="W322" s="5" t="s">
        <v>4384</v>
      </c>
      <c r="X322" s="5" t="s">
        <v>4384</v>
      </c>
      <c r="Y322" s="4">
        <v>658</v>
      </c>
      <c r="Z322" s="4">
        <v>540</v>
      </c>
      <c r="AA322" s="4">
        <v>540</v>
      </c>
      <c r="AB322" s="4">
        <v>6</v>
      </c>
      <c r="AC322" s="4">
        <v>6</v>
      </c>
      <c r="AD322" s="4">
        <v>28</v>
      </c>
      <c r="AE322" s="4">
        <v>28</v>
      </c>
      <c r="AF322" s="4">
        <v>11</v>
      </c>
      <c r="AG322" s="4">
        <v>11</v>
      </c>
      <c r="AH322" s="4">
        <v>6</v>
      </c>
      <c r="AI322" s="4">
        <v>6</v>
      </c>
      <c r="AJ322" s="4">
        <v>15</v>
      </c>
      <c r="AK322" s="4">
        <v>15</v>
      </c>
      <c r="AL322" s="4">
        <v>5</v>
      </c>
      <c r="AM322" s="4">
        <v>5</v>
      </c>
      <c r="AN322" s="4">
        <v>1</v>
      </c>
      <c r="AO322" s="4">
        <v>1</v>
      </c>
      <c r="AP322" s="3" t="s">
        <v>58</v>
      </c>
      <c r="AQ322" s="3" t="s">
        <v>58</v>
      </c>
      <c r="AS322" s="6" t="str">
        <f>HYPERLINK("https://creighton-primo.hosted.exlibrisgroup.com/primo-explore/search?tab=default_tab&amp;search_scope=EVERYTHING&amp;vid=01CRU&amp;lang=en_US&amp;offset=0&amp;query=any,contains,991002291939702656","Catalog Record")</f>
        <v>Catalog Record</v>
      </c>
      <c r="AT322" s="6" t="str">
        <f>HYPERLINK("http://www.worldcat.org/oclc/29703252","WorldCat Record")</f>
        <v>WorldCat Record</v>
      </c>
      <c r="AU322" s="3" t="s">
        <v>4385</v>
      </c>
      <c r="AV322" s="3" t="s">
        <v>4386</v>
      </c>
      <c r="AW322" s="3" t="s">
        <v>4387</v>
      </c>
      <c r="AX322" s="3" t="s">
        <v>4387</v>
      </c>
      <c r="AY322" s="3" t="s">
        <v>4388</v>
      </c>
      <c r="AZ322" s="3" t="s">
        <v>74</v>
      </c>
      <c r="BB322" s="3" t="s">
        <v>4389</v>
      </c>
      <c r="BC322" s="3" t="s">
        <v>4390</v>
      </c>
      <c r="BD322" s="3" t="s">
        <v>4391</v>
      </c>
    </row>
    <row r="323" spans="1:56" ht="45.75" customHeight="1" x14ac:dyDescent="0.25">
      <c r="A323" s="7" t="s">
        <v>58</v>
      </c>
      <c r="B323" s="2" t="s">
        <v>4392</v>
      </c>
      <c r="C323" s="2" t="s">
        <v>4393</v>
      </c>
      <c r="D323" s="2" t="s">
        <v>4394</v>
      </c>
      <c r="F323" s="3" t="s">
        <v>58</v>
      </c>
      <c r="G323" s="3" t="s">
        <v>59</v>
      </c>
      <c r="H323" s="3" t="s">
        <v>58</v>
      </c>
      <c r="I323" s="3" t="s">
        <v>58</v>
      </c>
      <c r="J323" s="3" t="s">
        <v>60</v>
      </c>
      <c r="L323" s="2" t="s">
        <v>4395</v>
      </c>
      <c r="M323" s="3" t="s">
        <v>290</v>
      </c>
      <c r="O323" s="3" t="s">
        <v>65</v>
      </c>
      <c r="P323" s="3" t="s">
        <v>66</v>
      </c>
      <c r="R323" s="3" t="s">
        <v>67</v>
      </c>
      <c r="S323" s="4">
        <v>5</v>
      </c>
      <c r="T323" s="4">
        <v>5</v>
      </c>
      <c r="U323" s="5" t="s">
        <v>4396</v>
      </c>
      <c r="V323" s="5" t="s">
        <v>4396</v>
      </c>
      <c r="W323" s="5" t="s">
        <v>4397</v>
      </c>
      <c r="X323" s="5" t="s">
        <v>4397</v>
      </c>
      <c r="Y323" s="4">
        <v>417</v>
      </c>
      <c r="Z323" s="4">
        <v>351</v>
      </c>
      <c r="AA323" s="4">
        <v>540</v>
      </c>
      <c r="AB323" s="4">
        <v>3</v>
      </c>
      <c r="AC323" s="4">
        <v>3</v>
      </c>
      <c r="AD323" s="4">
        <v>18</v>
      </c>
      <c r="AE323" s="4">
        <v>30</v>
      </c>
      <c r="AF323" s="4">
        <v>6</v>
      </c>
      <c r="AG323" s="4">
        <v>13</v>
      </c>
      <c r="AH323" s="4">
        <v>5</v>
      </c>
      <c r="AI323" s="4">
        <v>8</v>
      </c>
      <c r="AJ323" s="4">
        <v>10</v>
      </c>
      <c r="AK323" s="4">
        <v>15</v>
      </c>
      <c r="AL323" s="4">
        <v>2</v>
      </c>
      <c r="AM323" s="4">
        <v>2</v>
      </c>
      <c r="AN323" s="4">
        <v>2</v>
      </c>
      <c r="AO323" s="4">
        <v>2</v>
      </c>
      <c r="AP323" s="3" t="s">
        <v>58</v>
      </c>
      <c r="AQ323" s="3" t="s">
        <v>87</v>
      </c>
      <c r="AR323" s="6" t="str">
        <f>HYPERLINK("http://catalog.hathitrust.org/Record/004144055","HathiTrust Record")</f>
        <v>HathiTrust Record</v>
      </c>
      <c r="AS323" s="6" t="str">
        <f>HYPERLINK("https://creighton-primo.hosted.exlibrisgroup.com/primo-explore/search?tab=default_tab&amp;search_scope=EVERYTHING&amp;vid=01CRU&amp;lang=en_US&amp;offset=0&amp;query=any,contains,991003517809702656","Catalog Record")</f>
        <v>Catalog Record</v>
      </c>
      <c r="AT323" s="6" t="str">
        <f>HYPERLINK("http://www.worldcat.org/oclc/44634240","WorldCat Record")</f>
        <v>WorldCat Record</v>
      </c>
      <c r="AU323" s="3" t="s">
        <v>4398</v>
      </c>
      <c r="AV323" s="3" t="s">
        <v>4399</v>
      </c>
      <c r="AW323" s="3" t="s">
        <v>4400</v>
      </c>
      <c r="AX323" s="3" t="s">
        <v>4400</v>
      </c>
      <c r="AY323" s="3" t="s">
        <v>4401</v>
      </c>
      <c r="AZ323" s="3" t="s">
        <v>74</v>
      </c>
      <c r="BB323" s="3" t="s">
        <v>4402</v>
      </c>
      <c r="BC323" s="3" t="s">
        <v>4403</v>
      </c>
      <c r="BD323" s="3" t="s">
        <v>4404</v>
      </c>
    </row>
    <row r="324" spans="1:56" ht="45.75" customHeight="1" x14ac:dyDescent="0.25">
      <c r="A324" s="7" t="s">
        <v>58</v>
      </c>
      <c r="B324" s="2" t="s">
        <v>4405</v>
      </c>
      <c r="C324" s="2" t="s">
        <v>4406</v>
      </c>
      <c r="D324" s="2" t="s">
        <v>4407</v>
      </c>
      <c r="F324" s="3" t="s">
        <v>58</v>
      </c>
      <c r="G324" s="3" t="s">
        <v>59</v>
      </c>
      <c r="H324" s="3" t="s">
        <v>58</v>
      </c>
      <c r="I324" s="3" t="s">
        <v>58</v>
      </c>
      <c r="J324" s="3" t="s">
        <v>60</v>
      </c>
      <c r="K324" s="2" t="s">
        <v>4408</v>
      </c>
      <c r="L324" s="2" t="s">
        <v>4409</v>
      </c>
      <c r="M324" s="3" t="s">
        <v>2146</v>
      </c>
      <c r="O324" s="3" t="s">
        <v>65</v>
      </c>
      <c r="P324" s="3" t="s">
        <v>101</v>
      </c>
      <c r="Q324" s="2" t="s">
        <v>4410</v>
      </c>
      <c r="R324" s="3" t="s">
        <v>67</v>
      </c>
      <c r="S324" s="4">
        <v>7</v>
      </c>
      <c r="T324" s="4">
        <v>7</v>
      </c>
      <c r="U324" s="5" t="s">
        <v>4411</v>
      </c>
      <c r="V324" s="5" t="s">
        <v>4411</v>
      </c>
      <c r="W324" s="5" t="s">
        <v>4098</v>
      </c>
      <c r="X324" s="5" t="s">
        <v>4098</v>
      </c>
      <c r="Y324" s="4">
        <v>395</v>
      </c>
      <c r="Z324" s="4">
        <v>321</v>
      </c>
      <c r="AA324" s="4">
        <v>380</v>
      </c>
      <c r="AB324" s="4">
        <v>3</v>
      </c>
      <c r="AC324" s="4">
        <v>3</v>
      </c>
      <c r="AD324" s="4">
        <v>18</v>
      </c>
      <c r="AE324" s="4">
        <v>23</v>
      </c>
      <c r="AF324" s="4">
        <v>8</v>
      </c>
      <c r="AG324" s="4">
        <v>12</v>
      </c>
      <c r="AH324" s="4">
        <v>4</v>
      </c>
      <c r="AI324" s="4">
        <v>5</v>
      </c>
      <c r="AJ324" s="4">
        <v>9</v>
      </c>
      <c r="AK324" s="4">
        <v>10</v>
      </c>
      <c r="AL324" s="4">
        <v>2</v>
      </c>
      <c r="AM324" s="4">
        <v>2</v>
      </c>
      <c r="AN324" s="4">
        <v>0</v>
      </c>
      <c r="AO324" s="4">
        <v>0</v>
      </c>
      <c r="AP324" s="3" t="s">
        <v>58</v>
      </c>
      <c r="AQ324" s="3" t="s">
        <v>87</v>
      </c>
      <c r="AR324" s="6" t="str">
        <f>HYPERLINK("http://catalog.hathitrust.org/Record/001133584","HathiTrust Record")</f>
        <v>HathiTrust Record</v>
      </c>
      <c r="AS324" s="6" t="str">
        <f>HYPERLINK("https://creighton-primo.hosted.exlibrisgroup.com/primo-explore/search?tab=default_tab&amp;search_scope=EVERYTHING&amp;vid=01CRU&amp;lang=en_US&amp;offset=0&amp;query=any,contains,991002080389702656","Catalog Record")</f>
        <v>Catalog Record</v>
      </c>
      <c r="AT324" s="6" t="str">
        <f>HYPERLINK("http://www.worldcat.org/oclc/264414","WorldCat Record")</f>
        <v>WorldCat Record</v>
      </c>
      <c r="AU324" s="3" t="s">
        <v>4412</v>
      </c>
      <c r="AV324" s="3" t="s">
        <v>4413</v>
      </c>
      <c r="AW324" s="3" t="s">
        <v>4414</v>
      </c>
      <c r="AX324" s="3" t="s">
        <v>4414</v>
      </c>
      <c r="AY324" s="3" t="s">
        <v>4415</v>
      </c>
      <c r="AZ324" s="3" t="s">
        <v>74</v>
      </c>
      <c r="BC324" s="3" t="s">
        <v>4416</v>
      </c>
      <c r="BD324" s="3" t="s">
        <v>4417</v>
      </c>
    </row>
    <row r="325" spans="1:56" ht="45.75" customHeight="1" x14ac:dyDescent="0.25">
      <c r="A325" s="7" t="s">
        <v>58</v>
      </c>
      <c r="B325" s="2" t="s">
        <v>4418</v>
      </c>
      <c r="C325" s="2" t="s">
        <v>4419</v>
      </c>
      <c r="D325" s="2" t="s">
        <v>4420</v>
      </c>
      <c r="F325" s="3" t="s">
        <v>58</v>
      </c>
      <c r="G325" s="3" t="s">
        <v>59</v>
      </c>
      <c r="H325" s="3" t="s">
        <v>58</v>
      </c>
      <c r="I325" s="3" t="s">
        <v>58</v>
      </c>
      <c r="J325" s="3" t="s">
        <v>60</v>
      </c>
      <c r="K325" s="2" t="s">
        <v>4421</v>
      </c>
      <c r="L325" s="2" t="s">
        <v>4422</v>
      </c>
      <c r="M325" s="3" t="s">
        <v>162</v>
      </c>
      <c r="O325" s="3" t="s">
        <v>65</v>
      </c>
      <c r="P325" s="3" t="s">
        <v>132</v>
      </c>
      <c r="R325" s="3" t="s">
        <v>67</v>
      </c>
      <c r="S325" s="4">
        <v>2</v>
      </c>
      <c r="T325" s="4">
        <v>2</v>
      </c>
      <c r="U325" s="5" t="s">
        <v>4423</v>
      </c>
      <c r="V325" s="5" t="s">
        <v>4423</v>
      </c>
      <c r="W325" s="5" t="s">
        <v>4423</v>
      </c>
      <c r="X325" s="5" t="s">
        <v>4423</v>
      </c>
      <c r="Y325" s="4">
        <v>311</v>
      </c>
      <c r="Z325" s="4">
        <v>299</v>
      </c>
      <c r="AA325" s="4">
        <v>335</v>
      </c>
      <c r="AB325" s="4">
        <v>4</v>
      </c>
      <c r="AC325" s="4">
        <v>4</v>
      </c>
      <c r="AD325" s="4">
        <v>2</v>
      </c>
      <c r="AE325" s="4">
        <v>2</v>
      </c>
      <c r="AF325" s="4">
        <v>1</v>
      </c>
      <c r="AG325" s="4">
        <v>1</v>
      </c>
      <c r="AH325" s="4">
        <v>1</v>
      </c>
      <c r="AI325" s="4">
        <v>1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3" t="s">
        <v>58</v>
      </c>
      <c r="AQ325" s="3" t="s">
        <v>58</v>
      </c>
      <c r="AS325" s="6" t="str">
        <f>HYPERLINK("https://creighton-primo.hosted.exlibrisgroup.com/primo-explore/search?tab=default_tab&amp;search_scope=EVERYTHING&amp;vid=01CRU&amp;lang=en_US&amp;offset=0&amp;query=any,contains,991005273649702656","Catalog Record")</f>
        <v>Catalog Record</v>
      </c>
      <c r="AT325" s="6" t="str">
        <f>HYPERLINK("http://www.worldcat.org/oclc/213856842","WorldCat Record")</f>
        <v>WorldCat Record</v>
      </c>
      <c r="AU325" s="3" t="s">
        <v>4424</v>
      </c>
      <c r="AV325" s="3" t="s">
        <v>4425</v>
      </c>
      <c r="AW325" s="3" t="s">
        <v>4426</v>
      </c>
      <c r="AX325" s="3" t="s">
        <v>4426</v>
      </c>
      <c r="AY325" s="3" t="s">
        <v>4427</v>
      </c>
      <c r="AZ325" s="3" t="s">
        <v>74</v>
      </c>
      <c r="BB325" s="3" t="s">
        <v>4428</v>
      </c>
      <c r="BC325" s="3" t="s">
        <v>4429</v>
      </c>
      <c r="BD325" s="3" t="s">
        <v>4430</v>
      </c>
    </row>
    <row r="326" spans="1:56" ht="45.75" customHeight="1" x14ac:dyDescent="0.25">
      <c r="A326" s="7" t="s">
        <v>58</v>
      </c>
      <c r="B326" s="2" t="s">
        <v>4431</v>
      </c>
      <c r="C326" s="2" t="s">
        <v>4432</v>
      </c>
      <c r="D326" s="2" t="s">
        <v>4433</v>
      </c>
      <c r="F326" s="3" t="s">
        <v>58</v>
      </c>
      <c r="G326" s="3" t="s">
        <v>59</v>
      </c>
      <c r="H326" s="3" t="s">
        <v>58</v>
      </c>
      <c r="I326" s="3" t="s">
        <v>58</v>
      </c>
      <c r="J326" s="3" t="s">
        <v>60</v>
      </c>
      <c r="L326" s="2" t="s">
        <v>2865</v>
      </c>
      <c r="M326" s="3" t="s">
        <v>131</v>
      </c>
      <c r="O326" s="3" t="s">
        <v>65</v>
      </c>
      <c r="P326" s="3" t="s">
        <v>84</v>
      </c>
      <c r="R326" s="3" t="s">
        <v>67</v>
      </c>
      <c r="S326" s="4">
        <v>1</v>
      </c>
      <c r="T326" s="4">
        <v>1</v>
      </c>
      <c r="U326" s="5" t="s">
        <v>4434</v>
      </c>
      <c r="V326" s="5" t="s">
        <v>4434</v>
      </c>
      <c r="W326" s="5" t="s">
        <v>4434</v>
      </c>
      <c r="X326" s="5" t="s">
        <v>4434</v>
      </c>
      <c r="Y326" s="4">
        <v>99</v>
      </c>
      <c r="Z326" s="4">
        <v>82</v>
      </c>
      <c r="AA326" s="4">
        <v>112</v>
      </c>
      <c r="AB326" s="4">
        <v>2</v>
      </c>
      <c r="AC326" s="4">
        <v>2</v>
      </c>
      <c r="AD326" s="4">
        <v>3</v>
      </c>
      <c r="AE326" s="4">
        <v>3</v>
      </c>
      <c r="AF326" s="4">
        <v>0</v>
      </c>
      <c r="AG326" s="4">
        <v>0</v>
      </c>
      <c r="AH326" s="4">
        <v>1</v>
      </c>
      <c r="AI326" s="4">
        <v>1</v>
      </c>
      <c r="AJ326" s="4">
        <v>2</v>
      </c>
      <c r="AK326" s="4">
        <v>2</v>
      </c>
      <c r="AL326" s="4">
        <v>1</v>
      </c>
      <c r="AM326" s="4">
        <v>1</v>
      </c>
      <c r="AN326" s="4">
        <v>0</v>
      </c>
      <c r="AO326" s="4">
        <v>0</v>
      </c>
      <c r="AP326" s="3" t="s">
        <v>58</v>
      </c>
      <c r="AQ326" s="3" t="s">
        <v>58</v>
      </c>
      <c r="AS326" s="6" t="str">
        <f>HYPERLINK("https://creighton-primo.hosted.exlibrisgroup.com/primo-explore/search?tab=default_tab&amp;search_scope=EVERYTHING&amp;vid=01CRU&amp;lang=en_US&amp;offset=0&amp;query=any,contains,991005270499702656","Catalog Record")</f>
        <v>Catalog Record</v>
      </c>
      <c r="AT326" s="6" t="str">
        <f>HYPERLINK("http://www.worldcat.org/oclc/63179045","WorldCat Record")</f>
        <v>WorldCat Record</v>
      </c>
      <c r="AU326" s="3" t="s">
        <v>4435</v>
      </c>
      <c r="AV326" s="3" t="s">
        <v>4436</v>
      </c>
      <c r="AW326" s="3" t="s">
        <v>4437</v>
      </c>
      <c r="AX326" s="3" t="s">
        <v>4437</v>
      </c>
      <c r="AY326" s="3" t="s">
        <v>4438</v>
      </c>
      <c r="AZ326" s="3" t="s">
        <v>74</v>
      </c>
      <c r="BB326" s="3" t="s">
        <v>4439</v>
      </c>
      <c r="BC326" s="3" t="s">
        <v>4440</v>
      </c>
      <c r="BD326" s="3" t="s">
        <v>4441</v>
      </c>
    </row>
    <row r="327" spans="1:56" ht="45.75" customHeight="1" x14ac:dyDescent="0.25">
      <c r="A327" s="7" t="s">
        <v>58</v>
      </c>
      <c r="B327" s="2" t="s">
        <v>4442</v>
      </c>
      <c r="C327" s="2" t="s">
        <v>4443</v>
      </c>
      <c r="D327" s="2" t="s">
        <v>4444</v>
      </c>
      <c r="F327" s="3" t="s">
        <v>58</v>
      </c>
      <c r="G327" s="3" t="s">
        <v>59</v>
      </c>
      <c r="H327" s="3" t="s">
        <v>58</v>
      </c>
      <c r="I327" s="3" t="s">
        <v>58</v>
      </c>
      <c r="J327" s="3" t="s">
        <v>60</v>
      </c>
      <c r="K327" s="2" t="s">
        <v>4445</v>
      </c>
      <c r="L327" s="2" t="s">
        <v>4446</v>
      </c>
      <c r="M327" s="3" t="s">
        <v>937</v>
      </c>
      <c r="O327" s="3" t="s">
        <v>65</v>
      </c>
      <c r="P327" s="3" t="s">
        <v>190</v>
      </c>
      <c r="R327" s="3" t="s">
        <v>67</v>
      </c>
      <c r="S327" s="4">
        <v>19</v>
      </c>
      <c r="T327" s="4">
        <v>19</v>
      </c>
      <c r="U327" s="5" t="s">
        <v>2853</v>
      </c>
      <c r="V327" s="5" t="s">
        <v>2853</v>
      </c>
      <c r="W327" s="5" t="s">
        <v>4447</v>
      </c>
      <c r="X327" s="5" t="s">
        <v>4447</v>
      </c>
      <c r="Y327" s="4">
        <v>258</v>
      </c>
      <c r="Z327" s="4">
        <v>204</v>
      </c>
      <c r="AA327" s="4">
        <v>211</v>
      </c>
      <c r="AB327" s="4">
        <v>2</v>
      </c>
      <c r="AC327" s="4">
        <v>2</v>
      </c>
      <c r="AD327" s="4">
        <v>8</v>
      </c>
      <c r="AE327" s="4">
        <v>8</v>
      </c>
      <c r="AF327" s="4">
        <v>1</v>
      </c>
      <c r="AG327" s="4">
        <v>1</v>
      </c>
      <c r="AH327" s="4">
        <v>1</v>
      </c>
      <c r="AI327" s="4">
        <v>1</v>
      </c>
      <c r="AJ327" s="4">
        <v>6</v>
      </c>
      <c r="AK327" s="4">
        <v>6</v>
      </c>
      <c r="AL327" s="4">
        <v>1</v>
      </c>
      <c r="AM327" s="4">
        <v>1</v>
      </c>
      <c r="AN327" s="4">
        <v>0</v>
      </c>
      <c r="AO327" s="4">
        <v>0</v>
      </c>
      <c r="AP327" s="3" t="s">
        <v>58</v>
      </c>
      <c r="AQ327" s="3" t="s">
        <v>87</v>
      </c>
      <c r="AR327" s="6" t="str">
        <f>HYPERLINK("http://catalog.hathitrust.org/Record/000735625","HathiTrust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HYPERLINK("https://creighton-primo.hosted.exlibrisgroup.com/primo-explore/search?tab=default_tab&amp;search_scope=EVERYTHING&amp;vid=01CRU&amp;lang=en_US&amp;offset=0&amp;query=any,contains,991004277759702656","Catalog Record")</f>
        <v>Catalog Record</v>
      </c>
      <c r="AT327" s="6" t="str">
        <f>HYPERLINK("http://www.worldcat.org/oclc/2896910","WorldCat Record")</f>
        <v>WorldCat Record</v>
      </c>
      <c r="AU327" s="3" t="s">
        <v>4448</v>
      </c>
      <c r="AV327" s="3" t="s">
        <v>4449</v>
      </c>
      <c r="AW327" s="3" t="s">
        <v>4450</v>
      </c>
      <c r="AX327" s="3" t="s">
        <v>4450</v>
      </c>
      <c r="AY327" s="3" t="s">
        <v>4451</v>
      </c>
      <c r="AZ327" s="3" t="s">
        <v>74</v>
      </c>
      <c r="BB327" s="3" t="s">
        <v>4452</v>
      </c>
      <c r="BC327" s="3" t="s">
        <v>4453</v>
      </c>
      <c r="BD327" s="3" t="s">
        <v>4454</v>
      </c>
    </row>
    <row r="328" spans="1:56" ht="45.75" customHeight="1" x14ac:dyDescent="0.25">
      <c r="A328" s="7" t="s">
        <v>58</v>
      </c>
      <c r="B328" s="2" t="s">
        <v>4455</v>
      </c>
      <c r="C328" s="2" t="s">
        <v>4456</v>
      </c>
      <c r="D328" s="2" t="s">
        <v>4457</v>
      </c>
      <c r="F328" s="3" t="s">
        <v>58</v>
      </c>
      <c r="G328" s="3" t="s">
        <v>59</v>
      </c>
      <c r="H328" s="3" t="s">
        <v>58</v>
      </c>
      <c r="I328" s="3" t="s">
        <v>58</v>
      </c>
      <c r="J328" s="3" t="s">
        <v>60</v>
      </c>
      <c r="K328" s="2" t="s">
        <v>4458</v>
      </c>
      <c r="L328" s="2" t="s">
        <v>4459</v>
      </c>
      <c r="M328" s="3" t="s">
        <v>1623</v>
      </c>
      <c r="O328" s="3" t="s">
        <v>65</v>
      </c>
      <c r="P328" s="3" t="s">
        <v>587</v>
      </c>
      <c r="R328" s="3" t="s">
        <v>67</v>
      </c>
      <c r="S328" s="4">
        <v>11</v>
      </c>
      <c r="T328" s="4">
        <v>11</v>
      </c>
      <c r="U328" s="5" t="s">
        <v>4460</v>
      </c>
      <c r="V328" s="5" t="s">
        <v>4460</v>
      </c>
      <c r="W328" s="5" t="s">
        <v>4461</v>
      </c>
      <c r="X328" s="5" t="s">
        <v>4461</v>
      </c>
      <c r="Y328" s="4">
        <v>398</v>
      </c>
      <c r="Z328" s="4">
        <v>352</v>
      </c>
      <c r="AA328" s="4">
        <v>359</v>
      </c>
      <c r="AB328" s="4">
        <v>5</v>
      </c>
      <c r="AC328" s="4">
        <v>5</v>
      </c>
      <c r="AD328" s="4">
        <v>22</v>
      </c>
      <c r="AE328" s="4">
        <v>22</v>
      </c>
      <c r="AF328" s="4">
        <v>8</v>
      </c>
      <c r="AG328" s="4">
        <v>8</v>
      </c>
      <c r="AH328" s="4">
        <v>5</v>
      </c>
      <c r="AI328" s="4">
        <v>5</v>
      </c>
      <c r="AJ328" s="4">
        <v>12</v>
      </c>
      <c r="AK328" s="4">
        <v>12</v>
      </c>
      <c r="AL328" s="4">
        <v>4</v>
      </c>
      <c r="AM328" s="4">
        <v>4</v>
      </c>
      <c r="AN328" s="4">
        <v>0</v>
      </c>
      <c r="AO328" s="4">
        <v>0</v>
      </c>
      <c r="AP328" s="3" t="s">
        <v>58</v>
      </c>
      <c r="AQ328" s="3" t="s">
        <v>87</v>
      </c>
      <c r="AR328" s="6" t="str">
        <f>HYPERLINK("http://catalog.hathitrust.org/Record/001133588","HathiTrust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HYPERLINK("https://creighton-primo.hosted.exlibrisgroup.com/primo-explore/search?tab=default_tab&amp;search_scope=EVERYTHING&amp;vid=01CRU&amp;lang=en_US&amp;offset=0&amp;query=any,contains,991002861579702656","Catalog Record")</f>
        <v>Catalog Record</v>
      </c>
      <c r="AT328" s="6" t="str">
        <f>HYPERLINK("http://www.worldcat.org/oclc/493510","WorldCat Record")</f>
        <v>WorldCat Record</v>
      </c>
      <c r="AU328" s="3" t="s">
        <v>4462</v>
      </c>
      <c r="AV328" s="3" t="s">
        <v>4463</v>
      </c>
      <c r="AW328" s="3" t="s">
        <v>4464</v>
      </c>
      <c r="AX328" s="3" t="s">
        <v>4464</v>
      </c>
      <c r="AY328" s="3" t="s">
        <v>4465</v>
      </c>
      <c r="AZ328" s="3" t="s">
        <v>74</v>
      </c>
      <c r="BC328" s="3" t="s">
        <v>4466</v>
      </c>
      <c r="BD328" s="3" t="s">
        <v>4467</v>
      </c>
    </row>
    <row r="329" spans="1:56" ht="45.75" customHeight="1" x14ac:dyDescent="0.25">
      <c r="A329" s="7" t="s">
        <v>58</v>
      </c>
      <c r="B329" s="2" t="s">
        <v>4468</v>
      </c>
      <c r="C329" s="2" t="s">
        <v>4469</v>
      </c>
      <c r="D329" s="2" t="s">
        <v>4470</v>
      </c>
      <c r="F329" s="3" t="s">
        <v>58</v>
      </c>
      <c r="G329" s="3" t="s">
        <v>59</v>
      </c>
      <c r="H329" s="3" t="s">
        <v>58</v>
      </c>
      <c r="I329" s="3" t="s">
        <v>58</v>
      </c>
      <c r="J329" s="3" t="s">
        <v>60</v>
      </c>
      <c r="K329" s="2" t="s">
        <v>4471</v>
      </c>
      <c r="L329" s="2" t="s">
        <v>4472</v>
      </c>
      <c r="M329" s="3" t="s">
        <v>2506</v>
      </c>
      <c r="N329" s="2" t="s">
        <v>4473</v>
      </c>
      <c r="O329" s="3" t="s">
        <v>65</v>
      </c>
      <c r="P329" s="3" t="s">
        <v>132</v>
      </c>
      <c r="Q329" s="2" t="s">
        <v>4474</v>
      </c>
      <c r="R329" s="3" t="s">
        <v>67</v>
      </c>
      <c r="S329" s="4">
        <v>14</v>
      </c>
      <c r="T329" s="4">
        <v>14</v>
      </c>
      <c r="U329" s="5" t="s">
        <v>4475</v>
      </c>
      <c r="V329" s="5" t="s">
        <v>4475</v>
      </c>
      <c r="W329" s="5" t="s">
        <v>4461</v>
      </c>
      <c r="X329" s="5" t="s">
        <v>4461</v>
      </c>
      <c r="Y329" s="4">
        <v>554</v>
      </c>
      <c r="Z329" s="4">
        <v>491</v>
      </c>
      <c r="AA329" s="4">
        <v>515</v>
      </c>
      <c r="AB329" s="4">
        <v>5</v>
      </c>
      <c r="AC329" s="4">
        <v>5</v>
      </c>
      <c r="AD329" s="4">
        <v>22</v>
      </c>
      <c r="AE329" s="4">
        <v>24</v>
      </c>
      <c r="AF329" s="4">
        <v>6</v>
      </c>
      <c r="AG329" s="4">
        <v>6</v>
      </c>
      <c r="AH329" s="4">
        <v>4</v>
      </c>
      <c r="AI329" s="4">
        <v>4</v>
      </c>
      <c r="AJ329" s="4">
        <v>10</v>
      </c>
      <c r="AK329" s="4">
        <v>12</v>
      </c>
      <c r="AL329" s="4">
        <v>4</v>
      </c>
      <c r="AM329" s="4">
        <v>4</v>
      </c>
      <c r="AN329" s="4">
        <v>2</v>
      </c>
      <c r="AO329" s="4">
        <v>2</v>
      </c>
      <c r="AP329" s="3" t="s">
        <v>58</v>
      </c>
      <c r="AQ329" s="3" t="s">
        <v>87</v>
      </c>
      <c r="AR329" s="6" t="str">
        <f>HYPERLINK("http://catalog.hathitrust.org/Record/001133608","HathiTrust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HYPERLINK("https://creighton-primo.hosted.exlibrisgroup.com/primo-explore/search?tab=default_tab&amp;search_scope=EVERYTHING&amp;vid=01CRU&amp;lang=en_US&amp;offset=0&amp;query=any,contains,991000615269702656","Catalog Record")</f>
        <v>Catalog Record</v>
      </c>
      <c r="AT329" s="6" t="str">
        <f>HYPERLINK("http://www.worldcat.org/oclc/101521","WorldCat Record")</f>
        <v>WorldCat Record</v>
      </c>
      <c r="AU329" s="3" t="s">
        <v>4476</v>
      </c>
      <c r="AV329" s="3" t="s">
        <v>4477</v>
      </c>
      <c r="AW329" s="3" t="s">
        <v>4478</v>
      </c>
      <c r="AX329" s="3" t="s">
        <v>4478</v>
      </c>
      <c r="AY329" s="3" t="s">
        <v>4479</v>
      </c>
      <c r="AZ329" s="3" t="s">
        <v>74</v>
      </c>
      <c r="BB329" s="3" t="s">
        <v>4480</v>
      </c>
      <c r="BC329" s="3" t="s">
        <v>4481</v>
      </c>
      <c r="BD329" s="3" t="s">
        <v>4482</v>
      </c>
    </row>
    <row r="330" spans="1:56" ht="45.75" customHeight="1" x14ac:dyDescent="0.25">
      <c r="A330" s="7" t="s">
        <v>58</v>
      </c>
      <c r="B330" s="2" t="s">
        <v>4483</v>
      </c>
      <c r="C330" s="2" t="s">
        <v>4484</v>
      </c>
      <c r="D330" s="2" t="s">
        <v>4485</v>
      </c>
      <c r="F330" s="3" t="s">
        <v>58</v>
      </c>
      <c r="G330" s="3" t="s">
        <v>59</v>
      </c>
      <c r="H330" s="3" t="s">
        <v>58</v>
      </c>
      <c r="I330" s="3" t="s">
        <v>58</v>
      </c>
      <c r="J330" s="3" t="s">
        <v>60</v>
      </c>
      <c r="K330" s="2" t="s">
        <v>4486</v>
      </c>
      <c r="L330" s="2" t="s">
        <v>4487</v>
      </c>
      <c r="M330" s="3" t="s">
        <v>1209</v>
      </c>
      <c r="N330" s="2" t="s">
        <v>4488</v>
      </c>
      <c r="O330" s="3" t="s">
        <v>65</v>
      </c>
      <c r="P330" s="3" t="s">
        <v>84</v>
      </c>
      <c r="R330" s="3" t="s">
        <v>67</v>
      </c>
      <c r="S330" s="4">
        <v>37</v>
      </c>
      <c r="T330" s="4">
        <v>37</v>
      </c>
      <c r="U330" s="5" t="s">
        <v>4489</v>
      </c>
      <c r="V330" s="5" t="s">
        <v>4489</v>
      </c>
      <c r="W330" s="5" t="s">
        <v>1019</v>
      </c>
      <c r="X330" s="5" t="s">
        <v>1019</v>
      </c>
      <c r="Y330" s="4">
        <v>450</v>
      </c>
      <c r="Z330" s="4">
        <v>424</v>
      </c>
      <c r="AA330" s="4">
        <v>1365</v>
      </c>
      <c r="AB330" s="4">
        <v>3</v>
      </c>
      <c r="AC330" s="4">
        <v>6</v>
      </c>
      <c r="AD330" s="4">
        <v>13</v>
      </c>
      <c r="AE330" s="4">
        <v>43</v>
      </c>
      <c r="AF330" s="4">
        <v>5</v>
      </c>
      <c r="AG330" s="4">
        <v>18</v>
      </c>
      <c r="AH330" s="4">
        <v>2</v>
      </c>
      <c r="AI330" s="4">
        <v>8</v>
      </c>
      <c r="AJ330" s="4">
        <v>9</v>
      </c>
      <c r="AK330" s="4">
        <v>21</v>
      </c>
      <c r="AL330" s="4">
        <v>2</v>
      </c>
      <c r="AM330" s="4">
        <v>5</v>
      </c>
      <c r="AN330" s="4">
        <v>0</v>
      </c>
      <c r="AO330" s="4">
        <v>0</v>
      </c>
      <c r="AP330" s="3" t="s">
        <v>58</v>
      </c>
      <c r="AQ330" s="3" t="s">
        <v>87</v>
      </c>
      <c r="AR330" s="6" t="str">
        <f>HYPERLINK("http://catalog.hathitrust.org/Record/001823855","HathiTrust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HYPERLINK("https://creighton-primo.hosted.exlibrisgroup.com/primo-explore/search?tab=default_tab&amp;search_scope=EVERYTHING&amp;vid=01CRU&amp;lang=en_US&amp;offset=0&amp;query=any,contains,991000992179702656","Catalog Record")</f>
        <v>Catalog Record</v>
      </c>
      <c r="AT330" s="6" t="str">
        <f>HYPERLINK("http://www.worldcat.org/oclc/15108769","WorldCat Record")</f>
        <v>WorldCat Record</v>
      </c>
      <c r="AU330" s="3" t="s">
        <v>4490</v>
      </c>
      <c r="AV330" s="3" t="s">
        <v>4491</v>
      </c>
      <c r="AW330" s="3" t="s">
        <v>4492</v>
      </c>
      <c r="AX330" s="3" t="s">
        <v>4492</v>
      </c>
      <c r="AY330" s="3" t="s">
        <v>4493</v>
      </c>
      <c r="AZ330" s="3" t="s">
        <v>74</v>
      </c>
      <c r="BB330" s="3" t="s">
        <v>4494</v>
      </c>
      <c r="BC330" s="3" t="s">
        <v>4495</v>
      </c>
      <c r="BD330" s="3" t="s">
        <v>4496</v>
      </c>
    </row>
    <row r="331" spans="1:56" ht="45.75" customHeight="1" x14ac:dyDescent="0.25">
      <c r="A331" s="7" t="s">
        <v>58</v>
      </c>
      <c r="B331" s="2" t="s">
        <v>4497</v>
      </c>
      <c r="C331" s="2" t="s">
        <v>4498</v>
      </c>
      <c r="D331" s="2" t="s">
        <v>4499</v>
      </c>
      <c r="F331" s="3" t="s">
        <v>58</v>
      </c>
      <c r="G331" s="3" t="s">
        <v>59</v>
      </c>
      <c r="H331" s="3" t="s">
        <v>58</v>
      </c>
      <c r="I331" s="3" t="s">
        <v>58</v>
      </c>
      <c r="J331" s="3" t="s">
        <v>60</v>
      </c>
      <c r="K331" s="2" t="s">
        <v>4500</v>
      </c>
      <c r="L331" s="2" t="s">
        <v>4014</v>
      </c>
      <c r="M331" s="3" t="s">
        <v>573</v>
      </c>
      <c r="O331" s="3" t="s">
        <v>65</v>
      </c>
      <c r="P331" s="3" t="s">
        <v>148</v>
      </c>
      <c r="R331" s="3" t="s">
        <v>67</v>
      </c>
      <c r="S331" s="4">
        <v>8</v>
      </c>
      <c r="T331" s="4">
        <v>8</v>
      </c>
      <c r="U331" s="5" t="s">
        <v>4501</v>
      </c>
      <c r="V331" s="5" t="s">
        <v>4501</v>
      </c>
      <c r="W331" s="5" t="s">
        <v>4016</v>
      </c>
      <c r="X331" s="5" t="s">
        <v>4016</v>
      </c>
      <c r="Y331" s="4">
        <v>262</v>
      </c>
      <c r="Z331" s="4">
        <v>231</v>
      </c>
      <c r="AA331" s="4">
        <v>237</v>
      </c>
      <c r="AB331" s="4">
        <v>4</v>
      </c>
      <c r="AC331" s="4">
        <v>4</v>
      </c>
      <c r="AD331" s="4">
        <v>12</v>
      </c>
      <c r="AE331" s="4">
        <v>12</v>
      </c>
      <c r="AF331" s="4">
        <v>3</v>
      </c>
      <c r="AG331" s="4">
        <v>3</v>
      </c>
      <c r="AH331" s="4">
        <v>4</v>
      </c>
      <c r="AI331" s="4">
        <v>4</v>
      </c>
      <c r="AJ331" s="4">
        <v>6</v>
      </c>
      <c r="AK331" s="4">
        <v>6</v>
      </c>
      <c r="AL331" s="4">
        <v>3</v>
      </c>
      <c r="AM331" s="4">
        <v>3</v>
      </c>
      <c r="AN331" s="4">
        <v>0</v>
      </c>
      <c r="AO331" s="4">
        <v>0</v>
      </c>
      <c r="AP331" s="3" t="s">
        <v>58</v>
      </c>
      <c r="AQ331" s="3" t="s">
        <v>87</v>
      </c>
      <c r="AR331" s="6" t="str">
        <f>HYPERLINK("http://catalog.hathitrust.org/Record/004236683","HathiTrust Record")</f>
        <v>HathiTrust Record</v>
      </c>
      <c r="AS331" s="6" t="str">
        <f>HYPERLINK("https://creighton-primo.hosted.exlibrisgroup.com/primo-explore/search?tab=default_tab&amp;search_scope=EVERYTHING&amp;vid=01CRU&amp;lang=en_US&amp;offset=0&amp;query=any,contains,991004232669702656","Catalog Record")</f>
        <v>Catalog Record</v>
      </c>
      <c r="AT331" s="6" t="str">
        <f>HYPERLINK("http://www.worldcat.org/oclc/48053907","WorldCat Record")</f>
        <v>WorldCat Record</v>
      </c>
      <c r="AU331" s="3" t="s">
        <v>4502</v>
      </c>
      <c r="AV331" s="3" t="s">
        <v>4503</v>
      </c>
      <c r="AW331" s="3" t="s">
        <v>4504</v>
      </c>
      <c r="AX331" s="3" t="s">
        <v>4504</v>
      </c>
      <c r="AY331" s="3" t="s">
        <v>4505</v>
      </c>
      <c r="AZ331" s="3" t="s">
        <v>74</v>
      </c>
      <c r="BB331" s="3" t="s">
        <v>4506</v>
      </c>
      <c r="BC331" s="3" t="s">
        <v>4507</v>
      </c>
      <c r="BD331" s="3" t="s">
        <v>4508</v>
      </c>
    </row>
    <row r="332" spans="1:56" ht="45.75" customHeight="1" x14ac:dyDescent="0.25">
      <c r="A332" s="7" t="s">
        <v>58</v>
      </c>
      <c r="B332" s="2" t="s">
        <v>4509</v>
      </c>
      <c r="C332" s="2" t="s">
        <v>4510</v>
      </c>
      <c r="D332" s="2" t="s">
        <v>4511</v>
      </c>
      <c r="F332" s="3" t="s">
        <v>58</v>
      </c>
      <c r="G332" s="3" t="s">
        <v>59</v>
      </c>
      <c r="H332" s="3" t="s">
        <v>58</v>
      </c>
      <c r="I332" s="3" t="s">
        <v>58</v>
      </c>
      <c r="J332" s="3" t="s">
        <v>60</v>
      </c>
      <c r="K332" s="2" t="s">
        <v>4512</v>
      </c>
      <c r="L332" s="2" t="s">
        <v>4513</v>
      </c>
      <c r="M332" s="3" t="s">
        <v>4514</v>
      </c>
      <c r="O332" s="3" t="s">
        <v>65</v>
      </c>
      <c r="P332" s="3" t="s">
        <v>587</v>
      </c>
      <c r="R332" s="3" t="s">
        <v>67</v>
      </c>
      <c r="S332" s="4">
        <v>9</v>
      </c>
      <c r="T332" s="4">
        <v>9</v>
      </c>
      <c r="U332" s="5" t="s">
        <v>4515</v>
      </c>
      <c r="V332" s="5" t="s">
        <v>4515</v>
      </c>
      <c r="W332" s="5" t="s">
        <v>1487</v>
      </c>
      <c r="X332" s="5" t="s">
        <v>1487</v>
      </c>
      <c r="Y332" s="4">
        <v>673</v>
      </c>
      <c r="Z332" s="4">
        <v>630</v>
      </c>
      <c r="AA332" s="4">
        <v>685</v>
      </c>
      <c r="AB332" s="4">
        <v>7</v>
      </c>
      <c r="AC332" s="4">
        <v>7</v>
      </c>
      <c r="AD332" s="4">
        <v>34</v>
      </c>
      <c r="AE332" s="4">
        <v>36</v>
      </c>
      <c r="AF332" s="4">
        <v>17</v>
      </c>
      <c r="AG332" s="4">
        <v>18</v>
      </c>
      <c r="AH332" s="4">
        <v>5</v>
      </c>
      <c r="AI332" s="4">
        <v>6</v>
      </c>
      <c r="AJ332" s="4">
        <v>14</v>
      </c>
      <c r="AK332" s="4">
        <v>15</v>
      </c>
      <c r="AL332" s="4">
        <v>6</v>
      </c>
      <c r="AM332" s="4">
        <v>6</v>
      </c>
      <c r="AN332" s="4">
        <v>0</v>
      </c>
      <c r="AO332" s="4">
        <v>0</v>
      </c>
      <c r="AP332" s="3" t="s">
        <v>58</v>
      </c>
      <c r="AQ332" s="3" t="s">
        <v>87</v>
      </c>
      <c r="AR332" s="6" t="str">
        <f>HYPERLINK("http://catalog.hathitrust.org/Record/001133613","HathiTrust Record")</f>
        <v>HathiTrust Record</v>
      </c>
      <c r="AS332" s="6" t="str">
        <f>HYPERLINK("https://creighton-primo.hosted.exlibrisgroup.com/primo-explore/search?tab=default_tab&amp;search_scope=EVERYTHING&amp;vid=01CRU&amp;lang=en_US&amp;offset=0&amp;query=any,contains,991002873369702656","Catalog Record")</f>
        <v>Catalog Record</v>
      </c>
      <c r="AT332" s="6" t="str">
        <f>HYPERLINK("http://www.worldcat.org/oclc/501137","WorldCat Record")</f>
        <v>WorldCat Record</v>
      </c>
      <c r="AU332" s="3" t="s">
        <v>4516</v>
      </c>
      <c r="AV332" s="3" t="s">
        <v>4517</v>
      </c>
      <c r="AW332" s="3" t="s">
        <v>4518</v>
      </c>
      <c r="AX332" s="3" t="s">
        <v>4518</v>
      </c>
      <c r="AY332" s="3" t="s">
        <v>4519</v>
      </c>
      <c r="AZ332" s="3" t="s">
        <v>74</v>
      </c>
      <c r="BC332" s="3" t="s">
        <v>4520</v>
      </c>
      <c r="BD332" s="3" t="s">
        <v>4521</v>
      </c>
    </row>
    <row r="333" spans="1:56" ht="45.75" customHeight="1" x14ac:dyDescent="0.25">
      <c r="A333" s="7" t="s">
        <v>58</v>
      </c>
      <c r="B333" s="2" t="s">
        <v>4522</v>
      </c>
      <c r="C333" s="2" t="s">
        <v>4523</v>
      </c>
      <c r="D333" s="2" t="s">
        <v>4524</v>
      </c>
      <c r="F333" s="3" t="s">
        <v>58</v>
      </c>
      <c r="G333" s="3" t="s">
        <v>59</v>
      </c>
      <c r="H333" s="3" t="s">
        <v>58</v>
      </c>
      <c r="I333" s="3" t="s">
        <v>58</v>
      </c>
      <c r="J333" s="3" t="s">
        <v>60</v>
      </c>
      <c r="K333" s="2" t="s">
        <v>4525</v>
      </c>
      <c r="L333" s="2" t="s">
        <v>4526</v>
      </c>
      <c r="M333" s="3" t="s">
        <v>1032</v>
      </c>
      <c r="O333" s="3" t="s">
        <v>65</v>
      </c>
      <c r="P333" s="3" t="s">
        <v>84</v>
      </c>
      <c r="R333" s="3" t="s">
        <v>67</v>
      </c>
      <c r="S333" s="4">
        <v>19</v>
      </c>
      <c r="T333" s="4">
        <v>19</v>
      </c>
      <c r="U333" s="5" t="s">
        <v>4527</v>
      </c>
      <c r="V333" s="5" t="s">
        <v>4527</v>
      </c>
      <c r="W333" s="5" t="s">
        <v>4528</v>
      </c>
      <c r="X333" s="5" t="s">
        <v>4528</v>
      </c>
      <c r="Y333" s="4">
        <v>175</v>
      </c>
      <c r="Z333" s="4">
        <v>169</v>
      </c>
      <c r="AA333" s="4">
        <v>1543</v>
      </c>
      <c r="AB333" s="4">
        <v>1</v>
      </c>
      <c r="AC333" s="4">
        <v>10</v>
      </c>
      <c r="AD333" s="4">
        <v>3</v>
      </c>
      <c r="AE333" s="4">
        <v>27</v>
      </c>
      <c r="AF333" s="4">
        <v>3</v>
      </c>
      <c r="AG333" s="4">
        <v>11</v>
      </c>
      <c r="AH333" s="4">
        <v>0</v>
      </c>
      <c r="AI333" s="4">
        <v>4</v>
      </c>
      <c r="AJ333" s="4">
        <v>1</v>
      </c>
      <c r="AK333" s="4">
        <v>13</v>
      </c>
      <c r="AL333" s="4">
        <v>0</v>
      </c>
      <c r="AM333" s="4">
        <v>4</v>
      </c>
      <c r="AN333" s="4">
        <v>0</v>
      </c>
      <c r="AO333" s="4">
        <v>1</v>
      </c>
      <c r="AP333" s="3" t="s">
        <v>58</v>
      </c>
      <c r="AQ333" s="3" t="s">
        <v>58</v>
      </c>
      <c r="AS333" s="6" t="str">
        <f>HYPERLINK("https://creighton-primo.hosted.exlibrisgroup.com/primo-explore/search?tab=default_tab&amp;search_scope=EVERYTHING&amp;vid=01CRU&amp;lang=en_US&amp;offset=0&amp;query=any,contains,991003944169702656","Catalog Record")</f>
        <v>Catalog Record</v>
      </c>
      <c r="AT333" s="6" t="str">
        <f>HYPERLINK("http://www.worldcat.org/oclc/37304044","WorldCat Record")</f>
        <v>WorldCat Record</v>
      </c>
      <c r="AU333" s="3" t="s">
        <v>4529</v>
      </c>
      <c r="AV333" s="3" t="s">
        <v>4530</v>
      </c>
      <c r="AW333" s="3" t="s">
        <v>4531</v>
      </c>
      <c r="AX333" s="3" t="s">
        <v>4531</v>
      </c>
      <c r="AY333" s="3" t="s">
        <v>4532</v>
      </c>
      <c r="AZ333" s="3" t="s">
        <v>74</v>
      </c>
      <c r="BB333" s="3" t="s">
        <v>4533</v>
      </c>
      <c r="BC333" s="3" t="s">
        <v>4534</v>
      </c>
      <c r="BD333" s="3" t="s">
        <v>4535</v>
      </c>
    </row>
    <row r="334" spans="1:56" ht="45.75" customHeight="1" x14ac:dyDescent="0.25">
      <c r="A334" s="7" t="s">
        <v>58</v>
      </c>
      <c r="B334" s="2" t="s">
        <v>4536</v>
      </c>
      <c r="C334" s="2" t="s">
        <v>4537</v>
      </c>
      <c r="D334" s="2" t="s">
        <v>4538</v>
      </c>
      <c r="F334" s="3" t="s">
        <v>58</v>
      </c>
      <c r="G334" s="3" t="s">
        <v>59</v>
      </c>
      <c r="H334" s="3" t="s">
        <v>58</v>
      </c>
      <c r="I334" s="3" t="s">
        <v>58</v>
      </c>
      <c r="J334" s="3" t="s">
        <v>60</v>
      </c>
      <c r="K334" s="2" t="s">
        <v>4539</v>
      </c>
      <c r="L334" s="2" t="s">
        <v>4540</v>
      </c>
      <c r="M334" s="3" t="s">
        <v>3601</v>
      </c>
      <c r="O334" s="3" t="s">
        <v>65</v>
      </c>
      <c r="P334" s="3" t="s">
        <v>84</v>
      </c>
      <c r="Q334" s="2" t="s">
        <v>4541</v>
      </c>
      <c r="R334" s="3" t="s">
        <v>67</v>
      </c>
      <c r="S334" s="4">
        <v>21</v>
      </c>
      <c r="T334" s="4">
        <v>21</v>
      </c>
      <c r="U334" s="5" t="s">
        <v>4542</v>
      </c>
      <c r="V334" s="5" t="s">
        <v>4542</v>
      </c>
      <c r="W334" s="5" t="s">
        <v>4543</v>
      </c>
      <c r="X334" s="5" t="s">
        <v>4543</v>
      </c>
      <c r="Y334" s="4">
        <v>762</v>
      </c>
      <c r="Z334" s="4">
        <v>663</v>
      </c>
      <c r="AA334" s="4">
        <v>670</v>
      </c>
      <c r="AB334" s="4">
        <v>9</v>
      </c>
      <c r="AC334" s="4">
        <v>9</v>
      </c>
      <c r="AD334" s="4">
        <v>24</v>
      </c>
      <c r="AE334" s="4">
        <v>24</v>
      </c>
      <c r="AF334" s="4">
        <v>9</v>
      </c>
      <c r="AG334" s="4">
        <v>9</v>
      </c>
      <c r="AH334" s="4">
        <v>4</v>
      </c>
      <c r="AI334" s="4">
        <v>4</v>
      </c>
      <c r="AJ334" s="4">
        <v>11</v>
      </c>
      <c r="AK334" s="4">
        <v>11</v>
      </c>
      <c r="AL334" s="4">
        <v>5</v>
      </c>
      <c r="AM334" s="4">
        <v>5</v>
      </c>
      <c r="AN334" s="4">
        <v>0</v>
      </c>
      <c r="AO334" s="4">
        <v>0</v>
      </c>
      <c r="AP334" s="3" t="s">
        <v>58</v>
      </c>
      <c r="AQ334" s="3" t="s">
        <v>87</v>
      </c>
      <c r="AR334" s="6" t="str">
        <f>HYPERLINK("http://catalog.hathitrust.org/Record/001133626","HathiTrust Record")</f>
        <v>HathiTrust Record</v>
      </c>
      <c r="AS334" s="6" t="str">
        <f>HYPERLINK("https://creighton-primo.hosted.exlibrisgroup.com/primo-explore/search?tab=default_tab&amp;search_scope=EVERYTHING&amp;vid=01CRU&amp;lang=en_US&amp;offset=0&amp;query=any,contains,991002916259702656","Catalog Record")</f>
        <v>Catalog Record</v>
      </c>
      <c r="AT334" s="6" t="str">
        <f>HYPERLINK("http://www.worldcat.org/oclc/524142","WorldCat Record")</f>
        <v>WorldCat Record</v>
      </c>
      <c r="AU334" s="3" t="s">
        <v>4544</v>
      </c>
      <c r="AV334" s="3" t="s">
        <v>4545</v>
      </c>
      <c r="AW334" s="3" t="s">
        <v>4546</v>
      </c>
      <c r="AX334" s="3" t="s">
        <v>4546</v>
      </c>
      <c r="AY334" s="3" t="s">
        <v>4547</v>
      </c>
      <c r="AZ334" s="3" t="s">
        <v>74</v>
      </c>
      <c r="BB334" s="3" t="s">
        <v>4548</v>
      </c>
      <c r="BC334" s="3" t="s">
        <v>4549</v>
      </c>
      <c r="BD334" s="3" t="s">
        <v>4550</v>
      </c>
    </row>
    <row r="335" spans="1:56" ht="45.75" customHeight="1" x14ac:dyDescent="0.25">
      <c r="A335" s="7" t="s">
        <v>58</v>
      </c>
      <c r="B335" s="2" t="s">
        <v>4551</v>
      </c>
      <c r="C335" s="2" t="s">
        <v>4552</v>
      </c>
      <c r="D335" s="2" t="s">
        <v>4553</v>
      </c>
      <c r="F335" s="3" t="s">
        <v>58</v>
      </c>
      <c r="G335" s="3" t="s">
        <v>59</v>
      </c>
      <c r="H335" s="3" t="s">
        <v>58</v>
      </c>
      <c r="I335" s="3" t="s">
        <v>58</v>
      </c>
      <c r="J335" s="3" t="s">
        <v>60</v>
      </c>
      <c r="K335" s="2" t="s">
        <v>4554</v>
      </c>
      <c r="L335" s="2" t="s">
        <v>4555</v>
      </c>
      <c r="M335" s="3" t="s">
        <v>713</v>
      </c>
      <c r="O335" s="3" t="s">
        <v>65</v>
      </c>
      <c r="P335" s="3" t="s">
        <v>84</v>
      </c>
      <c r="R335" s="3" t="s">
        <v>67</v>
      </c>
      <c r="S335" s="4">
        <v>10</v>
      </c>
      <c r="T335" s="4">
        <v>10</v>
      </c>
      <c r="U335" s="5" t="s">
        <v>4556</v>
      </c>
      <c r="V335" s="5" t="s">
        <v>4556</v>
      </c>
      <c r="W335" s="5" t="s">
        <v>4293</v>
      </c>
      <c r="X335" s="5" t="s">
        <v>4293</v>
      </c>
      <c r="Y335" s="4">
        <v>388</v>
      </c>
      <c r="Z335" s="4">
        <v>344</v>
      </c>
      <c r="AA335" s="4">
        <v>346</v>
      </c>
      <c r="AB335" s="4">
        <v>3</v>
      </c>
      <c r="AC335" s="4">
        <v>3</v>
      </c>
      <c r="AD335" s="4">
        <v>15</v>
      </c>
      <c r="AE335" s="4">
        <v>15</v>
      </c>
      <c r="AF335" s="4">
        <v>6</v>
      </c>
      <c r="AG335" s="4">
        <v>6</v>
      </c>
      <c r="AH335" s="4">
        <v>2</v>
      </c>
      <c r="AI335" s="4">
        <v>2</v>
      </c>
      <c r="AJ335" s="4">
        <v>8</v>
      </c>
      <c r="AK335" s="4">
        <v>8</v>
      </c>
      <c r="AL335" s="4">
        <v>2</v>
      </c>
      <c r="AM335" s="4">
        <v>2</v>
      </c>
      <c r="AN335" s="4">
        <v>0</v>
      </c>
      <c r="AO335" s="4">
        <v>0</v>
      </c>
      <c r="AP335" s="3" t="s">
        <v>58</v>
      </c>
      <c r="AQ335" s="3" t="s">
        <v>87</v>
      </c>
      <c r="AR335" s="6" t="str">
        <f>HYPERLINK("http://catalog.hathitrust.org/Record/000098987","HathiTrust Record")</f>
        <v>HathiTrust Record</v>
      </c>
      <c r="AS335" s="6" t="str">
        <f>HYPERLINK("https://creighton-primo.hosted.exlibrisgroup.com/primo-explore/search?tab=default_tab&amp;search_scope=EVERYTHING&amp;vid=01CRU&amp;lang=en_US&amp;offset=0&amp;query=any,contains,991005084219702656","Catalog Record")</f>
        <v>Catalog Record</v>
      </c>
      <c r="AT335" s="6" t="str">
        <f>HYPERLINK("http://www.worldcat.org/oclc/7178655","WorldCat Record")</f>
        <v>WorldCat Record</v>
      </c>
      <c r="AU335" s="3" t="s">
        <v>4557</v>
      </c>
      <c r="AV335" s="3" t="s">
        <v>4558</v>
      </c>
      <c r="AW335" s="3" t="s">
        <v>4559</v>
      </c>
      <c r="AX335" s="3" t="s">
        <v>4559</v>
      </c>
      <c r="AY335" s="3" t="s">
        <v>4560</v>
      </c>
      <c r="AZ335" s="3" t="s">
        <v>74</v>
      </c>
      <c r="BB335" s="3" t="s">
        <v>4561</v>
      </c>
      <c r="BC335" s="3" t="s">
        <v>4562</v>
      </c>
      <c r="BD335" s="3" t="s">
        <v>4563</v>
      </c>
    </row>
    <row r="336" spans="1:56" ht="45.75" customHeight="1" x14ac:dyDescent="0.25">
      <c r="A336" s="7" t="s">
        <v>58</v>
      </c>
      <c r="B336" s="2" t="s">
        <v>4564</v>
      </c>
      <c r="C336" s="2" t="s">
        <v>4565</v>
      </c>
      <c r="D336" s="2" t="s">
        <v>4566</v>
      </c>
      <c r="F336" s="3" t="s">
        <v>58</v>
      </c>
      <c r="G336" s="3" t="s">
        <v>59</v>
      </c>
      <c r="H336" s="3" t="s">
        <v>58</v>
      </c>
      <c r="I336" s="3" t="s">
        <v>58</v>
      </c>
      <c r="J336" s="3" t="s">
        <v>60</v>
      </c>
      <c r="L336" s="2" t="s">
        <v>4567</v>
      </c>
      <c r="M336" s="3" t="s">
        <v>290</v>
      </c>
      <c r="O336" s="3" t="s">
        <v>65</v>
      </c>
      <c r="P336" s="3" t="s">
        <v>587</v>
      </c>
      <c r="R336" s="3" t="s">
        <v>67</v>
      </c>
      <c r="S336" s="4">
        <v>1</v>
      </c>
      <c r="T336" s="4">
        <v>1</v>
      </c>
      <c r="U336" s="5" t="s">
        <v>4568</v>
      </c>
      <c r="V336" s="5" t="s">
        <v>4568</v>
      </c>
      <c r="W336" s="5" t="s">
        <v>4568</v>
      </c>
      <c r="X336" s="5" t="s">
        <v>4568</v>
      </c>
      <c r="Y336" s="4">
        <v>230</v>
      </c>
      <c r="Z336" s="4">
        <v>230</v>
      </c>
      <c r="AA336" s="4">
        <v>255</v>
      </c>
      <c r="AB336" s="4">
        <v>1</v>
      </c>
      <c r="AC336" s="4">
        <v>1</v>
      </c>
      <c r="AD336" s="4">
        <v>12</v>
      </c>
      <c r="AE336" s="4">
        <v>14</v>
      </c>
      <c r="AF336" s="4">
        <v>5</v>
      </c>
      <c r="AG336" s="4">
        <v>6</v>
      </c>
      <c r="AH336" s="4">
        <v>2</v>
      </c>
      <c r="AI336" s="4">
        <v>3</v>
      </c>
      <c r="AJ336" s="4">
        <v>9</v>
      </c>
      <c r="AK336" s="4">
        <v>10</v>
      </c>
      <c r="AL336" s="4">
        <v>0</v>
      </c>
      <c r="AM336" s="4">
        <v>0</v>
      </c>
      <c r="AN336" s="4">
        <v>0</v>
      </c>
      <c r="AO336" s="4">
        <v>0</v>
      </c>
      <c r="AP336" s="3" t="s">
        <v>58</v>
      </c>
      <c r="AQ336" s="3" t="s">
        <v>87</v>
      </c>
      <c r="AR336" s="6" t="str">
        <f>HYPERLINK("http://catalog.hathitrust.org/Record/004212280","HathiTrust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HYPERLINK("https://creighton-primo.hosted.exlibrisgroup.com/primo-explore/search?tab=default_tab&amp;search_scope=EVERYTHING&amp;vid=01CRU&amp;lang=en_US&amp;offset=0&amp;query=any,contains,991003706969702656","Catalog Record")</f>
        <v>Catalog Record</v>
      </c>
      <c r="AT336" s="6" t="str">
        <f>HYPERLINK("http://www.worldcat.org/oclc/48566844","WorldCat Record")</f>
        <v>WorldCat Record</v>
      </c>
      <c r="AU336" s="3" t="s">
        <v>4569</v>
      </c>
      <c r="AV336" s="3" t="s">
        <v>4570</v>
      </c>
      <c r="AW336" s="3" t="s">
        <v>4571</v>
      </c>
      <c r="AX336" s="3" t="s">
        <v>4571</v>
      </c>
      <c r="AY336" s="3" t="s">
        <v>4572</v>
      </c>
      <c r="AZ336" s="3" t="s">
        <v>74</v>
      </c>
      <c r="BB336" s="3" t="s">
        <v>4573</v>
      </c>
      <c r="BC336" s="3" t="s">
        <v>4574</v>
      </c>
      <c r="BD336" s="3" t="s">
        <v>4575</v>
      </c>
    </row>
    <row r="337" spans="1:56" ht="45.75" customHeight="1" x14ac:dyDescent="0.25">
      <c r="A337" s="7" t="s">
        <v>58</v>
      </c>
      <c r="B337" s="2" t="s">
        <v>4576</v>
      </c>
      <c r="C337" s="2" t="s">
        <v>4577</v>
      </c>
      <c r="D337" s="2" t="s">
        <v>4578</v>
      </c>
      <c r="F337" s="3" t="s">
        <v>58</v>
      </c>
      <c r="G337" s="3" t="s">
        <v>59</v>
      </c>
      <c r="H337" s="3" t="s">
        <v>58</v>
      </c>
      <c r="I337" s="3" t="s">
        <v>58</v>
      </c>
      <c r="J337" s="3" t="s">
        <v>60</v>
      </c>
      <c r="K337" s="2" t="s">
        <v>4579</v>
      </c>
      <c r="L337" s="2" t="s">
        <v>656</v>
      </c>
      <c r="M337" s="3" t="s">
        <v>220</v>
      </c>
      <c r="O337" s="3" t="s">
        <v>65</v>
      </c>
      <c r="P337" s="3" t="s">
        <v>84</v>
      </c>
      <c r="R337" s="3" t="s">
        <v>67</v>
      </c>
      <c r="S337" s="4">
        <v>1</v>
      </c>
      <c r="T337" s="4">
        <v>1</v>
      </c>
      <c r="U337" s="5" t="s">
        <v>1663</v>
      </c>
      <c r="V337" s="5" t="s">
        <v>1663</v>
      </c>
      <c r="W337" s="5" t="s">
        <v>1663</v>
      </c>
      <c r="X337" s="5" t="s">
        <v>1663</v>
      </c>
      <c r="Y337" s="4">
        <v>406</v>
      </c>
      <c r="Z337" s="4">
        <v>357</v>
      </c>
      <c r="AA337" s="4">
        <v>362</v>
      </c>
      <c r="AB337" s="4">
        <v>4</v>
      </c>
      <c r="AC337" s="4">
        <v>4</v>
      </c>
      <c r="AD337" s="4">
        <v>20</v>
      </c>
      <c r="AE337" s="4">
        <v>20</v>
      </c>
      <c r="AF337" s="4">
        <v>7</v>
      </c>
      <c r="AG337" s="4">
        <v>7</v>
      </c>
      <c r="AH337" s="4">
        <v>3</v>
      </c>
      <c r="AI337" s="4">
        <v>3</v>
      </c>
      <c r="AJ337" s="4">
        <v>13</v>
      </c>
      <c r="AK337" s="4">
        <v>13</v>
      </c>
      <c r="AL337" s="4">
        <v>3</v>
      </c>
      <c r="AM337" s="4">
        <v>3</v>
      </c>
      <c r="AN337" s="4">
        <v>0</v>
      </c>
      <c r="AO337" s="4">
        <v>0</v>
      </c>
      <c r="AP337" s="3" t="s">
        <v>58</v>
      </c>
      <c r="AQ337" s="3" t="s">
        <v>58</v>
      </c>
      <c r="AS337" s="6" t="str">
        <f>HYPERLINK("https://creighton-primo.hosted.exlibrisgroup.com/primo-explore/search?tab=default_tab&amp;search_scope=EVERYTHING&amp;vid=01CRU&amp;lang=en_US&amp;offset=0&amp;query=any,contains,991003313659702656","Catalog Record")</f>
        <v>Catalog Record</v>
      </c>
      <c r="AT337" s="6" t="str">
        <f>HYPERLINK("http://www.worldcat.org/oclc/41361488","WorldCat Record")</f>
        <v>WorldCat Record</v>
      </c>
      <c r="AU337" s="3" t="s">
        <v>4580</v>
      </c>
      <c r="AV337" s="3" t="s">
        <v>4581</v>
      </c>
      <c r="AW337" s="3" t="s">
        <v>4582</v>
      </c>
      <c r="AX337" s="3" t="s">
        <v>4582</v>
      </c>
      <c r="AY337" s="3" t="s">
        <v>4583</v>
      </c>
      <c r="AZ337" s="3" t="s">
        <v>74</v>
      </c>
      <c r="BB337" s="3" t="s">
        <v>4584</v>
      </c>
      <c r="BC337" s="3" t="s">
        <v>4585</v>
      </c>
      <c r="BD337" s="3" t="s">
        <v>4586</v>
      </c>
    </row>
    <row r="338" spans="1:56" ht="45.75" customHeight="1" x14ac:dyDescent="0.25">
      <c r="A338" s="7" t="s">
        <v>58</v>
      </c>
      <c r="B338" s="2" t="s">
        <v>4587</v>
      </c>
      <c r="C338" s="2" t="s">
        <v>4588</v>
      </c>
      <c r="D338" s="2" t="s">
        <v>4589</v>
      </c>
      <c r="F338" s="3" t="s">
        <v>58</v>
      </c>
      <c r="G338" s="3" t="s">
        <v>59</v>
      </c>
      <c r="H338" s="3" t="s">
        <v>58</v>
      </c>
      <c r="I338" s="3" t="s">
        <v>58</v>
      </c>
      <c r="J338" s="3" t="s">
        <v>60</v>
      </c>
      <c r="K338" s="2" t="s">
        <v>4590</v>
      </c>
      <c r="L338" s="2" t="s">
        <v>4591</v>
      </c>
      <c r="M338" s="3" t="s">
        <v>131</v>
      </c>
      <c r="O338" s="3" t="s">
        <v>65</v>
      </c>
      <c r="P338" s="3" t="s">
        <v>148</v>
      </c>
      <c r="R338" s="3" t="s">
        <v>67</v>
      </c>
      <c r="S338" s="4">
        <v>3</v>
      </c>
      <c r="T338" s="4">
        <v>3</v>
      </c>
      <c r="U338" s="5" t="s">
        <v>4592</v>
      </c>
      <c r="V338" s="5" t="s">
        <v>4592</v>
      </c>
      <c r="W338" s="5" t="s">
        <v>4593</v>
      </c>
      <c r="X338" s="5" t="s">
        <v>4593</v>
      </c>
      <c r="Y338" s="4">
        <v>181</v>
      </c>
      <c r="Z338" s="4">
        <v>138</v>
      </c>
      <c r="AA338" s="4">
        <v>140</v>
      </c>
      <c r="AB338" s="4">
        <v>1</v>
      </c>
      <c r="AC338" s="4">
        <v>1</v>
      </c>
      <c r="AD338" s="4">
        <v>6</v>
      </c>
      <c r="AE338" s="4">
        <v>6</v>
      </c>
      <c r="AF338" s="4">
        <v>1</v>
      </c>
      <c r="AG338" s="4">
        <v>1</v>
      </c>
      <c r="AH338" s="4">
        <v>2</v>
      </c>
      <c r="AI338" s="4">
        <v>2</v>
      </c>
      <c r="AJ338" s="4">
        <v>5</v>
      </c>
      <c r="AK338" s="4">
        <v>5</v>
      </c>
      <c r="AL338" s="4">
        <v>0</v>
      </c>
      <c r="AM338" s="4">
        <v>0</v>
      </c>
      <c r="AN338" s="4">
        <v>0</v>
      </c>
      <c r="AO338" s="4">
        <v>0</v>
      </c>
      <c r="AP338" s="3" t="s">
        <v>58</v>
      </c>
      <c r="AQ338" s="3" t="s">
        <v>87</v>
      </c>
      <c r="AR338" s="6" t="str">
        <f>HYPERLINK("http://catalog.hathitrust.org/Record/005115108","HathiTrust Record")</f>
        <v>HathiTrust Record</v>
      </c>
      <c r="AS338" s="6" t="str">
        <f>HYPERLINK("https://creighton-primo.hosted.exlibrisgroup.com/primo-explore/search?tab=default_tab&amp;search_scope=EVERYTHING&amp;vid=01CRU&amp;lang=en_US&amp;offset=0&amp;query=any,contains,991004680919702656","Catalog Record")</f>
        <v>Catalog Record</v>
      </c>
      <c r="AT338" s="6" t="str">
        <f>HYPERLINK("http://www.worldcat.org/oclc/61704855","WorldCat Record")</f>
        <v>WorldCat Record</v>
      </c>
      <c r="AU338" s="3" t="s">
        <v>4594</v>
      </c>
      <c r="AV338" s="3" t="s">
        <v>4595</v>
      </c>
      <c r="AW338" s="3" t="s">
        <v>4596</v>
      </c>
      <c r="AX338" s="3" t="s">
        <v>4596</v>
      </c>
      <c r="AY338" s="3" t="s">
        <v>4597</v>
      </c>
      <c r="AZ338" s="3" t="s">
        <v>74</v>
      </c>
      <c r="BB338" s="3" t="s">
        <v>4598</v>
      </c>
      <c r="BC338" s="3" t="s">
        <v>4599</v>
      </c>
      <c r="BD338" s="3" t="s">
        <v>4600</v>
      </c>
    </row>
    <row r="339" spans="1:56" ht="45.75" customHeight="1" x14ac:dyDescent="0.25">
      <c r="A339" s="7" t="s">
        <v>58</v>
      </c>
      <c r="B339" s="2" t="s">
        <v>4601</v>
      </c>
      <c r="C339" s="2" t="s">
        <v>4602</v>
      </c>
      <c r="D339" s="2" t="s">
        <v>4603</v>
      </c>
      <c r="F339" s="3" t="s">
        <v>58</v>
      </c>
      <c r="G339" s="3" t="s">
        <v>59</v>
      </c>
      <c r="H339" s="3" t="s">
        <v>58</v>
      </c>
      <c r="I339" s="3" t="s">
        <v>58</v>
      </c>
      <c r="J339" s="3" t="s">
        <v>60</v>
      </c>
      <c r="L339" s="2" t="s">
        <v>4604</v>
      </c>
      <c r="M339" s="3" t="s">
        <v>131</v>
      </c>
      <c r="O339" s="3" t="s">
        <v>65</v>
      </c>
      <c r="P339" s="3" t="s">
        <v>84</v>
      </c>
      <c r="R339" s="3" t="s">
        <v>67</v>
      </c>
      <c r="S339" s="4">
        <v>2</v>
      </c>
      <c r="T339" s="4">
        <v>2</v>
      </c>
      <c r="U339" s="5" t="s">
        <v>2853</v>
      </c>
      <c r="V339" s="5" t="s">
        <v>2853</v>
      </c>
      <c r="W339" s="5" t="s">
        <v>2853</v>
      </c>
      <c r="X339" s="5" t="s">
        <v>2853</v>
      </c>
      <c r="Y339" s="4">
        <v>119</v>
      </c>
      <c r="Z339" s="4">
        <v>94</v>
      </c>
      <c r="AA339" s="4">
        <v>121</v>
      </c>
      <c r="AB339" s="4">
        <v>2</v>
      </c>
      <c r="AC339" s="4">
        <v>3</v>
      </c>
      <c r="AD339" s="4">
        <v>2</v>
      </c>
      <c r="AE339" s="4">
        <v>3</v>
      </c>
      <c r="AF339" s="4">
        <v>0</v>
      </c>
      <c r="AG339" s="4">
        <v>0</v>
      </c>
      <c r="AH339" s="4">
        <v>0</v>
      </c>
      <c r="AI339" s="4">
        <v>0</v>
      </c>
      <c r="AJ339" s="4">
        <v>1</v>
      </c>
      <c r="AK339" s="4">
        <v>1</v>
      </c>
      <c r="AL339" s="4">
        <v>1</v>
      </c>
      <c r="AM339" s="4">
        <v>2</v>
      </c>
      <c r="AN339" s="4">
        <v>0</v>
      </c>
      <c r="AO339" s="4">
        <v>0</v>
      </c>
      <c r="AP339" s="3" t="s">
        <v>58</v>
      </c>
      <c r="AQ339" s="3" t="s">
        <v>87</v>
      </c>
      <c r="AR339" s="6" t="str">
        <f>HYPERLINK("http://catalog.hathitrust.org/Record/007577242","HathiTrust Record")</f>
        <v>HathiTrust Record</v>
      </c>
      <c r="AS339" s="6" t="str">
        <f>HYPERLINK("https://creighton-primo.hosted.exlibrisgroup.com/primo-explore/search?tab=default_tab&amp;search_scope=EVERYTHING&amp;vid=01CRU&amp;lang=en_US&amp;offset=0&amp;query=any,contains,991005269569702656","Catalog Record")</f>
        <v>Catalog Record</v>
      </c>
      <c r="AT339" s="6" t="str">
        <f>HYPERLINK("http://www.worldcat.org/oclc/71778920","WorldCat Record")</f>
        <v>WorldCat Record</v>
      </c>
      <c r="AU339" s="3" t="s">
        <v>4605</v>
      </c>
      <c r="AV339" s="3" t="s">
        <v>4606</v>
      </c>
      <c r="AW339" s="3" t="s">
        <v>4607</v>
      </c>
      <c r="AX339" s="3" t="s">
        <v>4607</v>
      </c>
      <c r="AY339" s="3" t="s">
        <v>4608</v>
      </c>
      <c r="AZ339" s="3" t="s">
        <v>74</v>
      </c>
      <c r="BB339" s="3" t="s">
        <v>4609</v>
      </c>
      <c r="BC339" s="3" t="s">
        <v>4610</v>
      </c>
      <c r="BD339" s="3" t="s">
        <v>4611</v>
      </c>
    </row>
    <row r="340" spans="1:56" ht="45.75" customHeight="1" x14ac:dyDescent="0.25">
      <c r="A340" s="7" t="s">
        <v>58</v>
      </c>
      <c r="B340" s="2" t="s">
        <v>4612</v>
      </c>
      <c r="C340" s="2" t="s">
        <v>4613</v>
      </c>
      <c r="D340" s="2" t="s">
        <v>4614</v>
      </c>
      <c r="F340" s="3" t="s">
        <v>58</v>
      </c>
      <c r="G340" s="3" t="s">
        <v>59</v>
      </c>
      <c r="H340" s="3" t="s">
        <v>58</v>
      </c>
      <c r="I340" s="3" t="s">
        <v>58</v>
      </c>
      <c r="J340" s="3" t="s">
        <v>60</v>
      </c>
      <c r="K340" s="2" t="s">
        <v>4615</v>
      </c>
      <c r="L340" s="2" t="s">
        <v>4616</v>
      </c>
      <c r="M340" s="3" t="s">
        <v>335</v>
      </c>
      <c r="O340" s="3" t="s">
        <v>65</v>
      </c>
      <c r="P340" s="3" t="s">
        <v>175</v>
      </c>
      <c r="Q340" s="2" t="s">
        <v>4617</v>
      </c>
      <c r="R340" s="3" t="s">
        <v>67</v>
      </c>
      <c r="S340" s="4">
        <v>1</v>
      </c>
      <c r="T340" s="4">
        <v>1</v>
      </c>
      <c r="U340" s="5" t="s">
        <v>4618</v>
      </c>
      <c r="V340" s="5" t="s">
        <v>4618</v>
      </c>
      <c r="W340" s="5" t="s">
        <v>4619</v>
      </c>
      <c r="X340" s="5" t="s">
        <v>4619</v>
      </c>
      <c r="Y340" s="4">
        <v>164</v>
      </c>
      <c r="Z340" s="4">
        <v>75</v>
      </c>
      <c r="AA340" s="4">
        <v>92</v>
      </c>
      <c r="AB340" s="4">
        <v>1</v>
      </c>
      <c r="AC340" s="4">
        <v>1</v>
      </c>
      <c r="AD340" s="4">
        <v>2</v>
      </c>
      <c r="AE340" s="4">
        <v>2</v>
      </c>
      <c r="AF340" s="4">
        <v>0</v>
      </c>
      <c r="AG340" s="4">
        <v>0</v>
      </c>
      <c r="AH340" s="4">
        <v>1</v>
      </c>
      <c r="AI340" s="4">
        <v>1</v>
      </c>
      <c r="AJ340" s="4">
        <v>2</v>
      </c>
      <c r="AK340" s="4">
        <v>2</v>
      </c>
      <c r="AL340" s="4">
        <v>0</v>
      </c>
      <c r="AM340" s="4">
        <v>0</v>
      </c>
      <c r="AN340" s="4">
        <v>0</v>
      </c>
      <c r="AO340" s="4">
        <v>0</v>
      </c>
      <c r="AP340" s="3" t="s">
        <v>58</v>
      </c>
      <c r="AQ340" s="3" t="s">
        <v>58</v>
      </c>
      <c r="AS340" s="6" t="str">
        <f>HYPERLINK("https://creighton-primo.hosted.exlibrisgroup.com/primo-explore/search?tab=default_tab&amp;search_scope=EVERYTHING&amp;vid=01CRU&amp;lang=en_US&amp;offset=0&amp;query=any,contains,991000178589702656","Catalog Record")</f>
        <v>Catalog Record</v>
      </c>
      <c r="AT340" s="6" t="str">
        <f>HYPERLINK("http://www.worldcat.org/oclc/432408745","WorldCat Record")</f>
        <v>WorldCat Record</v>
      </c>
      <c r="AU340" s="3" t="s">
        <v>4620</v>
      </c>
      <c r="AV340" s="3" t="s">
        <v>4621</v>
      </c>
      <c r="AW340" s="3" t="s">
        <v>4622</v>
      </c>
      <c r="AX340" s="3" t="s">
        <v>4622</v>
      </c>
      <c r="AY340" s="3" t="s">
        <v>4623</v>
      </c>
      <c r="AZ340" s="3" t="s">
        <v>74</v>
      </c>
      <c r="BB340" s="3" t="s">
        <v>4624</v>
      </c>
      <c r="BC340" s="3" t="s">
        <v>4625</v>
      </c>
      <c r="BD340" s="3" t="s">
        <v>4626</v>
      </c>
    </row>
    <row r="341" spans="1:56" ht="45.75" customHeight="1" x14ac:dyDescent="0.25">
      <c r="A341" s="7" t="s">
        <v>58</v>
      </c>
      <c r="B341" s="2" t="s">
        <v>4627</v>
      </c>
      <c r="C341" s="2" t="s">
        <v>4628</v>
      </c>
      <c r="D341" s="2" t="s">
        <v>4629</v>
      </c>
      <c r="F341" s="3" t="s">
        <v>58</v>
      </c>
      <c r="G341" s="3" t="s">
        <v>59</v>
      </c>
      <c r="H341" s="3" t="s">
        <v>58</v>
      </c>
      <c r="I341" s="3" t="s">
        <v>58</v>
      </c>
      <c r="J341" s="3" t="s">
        <v>60</v>
      </c>
      <c r="L341" s="2" t="s">
        <v>4630</v>
      </c>
      <c r="M341" s="3" t="s">
        <v>290</v>
      </c>
      <c r="O341" s="3" t="s">
        <v>65</v>
      </c>
      <c r="P341" s="3" t="s">
        <v>66</v>
      </c>
      <c r="R341" s="3" t="s">
        <v>67</v>
      </c>
      <c r="S341" s="4">
        <v>3</v>
      </c>
      <c r="T341" s="4">
        <v>3</v>
      </c>
      <c r="U341" s="5" t="s">
        <v>3602</v>
      </c>
      <c r="V341" s="5" t="s">
        <v>3602</v>
      </c>
      <c r="W341" s="5" t="s">
        <v>4631</v>
      </c>
      <c r="X341" s="5" t="s">
        <v>4631</v>
      </c>
      <c r="Y341" s="4">
        <v>600</v>
      </c>
      <c r="Z341" s="4">
        <v>546</v>
      </c>
      <c r="AA341" s="4">
        <v>1187</v>
      </c>
      <c r="AB341" s="4">
        <v>4</v>
      </c>
      <c r="AC341" s="4">
        <v>8</v>
      </c>
      <c r="AD341" s="4">
        <v>26</v>
      </c>
      <c r="AE341" s="4">
        <v>41</v>
      </c>
      <c r="AF341" s="4">
        <v>8</v>
      </c>
      <c r="AG341" s="4">
        <v>14</v>
      </c>
      <c r="AH341" s="4">
        <v>6</v>
      </c>
      <c r="AI341" s="4">
        <v>9</v>
      </c>
      <c r="AJ341" s="4">
        <v>13</v>
      </c>
      <c r="AK341" s="4">
        <v>16</v>
      </c>
      <c r="AL341" s="4">
        <v>3</v>
      </c>
      <c r="AM341" s="4">
        <v>7</v>
      </c>
      <c r="AN341" s="4">
        <v>2</v>
      </c>
      <c r="AO341" s="4">
        <v>3</v>
      </c>
      <c r="AP341" s="3" t="s">
        <v>58</v>
      </c>
      <c r="AQ341" s="3" t="s">
        <v>87</v>
      </c>
      <c r="AR341" s="6" t="str">
        <f>HYPERLINK("http://catalog.hathitrust.org/Record/004199249","HathiTrust Record")</f>
        <v>HathiTrust Record</v>
      </c>
      <c r="AS341" s="6" t="str">
        <f>HYPERLINK("https://creighton-primo.hosted.exlibrisgroup.com/primo-explore/search?tab=default_tab&amp;search_scope=EVERYTHING&amp;vid=01CRU&amp;lang=en_US&amp;offset=0&amp;query=any,contains,991003733929702656","Catalog Record")</f>
        <v>Catalog Record</v>
      </c>
      <c r="AT341" s="6" t="str">
        <f>HYPERLINK("http://www.worldcat.org/oclc/48144322","WorldCat Record")</f>
        <v>WorldCat Record</v>
      </c>
      <c r="AU341" s="3" t="s">
        <v>4632</v>
      </c>
      <c r="AV341" s="3" t="s">
        <v>4633</v>
      </c>
      <c r="AW341" s="3" t="s">
        <v>4634</v>
      </c>
      <c r="AX341" s="3" t="s">
        <v>4634</v>
      </c>
      <c r="AY341" s="3" t="s">
        <v>4635</v>
      </c>
      <c r="AZ341" s="3" t="s">
        <v>74</v>
      </c>
      <c r="BB341" s="3" t="s">
        <v>4636</v>
      </c>
      <c r="BC341" s="3" t="s">
        <v>4637</v>
      </c>
      <c r="BD341" s="3" t="s">
        <v>4638</v>
      </c>
    </row>
    <row r="342" spans="1:56" ht="45.75" customHeight="1" x14ac:dyDescent="0.25">
      <c r="A342" s="7" t="s">
        <v>58</v>
      </c>
      <c r="B342" s="2" t="s">
        <v>4639</v>
      </c>
      <c r="C342" s="2" t="s">
        <v>4640</v>
      </c>
      <c r="D342" s="2" t="s">
        <v>4641</v>
      </c>
      <c r="F342" s="3" t="s">
        <v>58</v>
      </c>
      <c r="G342" s="3" t="s">
        <v>59</v>
      </c>
      <c r="H342" s="3" t="s">
        <v>58</v>
      </c>
      <c r="I342" s="3" t="s">
        <v>58</v>
      </c>
      <c r="J342" s="3" t="s">
        <v>60</v>
      </c>
      <c r="K342" s="2" t="s">
        <v>4642</v>
      </c>
      <c r="L342" s="2" t="s">
        <v>4643</v>
      </c>
      <c r="M342" s="3" t="s">
        <v>290</v>
      </c>
      <c r="N342" s="2" t="s">
        <v>685</v>
      </c>
      <c r="O342" s="3" t="s">
        <v>65</v>
      </c>
      <c r="P342" s="3" t="s">
        <v>66</v>
      </c>
      <c r="Q342" s="2" t="s">
        <v>4644</v>
      </c>
      <c r="R342" s="3" t="s">
        <v>67</v>
      </c>
      <c r="S342" s="4">
        <v>2</v>
      </c>
      <c r="T342" s="4">
        <v>2</v>
      </c>
      <c r="U342" s="5" t="s">
        <v>4645</v>
      </c>
      <c r="V342" s="5" t="s">
        <v>4645</v>
      </c>
      <c r="W342" s="5" t="s">
        <v>4646</v>
      </c>
      <c r="X342" s="5" t="s">
        <v>4646</v>
      </c>
      <c r="Y342" s="4">
        <v>51</v>
      </c>
      <c r="Z342" s="4">
        <v>49</v>
      </c>
      <c r="AA342" s="4">
        <v>49</v>
      </c>
      <c r="AB342" s="4">
        <v>1</v>
      </c>
      <c r="AC342" s="4">
        <v>1</v>
      </c>
      <c r="AD342" s="4">
        <v>10</v>
      </c>
      <c r="AE342" s="4">
        <v>10</v>
      </c>
      <c r="AF342" s="4">
        <v>2</v>
      </c>
      <c r="AG342" s="4">
        <v>2</v>
      </c>
      <c r="AH342" s="4">
        <v>3</v>
      </c>
      <c r="AI342" s="4">
        <v>3</v>
      </c>
      <c r="AJ342" s="4">
        <v>7</v>
      </c>
      <c r="AK342" s="4">
        <v>7</v>
      </c>
      <c r="AL342" s="4">
        <v>0</v>
      </c>
      <c r="AM342" s="4">
        <v>0</v>
      </c>
      <c r="AN342" s="4">
        <v>0</v>
      </c>
      <c r="AO342" s="4">
        <v>0</v>
      </c>
      <c r="AP342" s="3" t="s">
        <v>58</v>
      </c>
      <c r="AQ342" s="3" t="s">
        <v>58</v>
      </c>
      <c r="AS342" s="6" t="str">
        <f>HYPERLINK("https://creighton-primo.hosted.exlibrisgroup.com/primo-explore/search?tab=default_tab&amp;search_scope=EVERYTHING&amp;vid=01CRU&amp;lang=en_US&amp;offset=0&amp;query=any,contains,991003631279702656","Catalog Record")</f>
        <v>Catalog Record</v>
      </c>
      <c r="AT342" s="6" t="str">
        <f>HYPERLINK("http://www.worldcat.org/oclc/47978113","WorldCat Record")</f>
        <v>WorldCat Record</v>
      </c>
      <c r="AU342" s="3" t="s">
        <v>4647</v>
      </c>
      <c r="AV342" s="3" t="s">
        <v>4648</v>
      </c>
      <c r="AW342" s="3" t="s">
        <v>4649</v>
      </c>
      <c r="AX342" s="3" t="s">
        <v>4649</v>
      </c>
      <c r="AY342" s="3" t="s">
        <v>4650</v>
      </c>
      <c r="AZ342" s="3" t="s">
        <v>74</v>
      </c>
      <c r="BB342" s="3" t="s">
        <v>4651</v>
      </c>
      <c r="BC342" s="3" t="s">
        <v>4652</v>
      </c>
      <c r="BD342" s="3" t="s">
        <v>4653</v>
      </c>
    </row>
    <row r="343" spans="1:56" ht="45.75" customHeight="1" x14ac:dyDescent="0.25">
      <c r="A343" s="7" t="s">
        <v>58</v>
      </c>
      <c r="B343" s="2" t="s">
        <v>4654</v>
      </c>
      <c r="C343" s="2" t="s">
        <v>4655</v>
      </c>
      <c r="D343" s="2" t="s">
        <v>4656</v>
      </c>
      <c r="F343" s="3" t="s">
        <v>58</v>
      </c>
      <c r="G343" s="3" t="s">
        <v>59</v>
      </c>
      <c r="H343" s="3" t="s">
        <v>58</v>
      </c>
      <c r="I343" s="3" t="s">
        <v>58</v>
      </c>
      <c r="J343" s="3" t="s">
        <v>60</v>
      </c>
      <c r="K343" s="2" t="s">
        <v>4657</v>
      </c>
      <c r="L343" s="2" t="s">
        <v>4658</v>
      </c>
      <c r="M343" s="3" t="s">
        <v>203</v>
      </c>
      <c r="O343" s="3" t="s">
        <v>65</v>
      </c>
      <c r="P343" s="3" t="s">
        <v>529</v>
      </c>
      <c r="R343" s="3" t="s">
        <v>67</v>
      </c>
      <c r="S343" s="4">
        <v>2</v>
      </c>
      <c r="T343" s="4">
        <v>2</v>
      </c>
      <c r="U343" s="5" t="s">
        <v>4659</v>
      </c>
      <c r="V343" s="5" t="s">
        <v>4659</v>
      </c>
      <c r="W343" s="5" t="s">
        <v>4660</v>
      </c>
      <c r="X343" s="5" t="s">
        <v>4660</v>
      </c>
      <c r="Y343" s="4">
        <v>110</v>
      </c>
      <c r="Z343" s="4">
        <v>94</v>
      </c>
      <c r="AA343" s="4">
        <v>94</v>
      </c>
      <c r="AB343" s="4">
        <v>1</v>
      </c>
      <c r="AC343" s="4">
        <v>1</v>
      </c>
      <c r="AD343" s="4">
        <v>6</v>
      </c>
      <c r="AE343" s="4">
        <v>6</v>
      </c>
      <c r="AF343" s="4">
        <v>2</v>
      </c>
      <c r="AG343" s="4">
        <v>2</v>
      </c>
      <c r="AH343" s="4">
        <v>3</v>
      </c>
      <c r="AI343" s="4">
        <v>3</v>
      </c>
      <c r="AJ343" s="4">
        <v>3</v>
      </c>
      <c r="AK343" s="4">
        <v>3</v>
      </c>
      <c r="AL343" s="4">
        <v>0</v>
      </c>
      <c r="AM343" s="4">
        <v>0</v>
      </c>
      <c r="AN343" s="4">
        <v>0</v>
      </c>
      <c r="AO343" s="4">
        <v>0</v>
      </c>
      <c r="AP343" s="3" t="s">
        <v>58</v>
      </c>
      <c r="AQ343" s="3" t="s">
        <v>58</v>
      </c>
      <c r="AS343" s="6" t="str">
        <f>HYPERLINK("https://creighton-primo.hosted.exlibrisgroup.com/primo-explore/search?tab=default_tab&amp;search_scope=EVERYTHING&amp;vid=01CRU&amp;lang=en_US&amp;offset=0&amp;query=any,contains,991004097679702656","Catalog Record")</f>
        <v>Catalog Record</v>
      </c>
      <c r="AT343" s="6" t="str">
        <f>HYPERLINK("http://www.worldcat.org/oclc/49757652","WorldCat Record")</f>
        <v>WorldCat Record</v>
      </c>
      <c r="AU343" s="3" t="s">
        <v>4661</v>
      </c>
      <c r="AV343" s="3" t="s">
        <v>4662</v>
      </c>
      <c r="AW343" s="3" t="s">
        <v>4663</v>
      </c>
      <c r="AX343" s="3" t="s">
        <v>4663</v>
      </c>
      <c r="AY343" s="3" t="s">
        <v>4664</v>
      </c>
      <c r="AZ343" s="3" t="s">
        <v>74</v>
      </c>
      <c r="BB343" s="3" t="s">
        <v>4665</v>
      </c>
      <c r="BC343" s="3" t="s">
        <v>4666</v>
      </c>
      <c r="BD343" s="3" t="s">
        <v>4667</v>
      </c>
    </row>
    <row r="344" spans="1:56" ht="45.75" customHeight="1" x14ac:dyDescent="0.25">
      <c r="A344" s="7" t="s">
        <v>58</v>
      </c>
      <c r="B344" s="2" t="s">
        <v>4668</v>
      </c>
      <c r="C344" s="2" t="s">
        <v>4669</v>
      </c>
      <c r="D344" s="2" t="s">
        <v>4670</v>
      </c>
      <c r="F344" s="3" t="s">
        <v>58</v>
      </c>
      <c r="G344" s="3" t="s">
        <v>59</v>
      </c>
      <c r="H344" s="3" t="s">
        <v>58</v>
      </c>
      <c r="I344" s="3" t="s">
        <v>58</v>
      </c>
      <c r="J344" s="3" t="s">
        <v>60</v>
      </c>
      <c r="L344" s="2" t="s">
        <v>4671</v>
      </c>
      <c r="M344" s="3" t="s">
        <v>189</v>
      </c>
      <c r="O344" s="3" t="s">
        <v>65</v>
      </c>
      <c r="P344" s="3" t="s">
        <v>84</v>
      </c>
      <c r="R344" s="3" t="s">
        <v>67</v>
      </c>
      <c r="S344" s="4">
        <v>1</v>
      </c>
      <c r="T344" s="4">
        <v>1</v>
      </c>
      <c r="U344" s="5" t="s">
        <v>4672</v>
      </c>
      <c r="V344" s="5" t="s">
        <v>4672</v>
      </c>
      <c r="W344" s="5" t="s">
        <v>4672</v>
      </c>
      <c r="X344" s="5" t="s">
        <v>4672</v>
      </c>
      <c r="Y344" s="4">
        <v>108</v>
      </c>
      <c r="Z344" s="4">
        <v>69</v>
      </c>
      <c r="AA344" s="4">
        <v>352</v>
      </c>
      <c r="AB344" s="4">
        <v>1</v>
      </c>
      <c r="AC344" s="4">
        <v>2</v>
      </c>
      <c r="AD344" s="4">
        <v>2</v>
      </c>
      <c r="AE344" s="4">
        <v>17</v>
      </c>
      <c r="AF344" s="4">
        <v>0</v>
      </c>
      <c r="AG344" s="4">
        <v>7</v>
      </c>
      <c r="AH344" s="4">
        <v>2</v>
      </c>
      <c r="AI344" s="4">
        <v>6</v>
      </c>
      <c r="AJ344" s="4">
        <v>2</v>
      </c>
      <c r="AK344" s="4">
        <v>9</v>
      </c>
      <c r="AL344" s="4">
        <v>0</v>
      </c>
      <c r="AM344" s="4">
        <v>1</v>
      </c>
      <c r="AN344" s="4">
        <v>0</v>
      </c>
      <c r="AO344" s="4">
        <v>0</v>
      </c>
      <c r="AP344" s="3" t="s">
        <v>58</v>
      </c>
      <c r="AQ344" s="3" t="s">
        <v>58</v>
      </c>
      <c r="AS344" s="6" t="str">
        <f>HYPERLINK("https://creighton-primo.hosted.exlibrisgroup.com/primo-explore/search?tab=default_tab&amp;search_scope=EVERYTHING&amp;vid=01CRU&amp;lang=en_US&amp;offset=0&amp;query=any,contains,991000173109702656","Catalog Record")</f>
        <v>Catalog Record</v>
      </c>
      <c r="AT344" s="6" t="str">
        <f>HYPERLINK("http://www.worldcat.org/oclc/230182621","WorldCat Record")</f>
        <v>WorldCat Record</v>
      </c>
      <c r="AU344" s="3" t="s">
        <v>4673</v>
      </c>
      <c r="AV344" s="3" t="s">
        <v>4674</v>
      </c>
      <c r="AW344" s="3" t="s">
        <v>4675</v>
      </c>
      <c r="AX344" s="3" t="s">
        <v>4675</v>
      </c>
      <c r="AY344" s="3" t="s">
        <v>4676</v>
      </c>
      <c r="AZ344" s="3" t="s">
        <v>74</v>
      </c>
      <c r="BB344" s="3" t="s">
        <v>4677</v>
      </c>
      <c r="BC344" s="3" t="s">
        <v>4678</v>
      </c>
      <c r="BD344" s="3" t="s">
        <v>4679</v>
      </c>
    </row>
    <row r="345" spans="1:56" ht="45.75" customHeight="1" x14ac:dyDescent="0.25">
      <c r="A345" s="7" t="s">
        <v>58</v>
      </c>
      <c r="B345" s="2" t="s">
        <v>4680</v>
      </c>
      <c r="C345" s="2" t="s">
        <v>4681</v>
      </c>
      <c r="D345" s="2" t="s">
        <v>4682</v>
      </c>
      <c r="F345" s="3" t="s">
        <v>58</v>
      </c>
      <c r="G345" s="3" t="s">
        <v>59</v>
      </c>
      <c r="H345" s="3" t="s">
        <v>58</v>
      </c>
      <c r="I345" s="3" t="s">
        <v>58</v>
      </c>
      <c r="J345" s="3" t="s">
        <v>60</v>
      </c>
      <c r="L345" s="2" t="s">
        <v>4683</v>
      </c>
      <c r="M345" s="3" t="s">
        <v>116</v>
      </c>
      <c r="O345" s="3" t="s">
        <v>65</v>
      </c>
      <c r="P345" s="3" t="s">
        <v>84</v>
      </c>
      <c r="R345" s="3" t="s">
        <v>67</v>
      </c>
      <c r="S345" s="4">
        <v>1</v>
      </c>
      <c r="T345" s="4">
        <v>1</v>
      </c>
      <c r="U345" s="5" t="s">
        <v>3422</v>
      </c>
      <c r="V345" s="5" t="s">
        <v>3422</v>
      </c>
      <c r="W345" s="5" t="s">
        <v>4684</v>
      </c>
      <c r="X345" s="5" t="s">
        <v>4684</v>
      </c>
      <c r="Y345" s="4">
        <v>197</v>
      </c>
      <c r="Z345" s="4">
        <v>166</v>
      </c>
      <c r="AA345" s="4">
        <v>199</v>
      </c>
      <c r="AB345" s="4">
        <v>2</v>
      </c>
      <c r="AC345" s="4">
        <v>2</v>
      </c>
      <c r="AD345" s="4">
        <v>10</v>
      </c>
      <c r="AE345" s="4">
        <v>10</v>
      </c>
      <c r="AF345" s="4">
        <v>4</v>
      </c>
      <c r="AG345" s="4">
        <v>4</v>
      </c>
      <c r="AH345" s="4">
        <v>2</v>
      </c>
      <c r="AI345" s="4">
        <v>2</v>
      </c>
      <c r="AJ345" s="4">
        <v>6</v>
      </c>
      <c r="AK345" s="4">
        <v>6</v>
      </c>
      <c r="AL345" s="4">
        <v>1</v>
      </c>
      <c r="AM345" s="4">
        <v>1</v>
      </c>
      <c r="AN345" s="4">
        <v>0</v>
      </c>
      <c r="AO345" s="4">
        <v>0</v>
      </c>
      <c r="AP345" s="3" t="s">
        <v>58</v>
      </c>
      <c r="AQ345" s="3" t="s">
        <v>87</v>
      </c>
      <c r="AR345" s="6" t="str">
        <f>HYPERLINK("http://catalog.hathitrust.org/Record/003999770","HathiTrust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HYPERLINK("https://creighton-primo.hosted.exlibrisgroup.com/primo-explore/search?tab=default_tab&amp;search_scope=EVERYTHING&amp;vid=01CRU&amp;lang=en_US&amp;offset=0&amp;query=any,contains,991002923249702656","Catalog Record")</f>
        <v>Catalog Record</v>
      </c>
      <c r="AT345" s="6" t="str">
        <f>HYPERLINK("http://www.worldcat.org/oclc/38853951","WorldCat Record")</f>
        <v>WorldCat Record</v>
      </c>
      <c r="AU345" s="3" t="s">
        <v>4685</v>
      </c>
      <c r="AV345" s="3" t="s">
        <v>4686</v>
      </c>
      <c r="AW345" s="3" t="s">
        <v>4687</v>
      </c>
      <c r="AX345" s="3" t="s">
        <v>4687</v>
      </c>
      <c r="AY345" s="3" t="s">
        <v>4688</v>
      </c>
      <c r="AZ345" s="3" t="s">
        <v>74</v>
      </c>
      <c r="BB345" s="3" t="s">
        <v>4689</v>
      </c>
      <c r="BC345" s="3" t="s">
        <v>4690</v>
      </c>
      <c r="BD345" s="3" t="s">
        <v>4691</v>
      </c>
    </row>
    <row r="346" spans="1:56" ht="45.75" customHeight="1" x14ac:dyDescent="0.25">
      <c r="A346" s="7" t="s">
        <v>58</v>
      </c>
      <c r="B346" s="2" t="s">
        <v>4692</v>
      </c>
      <c r="C346" s="2" t="s">
        <v>4693</v>
      </c>
      <c r="D346" s="2" t="s">
        <v>4694</v>
      </c>
      <c r="F346" s="3" t="s">
        <v>58</v>
      </c>
      <c r="G346" s="3" t="s">
        <v>59</v>
      </c>
      <c r="H346" s="3" t="s">
        <v>58</v>
      </c>
      <c r="I346" s="3" t="s">
        <v>58</v>
      </c>
      <c r="J346" s="3" t="s">
        <v>60</v>
      </c>
      <c r="K346" s="2" t="s">
        <v>4695</v>
      </c>
      <c r="L346" s="2" t="s">
        <v>4696</v>
      </c>
      <c r="M346" s="3" t="s">
        <v>290</v>
      </c>
      <c r="O346" s="3" t="s">
        <v>65</v>
      </c>
      <c r="P346" s="3" t="s">
        <v>84</v>
      </c>
      <c r="R346" s="3" t="s">
        <v>67</v>
      </c>
      <c r="S346" s="4">
        <v>1</v>
      </c>
      <c r="T346" s="4">
        <v>1</v>
      </c>
      <c r="U346" s="5" t="s">
        <v>4697</v>
      </c>
      <c r="V346" s="5" t="s">
        <v>4697</v>
      </c>
      <c r="W346" s="5" t="s">
        <v>4697</v>
      </c>
      <c r="X346" s="5" t="s">
        <v>4697</v>
      </c>
      <c r="Y346" s="4">
        <v>450</v>
      </c>
      <c r="Z346" s="4">
        <v>408</v>
      </c>
      <c r="AA346" s="4">
        <v>1125</v>
      </c>
      <c r="AB346" s="4">
        <v>4</v>
      </c>
      <c r="AC346" s="4">
        <v>27</v>
      </c>
      <c r="AD346" s="4">
        <v>27</v>
      </c>
      <c r="AE346" s="4">
        <v>49</v>
      </c>
      <c r="AF346" s="4">
        <v>13</v>
      </c>
      <c r="AG346" s="4">
        <v>20</v>
      </c>
      <c r="AH346" s="4">
        <v>6</v>
      </c>
      <c r="AI346" s="4">
        <v>9</v>
      </c>
      <c r="AJ346" s="4">
        <v>11</v>
      </c>
      <c r="AK346" s="4">
        <v>18</v>
      </c>
      <c r="AL346" s="4">
        <v>3</v>
      </c>
      <c r="AM346" s="4">
        <v>12</v>
      </c>
      <c r="AN346" s="4">
        <v>1</v>
      </c>
      <c r="AO346" s="4">
        <v>1</v>
      </c>
      <c r="AP346" s="3" t="s">
        <v>58</v>
      </c>
      <c r="AQ346" s="3" t="s">
        <v>58</v>
      </c>
      <c r="AS346" s="6" t="str">
        <f>HYPERLINK("https://creighton-primo.hosted.exlibrisgroup.com/primo-explore/search?tab=default_tab&amp;search_scope=EVERYTHING&amp;vid=01CRU&amp;lang=en_US&amp;offset=0&amp;query=any,contains,991003625319702656","Catalog Record")</f>
        <v>Catalog Record</v>
      </c>
      <c r="AT346" s="6" t="str">
        <f>HYPERLINK("http://www.worldcat.org/oclc/45058873","WorldCat Record")</f>
        <v>WorldCat Record</v>
      </c>
      <c r="AU346" s="3" t="s">
        <v>4698</v>
      </c>
      <c r="AV346" s="3" t="s">
        <v>4699</v>
      </c>
      <c r="AW346" s="3" t="s">
        <v>4700</v>
      </c>
      <c r="AX346" s="3" t="s">
        <v>4700</v>
      </c>
      <c r="AY346" s="3" t="s">
        <v>4701</v>
      </c>
      <c r="AZ346" s="3" t="s">
        <v>74</v>
      </c>
      <c r="BB346" s="3" t="s">
        <v>4702</v>
      </c>
      <c r="BC346" s="3" t="s">
        <v>4703</v>
      </c>
      <c r="BD346" s="3" t="s">
        <v>4704</v>
      </c>
    </row>
    <row r="347" spans="1:56" ht="45.75" customHeight="1" x14ac:dyDescent="0.25">
      <c r="A347" s="7" t="s">
        <v>58</v>
      </c>
      <c r="B347" s="2" t="s">
        <v>4705</v>
      </c>
      <c r="C347" s="2" t="s">
        <v>4706</v>
      </c>
      <c r="D347" s="2" t="s">
        <v>4707</v>
      </c>
      <c r="F347" s="3" t="s">
        <v>58</v>
      </c>
      <c r="G347" s="3" t="s">
        <v>59</v>
      </c>
      <c r="H347" s="3" t="s">
        <v>58</v>
      </c>
      <c r="I347" s="3" t="s">
        <v>58</v>
      </c>
      <c r="J347" s="3" t="s">
        <v>60</v>
      </c>
      <c r="K347" s="2" t="s">
        <v>4708</v>
      </c>
      <c r="L347" s="2" t="s">
        <v>4709</v>
      </c>
      <c r="M347" s="3" t="s">
        <v>4710</v>
      </c>
      <c r="O347" s="3" t="s">
        <v>65</v>
      </c>
      <c r="P347" s="3" t="s">
        <v>101</v>
      </c>
      <c r="Q347" s="2" t="s">
        <v>4711</v>
      </c>
      <c r="R347" s="3" t="s">
        <v>67</v>
      </c>
      <c r="S347" s="4">
        <v>6</v>
      </c>
      <c r="T347" s="4">
        <v>6</v>
      </c>
      <c r="U347" s="5" t="s">
        <v>4054</v>
      </c>
      <c r="V347" s="5" t="s">
        <v>4054</v>
      </c>
      <c r="W347" s="5" t="s">
        <v>1758</v>
      </c>
      <c r="X347" s="5" t="s">
        <v>1758</v>
      </c>
      <c r="Y347" s="4">
        <v>164</v>
      </c>
      <c r="Z347" s="4">
        <v>139</v>
      </c>
      <c r="AA347" s="4">
        <v>200</v>
      </c>
      <c r="AB347" s="4">
        <v>1</v>
      </c>
      <c r="AC347" s="4">
        <v>2</v>
      </c>
      <c r="AD347" s="4">
        <v>4</v>
      </c>
      <c r="AE347" s="4">
        <v>11</v>
      </c>
      <c r="AF347" s="4">
        <v>0</v>
      </c>
      <c r="AG347" s="4">
        <v>5</v>
      </c>
      <c r="AH347" s="4">
        <v>1</v>
      </c>
      <c r="AI347" s="4">
        <v>2</v>
      </c>
      <c r="AJ347" s="4">
        <v>3</v>
      </c>
      <c r="AK347" s="4">
        <v>4</v>
      </c>
      <c r="AL347" s="4">
        <v>0</v>
      </c>
      <c r="AM347" s="4">
        <v>1</v>
      </c>
      <c r="AN347" s="4">
        <v>0</v>
      </c>
      <c r="AO347" s="4">
        <v>0</v>
      </c>
      <c r="AP347" s="3" t="s">
        <v>58</v>
      </c>
      <c r="AQ347" s="3" t="s">
        <v>58</v>
      </c>
      <c r="AS347" s="6" t="str">
        <f>HYPERLINK("https://creighton-primo.hosted.exlibrisgroup.com/primo-explore/search?tab=default_tab&amp;search_scope=EVERYTHING&amp;vid=01CRU&amp;lang=en_US&amp;offset=0&amp;query=any,contains,991004023099702656","Catalog Record")</f>
        <v>Catalog Record</v>
      </c>
      <c r="AT347" s="6" t="str">
        <f>HYPERLINK("http://www.worldcat.org/oclc/2126550","WorldCat Record")</f>
        <v>WorldCat Record</v>
      </c>
      <c r="AU347" s="3" t="s">
        <v>4712</v>
      </c>
      <c r="AV347" s="3" t="s">
        <v>4713</v>
      </c>
      <c r="AW347" s="3" t="s">
        <v>4714</v>
      </c>
      <c r="AX347" s="3" t="s">
        <v>4714</v>
      </c>
      <c r="AY347" s="3" t="s">
        <v>4715</v>
      </c>
      <c r="AZ347" s="3" t="s">
        <v>74</v>
      </c>
      <c r="BC347" s="3" t="s">
        <v>4716</v>
      </c>
      <c r="BD347" s="3" t="s">
        <v>4717</v>
      </c>
    </row>
    <row r="348" spans="1:56" ht="45.75" customHeight="1" x14ac:dyDescent="0.25">
      <c r="A348" s="7" t="s">
        <v>58</v>
      </c>
      <c r="B348" s="2" t="s">
        <v>4718</v>
      </c>
      <c r="C348" s="2" t="s">
        <v>4719</v>
      </c>
      <c r="D348" s="2" t="s">
        <v>4720</v>
      </c>
      <c r="F348" s="3" t="s">
        <v>58</v>
      </c>
      <c r="G348" s="3" t="s">
        <v>59</v>
      </c>
      <c r="H348" s="3" t="s">
        <v>58</v>
      </c>
      <c r="I348" s="3" t="s">
        <v>58</v>
      </c>
      <c r="J348" s="3" t="s">
        <v>60</v>
      </c>
      <c r="L348" s="2" t="s">
        <v>4721</v>
      </c>
      <c r="M348" s="3" t="s">
        <v>335</v>
      </c>
      <c r="O348" s="3" t="s">
        <v>65</v>
      </c>
      <c r="P348" s="3" t="s">
        <v>190</v>
      </c>
      <c r="R348" s="3" t="s">
        <v>67</v>
      </c>
      <c r="S348" s="4">
        <v>1</v>
      </c>
      <c r="T348" s="4">
        <v>1</v>
      </c>
      <c r="U348" s="5" t="s">
        <v>3917</v>
      </c>
      <c r="V348" s="5" t="s">
        <v>3917</v>
      </c>
      <c r="W348" s="5" t="s">
        <v>3917</v>
      </c>
      <c r="X348" s="5" t="s">
        <v>3917</v>
      </c>
      <c r="Y348" s="4">
        <v>166</v>
      </c>
      <c r="Z348" s="4">
        <v>139</v>
      </c>
      <c r="AA348" s="4">
        <v>139</v>
      </c>
      <c r="AB348" s="4">
        <v>2</v>
      </c>
      <c r="AC348" s="4">
        <v>2</v>
      </c>
      <c r="AD348" s="4">
        <v>5</v>
      </c>
      <c r="AE348" s="4">
        <v>5</v>
      </c>
      <c r="AF348" s="4">
        <v>1</v>
      </c>
      <c r="AG348" s="4">
        <v>1</v>
      </c>
      <c r="AH348" s="4">
        <v>1</v>
      </c>
      <c r="AI348" s="4">
        <v>1</v>
      </c>
      <c r="AJ348" s="4">
        <v>2</v>
      </c>
      <c r="AK348" s="4">
        <v>2</v>
      </c>
      <c r="AL348" s="4">
        <v>1</v>
      </c>
      <c r="AM348" s="4">
        <v>1</v>
      </c>
      <c r="AN348" s="4">
        <v>0</v>
      </c>
      <c r="AO348" s="4">
        <v>0</v>
      </c>
      <c r="AP348" s="3" t="s">
        <v>58</v>
      </c>
      <c r="AQ348" s="3" t="s">
        <v>58</v>
      </c>
      <c r="AS348" s="6" t="str">
        <f>HYPERLINK("https://creighton-primo.hosted.exlibrisgroup.com/primo-explore/search?tab=default_tab&amp;search_scope=EVERYTHING&amp;vid=01CRU&amp;lang=en_US&amp;offset=0&amp;query=any,contains,991005376089702656","Catalog Record")</f>
        <v>Catalog Record</v>
      </c>
      <c r="AT348" s="6" t="str">
        <f>HYPERLINK("http://www.worldcat.org/oclc/429227359","WorldCat Record")</f>
        <v>WorldCat Record</v>
      </c>
      <c r="AU348" s="3" t="s">
        <v>4722</v>
      </c>
      <c r="AV348" s="3" t="s">
        <v>4723</v>
      </c>
      <c r="AW348" s="3" t="s">
        <v>4724</v>
      </c>
      <c r="AX348" s="3" t="s">
        <v>4724</v>
      </c>
      <c r="AY348" s="3" t="s">
        <v>4725</v>
      </c>
      <c r="AZ348" s="3" t="s">
        <v>74</v>
      </c>
      <c r="BB348" s="3" t="s">
        <v>4726</v>
      </c>
      <c r="BC348" s="3" t="s">
        <v>4727</v>
      </c>
      <c r="BD348" s="3" t="s">
        <v>4728</v>
      </c>
    </row>
    <row r="349" spans="1:56" ht="45.75" customHeight="1" x14ac:dyDescent="0.25">
      <c r="A349" s="7" t="s">
        <v>58</v>
      </c>
      <c r="B349" s="2" t="s">
        <v>4729</v>
      </c>
      <c r="C349" s="2" t="s">
        <v>4730</v>
      </c>
      <c r="D349" s="2" t="s">
        <v>4731</v>
      </c>
      <c r="F349" s="3" t="s">
        <v>58</v>
      </c>
      <c r="G349" s="3" t="s">
        <v>59</v>
      </c>
      <c r="H349" s="3" t="s">
        <v>58</v>
      </c>
      <c r="I349" s="3" t="s">
        <v>58</v>
      </c>
      <c r="J349" s="3" t="s">
        <v>60</v>
      </c>
      <c r="L349" s="2" t="s">
        <v>4732</v>
      </c>
      <c r="M349" s="3" t="s">
        <v>290</v>
      </c>
      <c r="O349" s="3" t="s">
        <v>65</v>
      </c>
      <c r="P349" s="3" t="s">
        <v>1282</v>
      </c>
      <c r="R349" s="3" t="s">
        <v>67</v>
      </c>
      <c r="S349" s="4">
        <v>3</v>
      </c>
      <c r="T349" s="4">
        <v>3</v>
      </c>
      <c r="U349" s="5" t="s">
        <v>4733</v>
      </c>
      <c r="V349" s="5" t="s">
        <v>4733</v>
      </c>
      <c r="W349" s="5" t="s">
        <v>4734</v>
      </c>
      <c r="X349" s="5" t="s">
        <v>4734</v>
      </c>
      <c r="Y349" s="4">
        <v>362</v>
      </c>
      <c r="Z349" s="4">
        <v>247</v>
      </c>
      <c r="AA349" s="4">
        <v>256</v>
      </c>
      <c r="AB349" s="4">
        <v>2</v>
      </c>
      <c r="AC349" s="4">
        <v>2</v>
      </c>
      <c r="AD349" s="4">
        <v>15</v>
      </c>
      <c r="AE349" s="4">
        <v>15</v>
      </c>
      <c r="AF349" s="4">
        <v>6</v>
      </c>
      <c r="AG349" s="4">
        <v>6</v>
      </c>
      <c r="AH349" s="4">
        <v>7</v>
      </c>
      <c r="AI349" s="4">
        <v>7</v>
      </c>
      <c r="AJ349" s="4">
        <v>8</v>
      </c>
      <c r="AK349" s="4">
        <v>8</v>
      </c>
      <c r="AL349" s="4">
        <v>1</v>
      </c>
      <c r="AM349" s="4">
        <v>1</v>
      </c>
      <c r="AN349" s="4">
        <v>0</v>
      </c>
      <c r="AO349" s="4">
        <v>0</v>
      </c>
      <c r="AP349" s="3" t="s">
        <v>58</v>
      </c>
      <c r="AQ349" s="3" t="s">
        <v>58</v>
      </c>
      <c r="AS349" s="6" t="str">
        <f>HYPERLINK("https://creighton-primo.hosted.exlibrisgroup.com/primo-explore/search?tab=default_tab&amp;search_scope=EVERYTHING&amp;vid=01CRU&amp;lang=en_US&amp;offset=0&amp;query=any,contains,991004009889702656","Catalog Record")</f>
        <v>Catalog Record</v>
      </c>
      <c r="AT349" s="6" t="str">
        <f>HYPERLINK("http://www.worldcat.org/oclc/44026386","WorldCat Record")</f>
        <v>WorldCat Record</v>
      </c>
      <c r="AU349" s="3" t="s">
        <v>4735</v>
      </c>
      <c r="AV349" s="3" t="s">
        <v>4736</v>
      </c>
      <c r="AW349" s="3" t="s">
        <v>4737</v>
      </c>
      <c r="AX349" s="3" t="s">
        <v>4737</v>
      </c>
      <c r="AY349" s="3" t="s">
        <v>4738</v>
      </c>
      <c r="AZ349" s="3" t="s">
        <v>74</v>
      </c>
      <c r="BB349" s="3" t="s">
        <v>4739</v>
      </c>
      <c r="BC349" s="3" t="s">
        <v>4740</v>
      </c>
      <c r="BD349" s="3" t="s">
        <v>4741</v>
      </c>
    </row>
    <row r="350" spans="1:56" ht="45.75" customHeight="1" x14ac:dyDescent="0.25">
      <c r="A350" s="7" t="s">
        <v>58</v>
      </c>
      <c r="B350" s="2" t="s">
        <v>4742</v>
      </c>
      <c r="C350" s="2" t="s">
        <v>4743</v>
      </c>
      <c r="D350" s="2" t="s">
        <v>4744</v>
      </c>
      <c r="F350" s="3" t="s">
        <v>58</v>
      </c>
      <c r="G350" s="3" t="s">
        <v>59</v>
      </c>
      <c r="H350" s="3" t="s">
        <v>58</v>
      </c>
      <c r="I350" s="3" t="s">
        <v>58</v>
      </c>
      <c r="J350" s="3" t="s">
        <v>60</v>
      </c>
      <c r="K350" s="2" t="s">
        <v>4745</v>
      </c>
      <c r="L350" s="2" t="s">
        <v>4746</v>
      </c>
      <c r="M350" s="3" t="s">
        <v>573</v>
      </c>
      <c r="O350" s="3" t="s">
        <v>65</v>
      </c>
      <c r="P350" s="3" t="s">
        <v>84</v>
      </c>
      <c r="R350" s="3" t="s">
        <v>67</v>
      </c>
      <c r="S350" s="4">
        <v>2</v>
      </c>
      <c r="T350" s="4">
        <v>2</v>
      </c>
      <c r="U350" s="5" t="s">
        <v>4747</v>
      </c>
      <c r="V350" s="5" t="s">
        <v>4747</v>
      </c>
      <c r="W350" s="5" t="s">
        <v>4747</v>
      </c>
      <c r="X350" s="5" t="s">
        <v>4747</v>
      </c>
      <c r="Y350" s="4">
        <v>251</v>
      </c>
      <c r="Z350" s="4">
        <v>185</v>
      </c>
      <c r="AA350" s="4">
        <v>213</v>
      </c>
      <c r="AB350" s="4">
        <v>2</v>
      </c>
      <c r="AC350" s="4">
        <v>2</v>
      </c>
      <c r="AD350" s="4">
        <v>9</v>
      </c>
      <c r="AE350" s="4">
        <v>9</v>
      </c>
      <c r="AF350" s="4">
        <v>3</v>
      </c>
      <c r="AG350" s="4">
        <v>3</v>
      </c>
      <c r="AH350" s="4">
        <v>4</v>
      </c>
      <c r="AI350" s="4">
        <v>4</v>
      </c>
      <c r="AJ350" s="4">
        <v>5</v>
      </c>
      <c r="AK350" s="4">
        <v>5</v>
      </c>
      <c r="AL350" s="4">
        <v>1</v>
      </c>
      <c r="AM350" s="4">
        <v>1</v>
      </c>
      <c r="AN350" s="4">
        <v>0</v>
      </c>
      <c r="AO350" s="4">
        <v>0</v>
      </c>
      <c r="AP350" s="3" t="s">
        <v>58</v>
      </c>
      <c r="AQ350" s="3" t="s">
        <v>58</v>
      </c>
      <c r="AS350" s="6" t="str">
        <f>HYPERLINK("https://creighton-primo.hosted.exlibrisgroup.com/primo-explore/search?tab=default_tab&amp;search_scope=EVERYTHING&amp;vid=01CRU&amp;lang=en_US&amp;offset=0&amp;query=any,contains,991004544619702656","Catalog Record")</f>
        <v>Catalog Record</v>
      </c>
      <c r="AT350" s="6" t="str">
        <f>HYPERLINK("http://www.worldcat.org/oclc/51818612","WorldCat Record")</f>
        <v>WorldCat Record</v>
      </c>
      <c r="AU350" s="3" t="s">
        <v>4748</v>
      </c>
      <c r="AV350" s="3" t="s">
        <v>4749</v>
      </c>
      <c r="AW350" s="3" t="s">
        <v>4750</v>
      </c>
      <c r="AX350" s="3" t="s">
        <v>4750</v>
      </c>
      <c r="AY350" s="3" t="s">
        <v>4751</v>
      </c>
      <c r="AZ350" s="3" t="s">
        <v>74</v>
      </c>
      <c r="BB350" s="3" t="s">
        <v>4752</v>
      </c>
      <c r="BC350" s="3" t="s">
        <v>4753</v>
      </c>
      <c r="BD350" s="3" t="s">
        <v>4754</v>
      </c>
    </row>
    <row r="351" spans="1:56" ht="45.75" customHeight="1" x14ac:dyDescent="0.25">
      <c r="A351" s="7" t="s">
        <v>58</v>
      </c>
      <c r="B351" s="2" t="s">
        <v>4755</v>
      </c>
      <c r="C351" s="2" t="s">
        <v>4756</v>
      </c>
      <c r="D351" s="2" t="s">
        <v>4757</v>
      </c>
      <c r="F351" s="3" t="s">
        <v>58</v>
      </c>
      <c r="G351" s="3" t="s">
        <v>59</v>
      </c>
      <c r="H351" s="3" t="s">
        <v>58</v>
      </c>
      <c r="I351" s="3" t="s">
        <v>58</v>
      </c>
      <c r="J351" s="3" t="s">
        <v>60</v>
      </c>
      <c r="K351" s="2" t="s">
        <v>4758</v>
      </c>
      <c r="L351" s="2" t="s">
        <v>4759</v>
      </c>
      <c r="M351" s="3" t="s">
        <v>908</v>
      </c>
      <c r="N351" s="2" t="s">
        <v>543</v>
      </c>
      <c r="O351" s="3" t="s">
        <v>65</v>
      </c>
      <c r="P351" s="3" t="s">
        <v>132</v>
      </c>
      <c r="R351" s="3" t="s">
        <v>67</v>
      </c>
      <c r="S351" s="4">
        <v>0</v>
      </c>
      <c r="T351" s="4">
        <v>0</v>
      </c>
      <c r="U351" s="5" t="s">
        <v>4760</v>
      </c>
      <c r="V351" s="5" t="s">
        <v>4760</v>
      </c>
      <c r="W351" s="5" t="s">
        <v>4761</v>
      </c>
      <c r="X351" s="5" t="s">
        <v>4761</v>
      </c>
      <c r="Y351" s="4">
        <v>605</v>
      </c>
      <c r="Z351" s="4">
        <v>490</v>
      </c>
      <c r="AA351" s="4">
        <v>508</v>
      </c>
      <c r="AB351" s="4">
        <v>3</v>
      </c>
      <c r="AC351" s="4">
        <v>3</v>
      </c>
      <c r="AD351" s="4">
        <v>23</v>
      </c>
      <c r="AE351" s="4">
        <v>24</v>
      </c>
      <c r="AF351" s="4">
        <v>10</v>
      </c>
      <c r="AG351" s="4">
        <v>11</v>
      </c>
      <c r="AH351" s="4">
        <v>5</v>
      </c>
      <c r="AI351" s="4">
        <v>5</v>
      </c>
      <c r="AJ351" s="4">
        <v>12</v>
      </c>
      <c r="AK351" s="4">
        <v>12</v>
      </c>
      <c r="AL351" s="4">
        <v>2</v>
      </c>
      <c r="AM351" s="4">
        <v>2</v>
      </c>
      <c r="AN351" s="4">
        <v>0</v>
      </c>
      <c r="AO351" s="4">
        <v>0</v>
      </c>
      <c r="AP351" s="3" t="s">
        <v>58</v>
      </c>
      <c r="AQ351" s="3" t="s">
        <v>87</v>
      </c>
      <c r="AR351" s="6" t="str">
        <f>HYPERLINK("http://catalog.hathitrust.org/Record/000034634","HathiTrust Record")</f>
        <v>HathiTrust Record</v>
      </c>
      <c r="AS351" s="6" t="str">
        <f>HYPERLINK("https://creighton-primo.hosted.exlibrisgroup.com/primo-explore/search?tab=default_tab&amp;search_scope=EVERYTHING&amp;vid=01CRU&amp;lang=en_US&amp;offset=0&amp;query=any,contains,991004838589702656","Catalog Record")</f>
        <v>Catalog Record</v>
      </c>
      <c r="AT351" s="6" t="str">
        <f>HYPERLINK("http://www.worldcat.org/oclc/5491383","WorldCat Record")</f>
        <v>WorldCat Record</v>
      </c>
      <c r="AU351" s="3" t="s">
        <v>4762</v>
      </c>
      <c r="AV351" s="3" t="s">
        <v>4763</v>
      </c>
      <c r="AW351" s="3" t="s">
        <v>4764</v>
      </c>
      <c r="AX351" s="3" t="s">
        <v>4764</v>
      </c>
      <c r="AY351" s="3" t="s">
        <v>4765</v>
      </c>
      <c r="AZ351" s="3" t="s">
        <v>74</v>
      </c>
      <c r="BB351" s="3" t="s">
        <v>4766</v>
      </c>
      <c r="BC351" s="3" t="s">
        <v>4767</v>
      </c>
      <c r="BD351" s="3" t="s">
        <v>4768</v>
      </c>
    </row>
    <row r="352" spans="1:56" ht="45.75" customHeight="1" x14ac:dyDescent="0.25">
      <c r="A352" s="7" t="s">
        <v>58</v>
      </c>
      <c r="B352" s="2" t="s">
        <v>4769</v>
      </c>
      <c r="C352" s="2" t="s">
        <v>4770</v>
      </c>
      <c r="D352" s="2" t="s">
        <v>4771</v>
      </c>
      <c r="F352" s="3" t="s">
        <v>58</v>
      </c>
      <c r="G352" s="3" t="s">
        <v>59</v>
      </c>
      <c r="H352" s="3" t="s">
        <v>87</v>
      </c>
      <c r="I352" s="3" t="s">
        <v>58</v>
      </c>
      <c r="J352" s="3" t="s">
        <v>60</v>
      </c>
      <c r="K352" s="2" t="s">
        <v>4772</v>
      </c>
      <c r="L352" s="2" t="s">
        <v>4773</v>
      </c>
      <c r="M352" s="3" t="s">
        <v>1500</v>
      </c>
      <c r="O352" s="3" t="s">
        <v>65</v>
      </c>
      <c r="P352" s="3" t="s">
        <v>132</v>
      </c>
      <c r="Q352" s="2" t="s">
        <v>4774</v>
      </c>
      <c r="R352" s="3" t="s">
        <v>67</v>
      </c>
      <c r="S352" s="4">
        <v>0</v>
      </c>
      <c r="T352" s="4">
        <v>4</v>
      </c>
      <c r="V352" s="5" t="s">
        <v>4775</v>
      </c>
      <c r="W352" s="5" t="s">
        <v>4776</v>
      </c>
      <c r="X352" s="5" t="s">
        <v>4776</v>
      </c>
      <c r="Y352" s="4">
        <v>355</v>
      </c>
      <c r="Z352" s="4">
        <v>296</v>
      </c>
      <c r="AA352" s="4">
        <v>303</v>
      </c>
      <c r="AB352" s="4">
        <v>4</v>
      </c>
      <c r="AC352" s="4">
        <v>4</v>
      </c>
      <c r="AD352" s="4">
        <v>14</v>
      </c>
      <c r="AE352" s="4">
        <v>14</v>
      </c>
      <c r="AF352" s="4">
        <v>5</v>
      </c>
      <c r="AG352" s="4">
        <v>5</v>
      </c>
      <c r="AH352" s="4">
        <v>3</v>
      </c>
      <c r="AI352" s="4">
        <v>3</v>
      </c>
      <c r="AJ352" s="4">
        <v>5</v>
      </c>
      <c r="AK352" s="4">
        <v>5</v>
      </c>
      <c r="AL352" s="4">
        <v>2</v>
      </c>
      <c r="AM352" s="4">
        <v>2</v>
      </c>
      <c r="AN352" s="4">
        <v>0</v>
      </c>
      <c r="AO352" s="4">
        <v>0</v>
      </c>
      <c r="AP352" s="3" t="s">
        <v>58</v>
      </c>
      <c r="AQ352" s="3" t="s">
        <v>87</v>
      </c>
      <c r="AR352" s="6" t="str">
        <f>HYPERLINK("http://catalog.hathitrust.org/Record/000226459","HathiTrust Record")</f>
        <v>HathiTrust Record</v>
      </c>
      <c r="AS352" s="6" t="str">
        <f>HYPERLINK("https://creighton-primo.hosted.exlibrisgroup.com/primo-explore/search?tab=default_tab&amp;search_scope=EVERYTHING&amp;vid=01CRU&amp;lang=en_US&amp;offset=0&amp;query=any,contains,991001786919702656","Catalog Record")</f>
        <v>Catalog Record</v>
      </c>
      <c r="AT352" s="6" t="str">
        <f>HYPERLINK("http://www.worldcat.org/oclc/6735763","WorldCat Record")</f>
        <v>WorldCat Record</v>
      </c>
      <c r="AU352" s="3" t="s">
        <v>4777</v>
      </c>
      <c r="AV352" s="3" t="s">
        <v>4778</v>
      </c>
      <c r="AW352" s="3" t="s">
        <v>4779</v>
      </c>
      <c r="AX352" s="3" t="s">
        <v>4779</v>
      </c>
      <c r="AY352" s="3" t="s">
        <v>4780</v>
      </c>
      <c r="AZ352" s="3" t="s">
        <v>74</v>
      </c>
      <c r="BB352" s="3" t="s">
        <v>4781</v>
      </c>
      <c r="BC352" s="3" t="s">
        <v>4782</v>
      </c>
      <c r="BD352" s="3" t="s">
        <v>4783</v>
      </c>
    </row>
    <row r="353" spans="1:56" ht="45.75" customHeight="1" x14ac:dyDescent="0.25">
      <c r="A353" s="7" t="s">
        <v>58</v>
      </c>
      <c r="B353" s="2" t="s">
        <v>4784</v>
      </c>
      <c r="C353" s="2" t="s">
        <v>4785</v>
      </c>
      <c r="D353" s="2" t="s">
        <v>4786</v>
      </c>
      <c r="F353" s="3" t="s">
        <v>58</v>
      </c>
      <c r="G353" s="3" t="s">
        <v>59</v>
      </c>
      <c r="H353" s="3" t="s">
        <v>58</v>
      </c>
      <c r="I353" s="3" t="s">
        <v>58</v>
      </c>
      <c r="J353" s="3" t="s">
        <v>60</v>
      </c>
      <c r="L353" s="2" t="s">
        <v>4787</v>
      </c>
      <c r="M353" s="3" t="s">
        <v>248</v>
      </c>
      <c r="N353" s="2" t="s">
        <v>64</v>
      </c>
      <c r="O353" s="3" t="s">
        <v>65</v>
      </c>
      <c r="P353" s="3" t="s">
        <v>66</v>
      </c>
      <c r="Q353" s="2" t="s">
        <v>4788</v>
      </c>
      <c r="R353" s="3" t="s">
        <v>67</v>
      </c>
      <c r="S353" s="4">
        <v>1</v>
      </c>
      <c r="T353" s="4">
        <v>1</v>
      </c>
      <c r="U353" s="5" t="s">
        <v>2612</v>
      </c>
      <c r="V353" s="5" t="s">
        <v>2612</v>
      </c>
      <c r="W353" s="5" t="s">
        <v>2612</v>
      </c>
      <c r="X353" s="5" t="s">
        <v>2612</v>
      </c>
      <c r="Y353" s="4">
        <v>91</v>
      </c>
      <c r="Z353" s="4">
        <v>72</v>
      </c>
      <c r="AA353" s="4">
        <v>72</v>
      </c>
      <c r="AB353" s="4">
        <v>3</v>
      </c>
      <c r="AC353" s="4">
        <v>3</v>
      </c>
      <c r="AD353" s="4">
        <v>2</v>
      </c>
      <c r="AE353" s="4">
        <v>2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2</v>
      </c>
      <c r="AM353" s="4">
        <v>2</v>
      </c>
      <c r="AN353" s="4">
        <v>0</v>
      </c>
      <c r="AO353" s="4">
        <v>0</v>
      </c>
      <c r="AP353" s="3" t="s">
        <v>58</v>
      </c>
      <c r="AQ353" s="3" t="s">
        <v>58</v>
      </c>
      <c r="AS353" s="6" t="str">
        <f>HYPERLINK("https://creighton-primo.hosted.exlibrisgroup.com/primo-explore/search?tab=default_tab&amp;search_scope=EVERYTHING&amp;vid=01CRU&amp;lang=en_US&amp;offset=0&amp;query=any,contains,991005159919702656","Catalog Record")</f>
        <v>Catalog Record</v>
      </c>
      <c r="AT353" s="6" t="str">
        <f>HYPERLINK("http://www.worldcat.org/oclc/174134158","WorldCat Record")</f>
        <v>WorldCat Record</v>
      </c>
      <c r="AU353" s="3" t="s">
        <v>4789</v>
      </c>
      <c r="AV353" s="3" t="s">
        <v>4790</v>
      </c>
      <c r="AW353" s="3" t="s">
        <v>4791</v>
      </c>
      <c r="AX353" s="3" t="s">
        <v>4791</v>
      </c>
      <c r="AY353" s="3" t="s">
        <v>4792</v>
      </c>
      <c r="AZ353" s="3" t="s">
        <v>74</v>
      </c>
      <c r="BB353" s="3" t="s">
        <v>4793</v>
      </c>
      <c r="BC353" s="3" t="s">
        <v>4794</v>
      </c>
      <c r="BD353" s="3" t="s">
        <v>4795</v>
      </c>
    </row>
    <row r="354" spans="1:56" ht="45.75" customHeight="1" x14ac:dyDescent="0.25">
      <c r="A354" s="7" t="s">
        <v>58</v>
      </c>
      <c r="B354" s="2" t="s">
        <v>4796</v>
      </c>
      <c r="C354" s="2" t="s">
        <v>4797</v>
      </c>
      <c r="D354" s="2" t="s">
        <v>4798</v>
      </c>
      <c r="F354" s="3" t="s">
        <v>58</v>
      </c>
      <c r="G354" s="3" t="s">
        <v>59</v>
      </c>
      <c r="H354" s="3" t="s">
        <v>58</v>
      </c>
      <c r="I354" s="3" t="s">
        <v>58</v>
      </c>
      <c r="J354" s="3" t="s">
        <v>60</v>
      </c>
      <c r="K354" s="2" t="s">
        <v>4799</v>
      </c>
      <c r="L354" s="2" t="s">
        <v>4800</v>
      </c>
      <c r="M354" s="3" t="s">
        <v>189</v>
      </c>
      <c r="O354" s="3" t="s">
        <v>65</v>
      </c>
      <c r="P354" s="3" t="s">
        <v>148</v>
      </c>
      <c r="Q354" s="2" t="s">
        <v>4801</v>
      </c>
      <c r="R354" s="3" t="s">
        <v>67</v>
      </c>
      <c r="S354" s="4">
        <v>1</v>
      </c>
      <c r="T354" s="4">
        <v>1</v>
      </c>
      <c r="U354" s="5" t="s">
        <v>4802</v>
      </c>
      <c r="V354" s="5" t="s">
        <v>4802</v>
      </c>
      <c r="W354" s="5" t="s">
        <v>4803</v>
      </c>
      <c r="X354" s="5" t="s">
        <v>4803</v>
      </c>
      <c r="Y354" s="4">
        <v>195</v>
      </c>
      <c r="Z354" s="4">
        <v>129</v>
      </c>
      <c r="AA354" s="4">
        <v>432</v>
      </c>
      <c r="AB354" s="4">
        <v>2</v>
      </c>
      <c r="AC354" s="4">
        <v>5</v>
      </c>
      <c r="AD354" s="4">
        <v>8</v>
      </c>
      <c r="AE354" s="4">
        <v>21</v>
      </c>
      <c r="AF354" s="4">
        <v>2</v>
      </c>
      <c r="AG354" s="4">
        <v>6</v>
      </c>
      <c r="AH354" s="4">
        <v>2</v>
      </c>
      <c r="AI354" s="4">
        <v>6</v>
      </c>
      <c r="AJ354" s="4">
        <v>5</v>
      </c>
      <c r="AK354" s="4">
        <v>9</v>
      </c>
      <c r="AL354" s="4">
        <v>1</v>
      </c>
      <c r="AM354" s="4">
        <v>4</v>
      </c>
      <c r="AN354" s="4">
        <v>0</v>
      </c>
      <c r="AO354" s="4">
        <v>0</v>
      </c>
      <c r="AP354" s="3" t="s">
        <v>58</v>
      </c>
      <c r="AQ354" s="3" t="s">
        <v>58</v>
      </c>
      <c r="AS354" s="6" t="str">
        <f>HYPERLINK("https://creighton-primo.hosted.exlibrisgroup.com/primo-explore/search?tab=default_tab&amp;search_scope=EVERYTHING&amp;vid=01CRU&amp;lang=en_US&amp;offset=0&amp;query=any,contains,991005341639702656","Catalog Record")</f>
        <v>Catalog Record</v>
      </c>
      <c r="AT354" s="6" t="str">
        <f>HYPERLINK("http://www.worldcat.org/oclc/243777605","WorldCat Record")</f>
        <v>WorldCat Record</v>
      </c>
      <c r="AU354" s="3" t="s">
        <v>4804</v>
      </c>
      <c r="AV354" s="3" t="s">
        <v>4805</v>
      </c>
      <c r="AW354" s="3" t="s">
        <v>4806</v>
      </c>
      <c r="AX354" s="3" t="s">
        <v>4806</v>
      </c>
      <c r="AY354" s="3" t="s">
        <v>4807</v>
      </c>
      <c r="AZ354" s="3" t="s">
        <v>74</v>
      </c>
      <c r="BB354" s="3" t="s">
        <v>4808</v>
      </c>
      <c r="BC354" s="3" t="s">
        <v>4809</v>
      </c>
      <c r="BD354" s="3" t="s">
        <v>4810</v>
      </c>
    </row>
    <row r="355" spans="1:56" ht="45.75" customHeight="1" x14ac:dyDescent="0.25">
      <c r="A355" s="7" t="s">
        <v>58</v>
      </c>
      <c r="B355" s="2" t="s">
        <v>4811</v>
      </c>
      <c r="C355" s="2" t="s">
        <v>4812</v>
      </c>
      <c r="D355" s="2" t="s">
        <v>4813</v>
      </c>
      <c r="F355" s="3" t="s">
        <v>58</v>
      </c>
      <c r="G355" s="3" t="s">
        <v>59</v>
      </c>
      <c r="H355" s="3" t="s">
        <v>58</v>
      </c>
      <c r="I355" s="3" t="s">
        <v>58</v>
      </c>
      <c r="J355" s="3" t="s">
        <v>60</v>
      </c>
      <c r="K355" s="2" t="s">
        <v>4814</v>
      </c>
      <c r="L355" s="2" t="s">
        <v>4815</v>
      </c>
      <c r="M355" s="3" t="s">
        <v>189</v>
      </c>
      <c r="O355" s="3" t="s">
        <v>65</v>
      </c>
      <c r="P355" s="3" t="s">
        <v>66</v>
      </c>
      <c r="R355" s="3" t="s">
        <v>67</v>
      </c>
      <c r="S355" s="4">
        <v>1</v>
      </c>
      <c r="T355" s="4">
        <v>1</v>
      </c>
      <c r="U355" s="5" t="s">
        <v>4816</v>
      </c>
      <c r="V355" s="5" t="s">
        <v>4816</v>
      </c>
      <c r="W355" s="5" t="s">
        <v>4816</v>
      </c>
      <c r="X355" s="5" t="s">
        <v>4816</v>
      </c>
      <c r="Y355" s="4">
        <v>119</v>
      </c>
      <c r="Z355" s="4">
        <v>94</v>
      </c>
      <c r="AA355" s="4">
        <v>94</v>
      </c>
      <c r="AB355" s="4">
        <v>2</v>
      </c>
      <c r="AC355" s="4">
        <v>2</v>
      </c>
      <c r="AD355" s="4">
        <v>6</v>
      </c>
      <c r="AE355" s="4">
        <v>6</v>
      </c>
      <c r="AF355" s="4">
        <v>1</v>
      </c>
      <c r="AG355" s="4">
        <v>1</v>
      </c>
      <c r="AH355" s="4">
        <v>2</v>
      </c>
      <c r="AI355" s="4">
        <v>2</v>
      </c>
      <c r="AJ355" s="4">
        <v>4</v>
      </c>
      <c r="AK355" s="4">
        <v>4</v>
      </c>
      <c r="AL355" s="4">
        <v>1</v>
      </c>
      <c r="AM355" s="4">
        <v>1</v>
      </c>
      <c r="AN355" s="4">
        <v>1</v>
      </c>
      <c r="AO355" s="4">
        <v>1</v>
      </c>
      <c r="AP355" s="3" t="s">
        <v>58</v>
      </c>
      <c r="AQ355" s="3" t="s">
        <v>58</v>
      </c>
      <c r="AS355" s="6" t="str">
        <f>HYPERLINK("https://creighton-primo.hosted.exlibrisgroup.com/primo-explore/search?tab=default_tab&amp;search_scope=EVERYTHING&amp;vid=01CRU&amp;lang=en_US&amp;offset=0&amp;query=any,contains,991000386539702656","Catalog Record")</f>
        <v>Catalog Record</v>
      </c>
      <c r="AT355" s="6" t="str">
        <f>HYPERLINK("http://www.worldcat.org/oclc/466432189","WorldCat Record")</f>
        <v>WorldCat Record</v>
      </c>
      <c r="AU355" s="3" t="s">
        <v>4817</v>
      </c>
      <c r="AV355" s="3" t="s">
        <v>4818</v>
      </c>
      <c r="AW355" s="3" t="s">
        <v>4819</v>
      </c>
      <c r="AX355" s="3" t="s">
        <v>4819</v>
      </c>
      <c r="AY355" s="3" t="s">
        <v>4820</v>
      </c>
      <c r="AZ355" s="3" t="s">
        <v>74</v>
      </c>
      <c r="BB355" s="3" t="s">
        <v>4821</v>
      </c>
      <c r="BC355" s="3" t="s">
        <v>4822</v>
      </c>
      <c r="BD355" s="3" t="s">
        <v>4823</v>
      </c>
    </row>
    <row r="356" spans="1:56" ht="45.75" customHeight="1" x14ac:dyDescent="0.25">
      <c r="A356" s="7" t="s">
        <v>58</v>
      </c>
      <c r="B356" s="2" t="s">
        <v>4824</v>
      </c>
      <c r="C356" s="2" t="s">
        <v>4825</v>
      </c>
      <c r="D356" s="2" t="s">
        <v>4826</v>
      </c>
      <c r="F356" s="3" t="s">
        <v>58</v>
      </c>
      <c r="G356" s="3" t="s">
        <v>59</v>
      </c>
      <c r="H356" s="3" t="s">
        <v>58</v>
      </c>
      <c r="I356" s="3" t="s">
        <v>58</v>
      </c>
      <c r="J356" s="3" t="s">
        <v>60</v>
      </c>
      <c r="K356" s="2" t="s">
        <v>4827</v>
      </c>
      <c r="L356" s="2" t="s">
        <v>4828</v>
      </c>
      <c r="M356" s="3" t="s">
        <v>162</v>
      </c>
      <c r="O356" s="3" t="s">
        <v>65</v>
      </c>
      <c r="P356" s="3" t="s">
        <v>132</v>
      </c>
      <c r="Q356" s="2" t="s">
        <v>4829</v>
      </c>
      <c r="R356" s="3" t="s">
        <v>67</v>
      </c>
      <c r="S356" s="4">
        <v>1</v>
      </c>
      <c r="T356" s="4">
        <v>1</v>
      </c>
      <c r="U356" s="5" t="s">
        <v>4830</v>
      </c>
      <c r="V356" s="5" t="s">
        <v>4830</v>
      </c>
      <c r="W356" s="5" t="s">
        <v>4831</v>
      </c>
      <c r="X356" s="5" t="s">
        <v>4831</v>
      </c>
      <c r="Y356" s="4">
        <v>346</v>
      </c>
      <c r="Z356" s="4">
        <v>327</v>
      </c>
      <c r="AA356" s="4">
        <v>778</v>
      </c>
      <c r="AB356" s="4">
        <v>1</v>
      </c>
      <c r="AC356" s="4">
        <v>5</v>
      </c>
      <c r="AD356" s="4">
        <v>4</v>
      </c>
      <c r="AE356" s="4">
        <v>16</v>
      </c>
      <c r="AF356" s="4">
        <v>2</v>
      </c>
      <c r="AG356" s="4">
        <v>6</v>
      </c>
      <c r="AH356" s="4">
        <v>1</v>
      </c>
      <c r="AI356" s="4">
        <v>5</v>
      </c>
      <c r="AJ356" s="4">
        <v>2</v>
      </c>
      <c r="AK356" s="4">
        <v>7</v>
      </c>
      <c r="AL356" s="4">
        <v>0</v>
      </c>
      <c r="AM356" s="4">
        <v>4</v>
      </c>
      <c r="AN356" s="4">
        <v>0</v>
      </c>
      <c r="AO356" s="4">
        <v>0</v>
      </c>
      <c r="AP356" s="3" t="s">
        <v>58</v>
      </c>
      <c r="AQ356" s="3" t="s">
        <v>58</v>
      </c>
      <c r="AS356" s="6" t="str">
        <f>HYPERLINK("https://creighton-primo.hosted.exlibrisgroup.com/primo-explore/search?tab=default_tab&amp;search_scope=EVERYTHING&amp;vid=01CRU&amp;lang=en_US&amp;offset=0&amp;query=any,contains,991005177209702656","Catalog Record")</f>
        <v>Catalog Record</v>
      </c>
      <c r="AT356" s="6" t="str">
        <f>HYPERLINK("http://www.worldcat.org/oclc/163625233","WorldCat Record")</f>
        <v>WorldCat Record</v>
      </c>
      <c r="AU356" s="3" t="s">
        <v>4832</v>
      </c>
      <c r="AV356" s="3" t="s">
        <v>4833</v>
      </c>
      <c r="AW356" s="3" t="s">
        <v>4834</v>
      </c>
      <c r="AX356" s="3" t="s">
        <v>4834</v>
      </c>
      <c r="AY356" s="3" t="s">
        <v>4835</v>
      </c>
      <c r="AZ356" s="3" t="s">
        <v>74</v>
      </c>
      <c r="BB356" s="3" t="s">
        <v>4836</v>
      </c>
      <c r="BC356" s="3" t="s">
        <v>4837</v>
      </c>
      <c r="BD356" s="3" t="s">
        <v>4838</v>
      </c>
    </row>
    <row r="357" spans="1:56" ht="45.75" customHeight="1" x14ac:dyDescent="0.25">
      <c r="A357" s="7" t="s">
        <v>58</v>
      </c>
      <c r="B357" s="2" t="s">
        <v>4839</v>
      </c>
      <c r="C357" s="2" t="s">
        <v>4840</v>
      </c>
      <c r="D357" s="2" t="s">
        <v>4841</v>
      </c>
      <c r="F357" s="3" t="s">
        <v>58</v>
      </c>
      <c r="G357" s="3" t="s">
        <v>59</v>
      </c>
      <c r="H357" s="3" t="s">
        <v>58</v>
      </c>
      <c r="I357" s="3" t="s">
        <v>58</v>
      </c>
      <c r="J357" s="3" t="s">
        <v>60</v>
      </c>
      <c r="K357" s="2" t="s">
        <v>4842</v>
      </c>
      <c r="L357" s="2" t="s">
        <v>4843</v>
      </c>
      <c r="M357" s="3" t="s">
        <v>248</v>
      </c>
      <c r="O357" s="3" t="s">
        <v>65</v>
      </c>
      <c r="P357" s="3" t="s">
        <v>336</v>
      </c>
      <c r="R357" s="3" t="s">
        <v>67</v>
      </c>
      <c r="S357" s="4">
        <v>2</v>
      </c>
      <c r="T357" s="4">
        <v>2</v>
      </c>
      <c r="U357" s="5" t="s">
        <v>4844</v>
      </c>
      <c r="V357" s="5" t="s">
        <v>4844</v>
      </c>
      <c r="W357" s="5" t="s">
        <v>4844</v>
      </c>
      <c r="X357" s="5" t="s">
        <v>4844</v>
      </c>
      <c r="Y357" s="4">
        <v>814</v>
      </c>
      <c r="Z357" s="4">
        <v>687</v>
      </c>
      <c r="AA357" s="4">
        <v>1058</v>
      </c>
      <c r="AB357" s="4">
        <v>6</v>
      </c>
      <c r="AC357" s="4">
        <v>8</v>
      </c>
      <c r="AD357" s="4">
        <v>28</v>
      </c>
      <c r="AE357" s="4">
        <v>44</v>
      </c>
      <c r="AF357" s="4">
        <v>14</v>
      </c>
      <c r="AG357" s="4">
        <v>20</v>
      </c>
      <c r="AH357" s="4">
        <v>5</v>
      </c>
      <c r="AI357" s="4">
        <v>8</v>
      </c>
      <c r="AJ357" s="4">
        <v>11</v>
      </c>
      <c r="AK357" s="4">
        <v>17</v>
      </c>
      <c r="AL357" s="4">
        <v>5</v>
      </c>
      <c r="AM357" s="4">
        <v>7</v>
      </c>
      <c r="AN357" s="4">
        <v>0</v>
      </c>
      <c r="AO357" s="4">
        <v>1</v>
      </c>
      <c r="AP357" s="3" t="s">
        <v>58</v>
      </c>
      <c r="AQ357" s="3" t="s">
        <v>58</v>
      </c>
      <c r="AS357" s="6" t="str">
        <f>HYPERLINK("https://creighton-primo.hosted.exlibrisgroup.com/primo-explore/search?tab=default_tab&amp;search_scope=EVERYTHING&amp;vid=01CRU&amp;lang=en_US&amp;offset=0&amp;query=any,contains,991005210609702656","Catalog Record")</f>
        <v>Catalog Record</v>
      </c>
      <c r="AT357" s="6" t="str">
        <f>HYPERLINK("http://www.worldcat.org/oclc/76820658","WorldCat Record")</f>
        <v>WorldCat Record</v>
      </c>
      <c r="AU357" s="3" t="s">
        <v>4845</v>
      </c>
      <c r="AV357" s="3" t="s">
        <v>4846</v>
      </c>
      <c r="AW357" s="3" t="s">
        <v>4847</v>
      </c>
      <c r="AX357" s="3" t="s">
        <v>4847</v>
      </c>
      <c r="AY357" s="3" t="s">
        <v>4848</v>
      </c>
      <c r="AZ357" s="3" t="s">
        <v>74</v>
      </c>
      <c r="BB357" s="3" t="s">
        <v>4849</v>
      </c>
      <c r="BC357" s="3" t="s">
        <v>4850</v>
      </c>
      <c r="BD357" s="3" t="s">
        <v>4851</v>
      </c>
    </row>
    <row r="358" spans="1:56" ht="45.75" customHeight="1" x14ac:dyDescent="0.25">
      <c r="A358" s="7" t="s">
        <v>58</v>
      </c>
      <c r="B358" s="2" t="s">
        <v>4852</v>
      </c>
      <c r="C358" s="2" t="s">
        <v>4853</v>
      </c>
      <c r="D358" s="2" t="s">
        <v>4854</v>
      </c>
      <c r="F358" s="3" t="s">
        <v>58</v>
      </c>
      <c r="G358" s="3" t="s">
        <v>59</v>
      </c>
      <c r="H358" s="3" t="s">
        <v>58</v>
      </c>
      <c r="I358" s="3" t="s">
        <v>58</v>
      </c>
      <c r="J358" s="3" t="s">
        <v>60</v>
      </c>
      <c r="K358" s="2" t="s">
        <v>4855</v>
      </c>
      <c r="L358" s="2" t="s">
        <v>4856</v>
      </c>
      <c r="M358" s="3" t="s">
        <v>923</v>
      </c>
      <c r="O358" s="3" t="s">
        <v>65</v>
      </c>
      <c r="P358" s="3" t="s">
        <v>4857</v>
      </c>
      <c r="Q358" s="2" t="s">
        <v>4858</v>
      </c>
      <c r="R358" s="3" t="s">
        <v>67</v>
      </c>
      <c r="S358" s="4">
        <v>6</v>
      </c>
      <c r="T358" s="4">
        <v>6</v>
      </c>
      <c r="U358" s="5" t="s">
        <v>4859</v>
      </c>
      <c r="V358" s="5" t="s">
        <v>4859</v>
      </c>
      <c r="W358" s="5" t="s">
        <v>4293</v>
      </c>
      <c r="X358" s="5" t="s">
        <v>4293</v>
      </c>
      <c r="Y358" s="4">
        <v>323</v>
      </c>
      <c r="Z358" s="4">
        <v>266</v>
      </c>
      <c r="AA358" s="4">
        <v>271</v>
      </c>
      <c r="AB358" s="4">
        <v>2</v>
      </c>
      <c r="AC358" s="4">
        <v>2</v>
      </c>
      <c r="AD358" s="4">
        <v>16</v>
      </c>
      <c r="AE358" s="4">
        <v>16</v>
      </c>
      <c r="AF358" s="4">
        <v>7</v>
      </c>
      <c r="AG358" s="4">
        <v>7</v>
      </c>
      <c r="AH358" s="4">
        <v>3</v>
      </c>
      <c r="AI358" s="4">
        <v>3</v>
      </c>
      <c r="AJ358" s="4">
        <v>9</v>
      </c>
      <c r="AK358" s="4">
        <v>9</v>
      </c>
      <c r="AL358" s="4">
        <v>1</v>
      </c>
      <c r="AM358" s="4">
        <v>1</v>
      </c>
      <c r="AN358" s="4">
        <v>0</v>
      </c>
      <c r="AO358" s="4">
        <v>0</v>
      </c>
      <c r="AP358" s="3" t="s">
        <v>58</v>
      </c>
      <c r="AQ358" s="3" t="s">
        <v>58</v>
      </c>
      <c r="AS358" s="6" t="str">
        <f>HYPERLINK("https://creighton-primo.hosted.exlibrisgroup.com/primo-explore/search?tab=default_tab&amp;search_scope=EVERYTHING&amp;vid=01CRU&amp;lang=en_US&amp;offset=0&amp;query=any,contains,991000008139702656","Catalog Record")</f>
        <v>Catalog Record</v>
      </c>
      <c r="AT358" s="6" t="str">
        <f>HYPERLINK("http://www.worldcat.org/oclc/8532817","WorldCat Record")</f>
        <v>WorldCat Record</v>
      </c>
      <c r="AU358" s="3" t="s">
        <v>4860</v>
      </c>
      <c r="AV358" s="3" t="s">
        <v>4861</v>
      </c>
      <c r="AW358" s="3" t="s">
        <v>4862</v>
      </c>
      <c r="AX358" s="3" t="s">
        <v>4862</v>
      </c>
      <c r="AY358" s="3" t="s">
        <v>4863</v>
      </c>
      <c r="AZ358" s="3" t="s">
        <v>74</v>
      </c>
      <c r="BB358" s="3" t="s">
        <v>4864</v>
      </c>
      <c r="BC358" s="3" t="s">
        <v>4865</v>
      </c>
      <c r="BD358" s="3" t="s">
        <v>4866</v>
      </c>
    </row>
    <row r="359" spans="1:56" ht="45.75" customHeight="1" x14ac:dyDescent="0.25">
      <c r="A359" s="7" t="s">
        <v>58</v>
      </c>
      <c r="B359" s="2" t="s">
        <v>4867</v>
      </c>
      <c r="C359" s="2" t="s">
        <v>4868</v>
      </c>
      <c r="D359" s="2" t="s">
        <v>4869</v>
      </c>
      <c r="F359" s="3" t="s">
        <v>58</v>
      </c>
      <c r="G359" s="3" t="s">
        <v>59</v>
      </c>
      <c r="H359" s="3" t="s">
        <v>58</v>
      </c>
      <c r="I359" s="3" t="s">
        <v>58</v>
      </c>
      <c r="J359" s="3" t="s">
        <v>60</v>
      </c>
      <c r="L359" s="2" t="s">
        <v>4870</v>
      </c>
      <c r="M359" s="3" t="s">
        <v>220</v>
      </c>
      <c r="O359" s="3" t="s">
        <v>65</v>
      </c>
      <c r="P359" s="3" t="s">
        <v>84</v>
      </c>
      <c r="R359" s="3" t="s">
        <v>67</v>
      </c>
      <c r="S359" s="4">
        <v>4</v>
      </c>
      <c r="T359" s="4">
        <v>4</v>
      </c>
      <c r="U359" s="5" t="s">
        <v>4871</v>
      </c>
      <c r="V359" s="5" t="s">
        <v>4871</v>
      </c>
      <c r="W359" s="5" t="s">
        <v>4097</v>
      </c>
      <c r="X359" s="5" t="s">
        <v>4097</v>
      </c>
      <c r="Y359" s="4">
        <v>373</v>
      </c>
      <c r="Z359" s="4">
        <v>244</v>
      </c>
      <c r="AA359" s="4">
        <v>299</v>
      </c>
      <c r="AB359" s="4">
        <v>3</v>
      </c>
      <c r="AC359" s="4">
        <v>3</v>
      </c>
      <c r="AD359" s="4">
        <v>8</v>
      </c>
      <c r="AE359" s="4">
        <v>8</v>
      </c>
      <c r="AF359" s="4">
        <v>3</v>
      </c>
      <c r="AG359" s="4">
        <v>3</v>
      </c>
      <c r="AH359" s="4">
        <v>1</v>
      </c>
      <c r="AI359" s="4">
        <v>1</v>
      </c>
      <c r="AJ359" s="4">
        <v>4</v>
      </c>
      <c r="AK359" s="4">
        <v>4</v>
      </c>
      <c r="AL359" s="4">
        <v>2</v>
      </c>
      <c r="AM359" s="4">
        <v>2</v>
      </c>
      <c r="AN359" s="4">
        <v>0</v>
      </c>
      <c r="AO359" s="4">
        <v>0</v>
      </c>
      <c r="AP359" s="3" t="s">
        <v>58</v>
      </c>
      <c r="AQ359" s="3" t="s">
        <v>58</v>
      </c>
      <c r="AS359" s="6" t="str">
        <f>HYPERLINK("https://creighton-primo.hosted.exlibrisgroup.com/primo-explore/search?tab=default_tab&amp;search_scope=EVERYTHING&amp;vid=01CRU&amp;lang=en_US&amp;offset=0&amp;query=any,contains,991004181119702656","Catalog Record")</f>
        <v>Catalog Record</v>
      </c>
      <c r="AT359" s="6" t="str">
        <f>HYPERLINK("http://www.worldcat.org/oclc/40267309","WorldCat Record")</f>
        <v>WorldCat Record</v>
      </c>
      <c r="AU359" s="3" t="s">
        <v>4872</v>
      </c>
      <c r="AV359" s="3" t="s">
        <v>4873</v>
      </c>
      <c r="AW359" s="3" t="s">
        <v>4874</v>
      </c>
      <c r="AX359" s="3" t="s">
        <v>4874</v>
      </c>
      <c r="AY359" s="3" t="s">
        <v>4875</v>
      </c>
      <c r="AZ359" s="3" t="s">
        <v>74</v>
      </c>
      <c r="BB359" s="3" t="s">
        <v>4876</v>
      </c>
      <c r="BC359" s="3" t="s">
        <v>4877</v>
      </c>
      <c r="BD359" s="3" t="s">
        <v>4878</v>
      </c>
    </row>
    <row r="360" spans="1:56" ht="45.75" customHeight="1" x14ac:dyDescent="0.25">
      <c r="A360" s="7" t="s">
        <v>58</v>
      </c>
      <c r="B360" s="2" t="s">
        <v>4879</v>
      </c>
      <c r="C360" s="2" t="s">
        <v>4880</v>
      </c>
      <c r="D360" s="2" t="s">
        <v>4881</v>
      </c>
      <c r="F360" s="3" t="s">
        <v>58</v>
      </c>
      <c r="G360" s="3" t="s">
        <v>59</v>
      </c>
      <c r="H360" s="3" t="s">
        <v>58</v>
      </c>
      <c r="I360" s="3" t="s">
        <v>58</v>
      </c>
      <c r="J360" s="3" t="s">
        <v>60</v>
      </c>
      <c r="L360" s="2" t="s">
        <v>4882</v>
      </c>
      <c r="M360" s="3" t="s">
        <v>335</v>
      </c>
      <c r="O360" s="3" t="s">
        <v>65</v>
      </c>
      <c r="P360" s="3" t="s">
        <v>84</v>
      </c>
      <c r="R360" s="3" t="s">
        <v>67</v>
      </c>
      <c r="S360" s="4">
        <v>1</v>
      </c>
      <c r="T360" s="4">
        <v>1</v>
      </c>
      <c r="U360" s="5" t="s">
        <v>4619</v>
      </c>
      <c r="V360" s="5" t="s">
        <v>4619</v>
      </c>
      <c r="W360" s="5" t="s">
        <v>4619</v>
      </c>
      <c r="X360" s="5" t="s">
        <v>4619</v>
      </c>
      <c r="Y360" s="4">
        <v>191</v>
      </c>
      <c r="Z360" s="4">
        <v>147</v>
      </c>
      <c r="AA360" s="4">
        <v>192</v>
      </c>
      <c r="AB360" s="4">
        <v>1</v>
      </c>
      <c r="AC360" s="4">
        <v>1</v>
      </c>
      <c r="AD360" s="4">
        <v>5</v>
      </c>
      <c r="AE360" s="4">
        <v>5</v>
      </c>
      <c r="AF360" s="4">
        <v>1</v>
      </c>
      <c r="AG360" s="4">
        <v>1</v>
      </c>
      <c r="AH360" s="4">
        <v>1</v>
      </c>
      <c r="AI360" s="4">
        <v>1</v>
      </c>
      <c r="AJ360" s="4">
        <v>5</v>
      </c>
      <c r="AK360" s="4">
        <v>5</v>
      </c>
      <c r="AL360" s="4">
        <v>0</v>
      </c>
      <c r="AM360" s="4">
        <v>0</v>
      </c>
      <c r="AN360" s="4">
        <v>0</v>
      </c>
      <c r="AO360" s="4">
        <v>0</v>
      </c>
      <c r="AP360" s="3" t="s">
        <v>58</v>
      </c>
      <c r="AQ360" s="3" t="s">
        <v>58</v>
      </c>
      <c r="AS360" s="6" t="str">
        <f>HYPERLINK("https://creighton-primo.hosted.exlibrisgroup.com/primo-explore/search?tab=default_tab&amp;search_scope=EVERYTHING&amp;vid=01CRU&amp;lang=en_US&amp;offset=0&amp;query=any,contains,991000180199702656","Catalog Record")</f>
        <v>Catalog Record</v>
      </c>
      <c r="AT360" s="6" t="str">
        <f>HYPERLINK("http://www.worldcat.org/oclc/277195909","WorldCat Record")</f>
        <v>WorldCat Record</v>
      </c>
      <c r="AU360" s="3" t="s">
        <v>4883</v>
      </c>
      <c r="AV360" s="3" t="s">
        <v>4884</v>
      </c>
      <c r="AW360" s="3" t="s">
        <v>4885</v>
      </c>
      <c r="AX360" s="3" t="s">
        <v>4885</v>
      </c>
      <c r="AY360" s="3" t="s">
        <v>4886</v>
      </c>
      <c r="AZ360" s="3" t="s">
        <v>74</v>
      </c>
      <c r="BB360" s="3" t="s">
        <v>4887</v>
      </c>
      <c r="BC360" s="3" t="s">
        <v>4888</v>
      </c>
      <c r="BD360" s="3" t="s">
        <v>4889</v>
      </c>
    </row>
    <row r="361" spans="1:56" ht="45.75" customHeight="1" x14ac:dyDescent="0.25">
      <c r="A361" s="7" t="s">
        <v>58</v>
      </c>
      <c r="B361" s="2" t="s">
        <v>4890</v>
      </c>
      <c r="C361" s="2" t="s">
        <v>4891</v>
      </c>
      <c r="D361" s="2" t="s">
        <v>4892</v>
      </c>
      <c r="F361" s="3" t="s">
        <v>58</v>
      </c>
      <c r="G361" s="3" t="s">
        <v>59</v>
      </c>
      <c r="H361" s="3" t="s">
        <v>58</v>
      </c>
      <c r="I361" s="3" t="s">
        <v>58</v>
      </c>
      <c r="J361" s="3" t="s">
        <v>60</v>
      </c>
      <c r="L361" s="2" t="s">
        <v>4893</v>
      </c>
      <c r="M361" s="3" t="s">
        <v>263</v>
      </c>
      <c r="O361" s="3" t="s">
        <v>65</v>
      </c>
      <c r="P361" s="3" t="s">
        <v>66</v>
      </c>
      <c r="R361" s="3" t="s">
        <v>67</v>
      </c>
      <c r="S361" s="4">
        <v>4</v>
      </c>
      <c r="T361" s="4">
        <v>4</v>
      </c>
      <c r="U361" s="5" t="s">
        <v>4894</v>
      </c>
      <c r="V361" s="5" t="s">
        <v>4894</v>
      </c>
      <c r="W361" s="5" t="s">
        <v>4895</v>
      </c>
      <c r="X361" s="5" t="s">
        <v>4895</v>
      </c>
      <c r="Y361" s="4">
        <v>632</v>
      </c>
      <c r="Z361" s="4">
        <v>502</v>
      </c>
      <c r="AA361" s="4">
        <v>961</v>
      </c>
      <c r="AB361" s="4">
        <v>2</v>
      </c>
      <c r="AC361" s="4">
        <v>3</v>
      </c>
      <c r="AD361" s="4">
        <v>30</v>
      </c>
      <c r="AE361" s="4">
        <v>33</v>
      </c>
      <c r="AF361" s="4">
        <v>12</v>
      </c>
      <c r="AG361" s="4">
        <v>14</v>
      </c>
      <c r="AH361" s="4">
        <v>7</v>
      </c>
      <c r="AI361" s="4">
        <v>8</v>
      </c>
      <c r="AJ361" s="4">
        <v>16</v>
      </c>
      <c r="AK361" s="4">
        <v>16</v>
      </c>
      <c r="AL361" s="4">
        <v>1</v>
      </c>
      <c r="AM361" s="4">
        <v>2</v>
      </c>
      <c r="AN361" s="4">
        <v>2</v>
      </c>
      <c r="AO361" s="4">
        <v>2</v>
      </c>
      <c r="AP361" s="3" t="s">
        <v>58</v>
      </c>
      <c r="AQ361" s="3" t="s">
        <v>58</v>
      </c>
      <c r="AS361" s="6" t="str">
        <f>HYPERLINK("https://creighton-primo.hosted.exlibrisgroup.com/primo-explore/search?tab=default_tab&amp;search_scope=EVERYTHING&amp;vid=01CRU&amp;lang=en_US&amp;offset=0&amp;query=any,contains,991002580179702656","Catalog Record")</f>
        <v>Catalog Record</v>
      </c>
      <c r="AT361" s="6" t="str">
        <f>HYPERLINK("http://www.worldcat.org/oclc/33818317","WorldCat Record")</f>
        <v>WorldCat Record</v>
      </c>
      <c r="AU361" s="3" t="s">
        <v>4896</v>
      </c>
      <c r="AV361" s="3" t="s">
        <v>4897</v>
      </c>
      <c r="AW361" s="3" t="s">
        <v>4898</v>
      </c>
      <c r="AX361" s="3" t="s">
        <v>4898</v>
      </c>
      <c r="AY361" s="3" t="s">
        <v>4899</v>
      </c>
      <c r="AZ361" s="3" t="s">
        <v>74</v>
      </c>
      <c r="BB361" s="3" t="s">
        <v>4900</v>
      </c>
      <c r="BC361" s="3" t="s">
        <v>4901</v>
      </c>
      <c r="BD361" s="3" t="s">
        <v>4902</v>
      </c>
    </row>
    <row r="362" spans="1:56" ht="45.75" customHeight="1" x14ac:dyDescent="0.25">
      <c r="A362" s="7" t="s">
        <v>58</v>
      </c>
      <c r="B362" s="2" t="s">
        <v>4903</v>
      </c>
      <c r="C362" s="2" t="s">
        <v>4904</v>
      </c>
      <c r="D362" s="2" t="s">
        <v>4905</v>
      </c>
      <c r="F362" s="3" t="s">
        <v>58</v>
      </c>
      <c r="G362" s="3" t="s">
        <v>59</v>
      </c>
      <c r="H362" s="3" t="s">
        <v>58</v>
      </c>
      <c r="I362" s="3" t="s">
        <v>58</v>
      </c>
      <c r="J362" s="3" t="s">
        <v>60</v>
      </c>
      <c r="L362" s="2" t="s">
        <v>4906</v>
      </c>
      <c r="M362" s="3" t="s">
        <v>189</v>
      </c>
      <c r="O362" s="3" t="s">
        <v>65</v>
      </c>
      <c r="P362" s="3" t="s">
        <v>66</v>
      </c>
      <c r="R362" s="3" t="s">
        <v>67</v>
      </c>
      <c r="S362" s="4">
        <v>2</v>
      </c>
      <c r="T362" s="4">
        <v>2</v>
      </c>
      <c r="U362" s="5" t="s">
        <v>4907</v>
      </c>
      <c r="V362" s="5" t="s">
        <v>4907</v>
      </c>
      <c r="W362" s="5" t="s">
        <v>4907</v>
      </c>
      <c r="X362" s="5" t="s">
        <v>4907</v>
      </c>
      <c r="Y362" s="4">
        <v>112</v>
      </c>
      <c r="Z362" s="4">
        <v>93</v>
      </c>
      <c r="AA362" s="4">
        <v>93</v>
      </c>
      <c r="AB362" s="4">
        <v>1</v>
      </c>
      <c r="AC362" s="4">
        <v>1</v>
      </c>
      <c r="AD362" s="4">
        <v>5</v>
      </c>
      <c r="AE362" s="4">
        <v>5</v>
      </c>
      <c r="AF362" s="4">
        <v>2</v>
      </c>
      <c r="AG362" s="4">
        <v>2</v>
      </c>
      <c r="AH362" s="4">
        <v>1</v>
      </c>
      <c r="AI362" s="4">
        <v>1</v>
      </c>
      <c r="AJ362" s="4">
        <v>3</v>
      </c>
      <c r="AK362" s="4">
        <v>3</v>
      </c>
      <c r="AL362" s="4">
        <v>0</v>
      </c>
      <c r="AM362" s="4">
        <v>0</v>
      </c>
      <c r="AN362" s="4">
        <v>1</v>
      </c>
      <c r="AO362" s="4">
        <v>1</v>
      </c>
      <c r="AP362" s="3" t="s">
        <v>58</v>
      </c>
      <c r="AQ362" s="3" t="s">
        <v>58</v>
      </c>
      <c r="AS362" s="6" t="str">
        <f>HYPERLINK("https://creighton-primo.hosted.exlibrisgroup.com/primo-explore/search?tab=default_tab&amp;search_scope=EVERYTHING&amp;vid=01CRU&amp;lang=en_US&amp;offset=0&amp;query=any,contains,991000386159702656","Catalog Record")</f>
        <v>Catalog Record</v>
      </c>
      <c r="AT362" s="6" t="str">
        <f>HYPERLINK("http://www.worldcat.org/oclc/368048297","WorldCat Record")</f>
        <v>WorldCat Record</v>
      </c>
      <c r="AU362" s="3" t="s">
        <v>4908</v>
      </c>
      <c r="AV362" s="3" t="s">
        <v>4909</v>
      </c>
      <c r="AW362" s="3" t="s">
        <v>4910</v>
      </c>
      <c r="AX362" s="3" t="s">
        <v>4910</v>
      </c>
      <c r="AY362" s="3" t="s">
        <v>4911</v>
      </c>
      <c r="AZ362" s="3" t="s">
        <v>74</v>
      </c>
      <c r="BB362" s="3" t="s">
        <v>4912</v>
      </c>
      <c r="BC362" s="3" t="s">
        <v>4913</v>
      </c>
      <c r="BD362" s="3" t="s">
        <v>4914</v>
      </c>
    </row>
    <row r="363" spans="1:56" ht="45.75" customHeight="1" x14ac:dyDescent="0.25">
      <c r="A363" s="7" t="s">
        <v>58</v>
      </c>
      <c r="B363" s="2" t="s">
        <v>4915</v>
      </c>
      <c r="C363" s="2" t="s">
        <v>4916</v>
      </c>
      <c r="D363" s="2" t="s">
        <v>4917</v>
      </c>
      <c r="F363" s="3" t="s">
        <v>58</v>
      </c>
      <c r="G363" s="3" t="s">
        <v>59</v>
      </c>
      <c r="H363" s="3" t="s">
        <v>58</v>
      </c>
      <c r="I363" s="3" t="s">
        <v>58</v>
      </c>
      <c r="J363" s="3" t="s">
        <v>60</v>
      </c>
      <c r="K363" s="2" t="s">
        <v>4918</v>
      </c>
      <c r="L363" s="2" t="s">
        <v>656</v>
      </c>
      <c r="M363" s="3" t="s">
        <v>220</v>
      </c>
      <c r="O363" s="3" t="s">
        <v>65</v>
      </c>
      <c r="P363" s="3" t="s">
        <v>84</v>
      </c>
      <c r="R363" s="3" t="s">
        <v>67</v>
      </c>
      <c r="S363" s="4">
        <v>1</v>
      </c>
      <c r="T363" s="4">
        <v>1</v>
      </c>
      <c r="U363" s="5" t="s">
        <v>4919</v>
      </c>
      <c r="V363" s="5" t="s">
        <v>4919</v>
      </c>
      <c r="W363" s="5" t="s">
        <v>4919</v>
      </c>
      <c r="X363" s="5" t="s">
        <v>4919</v>
      </c>
      <c r="Y363" s="4">
        <v>417</v>
      </c>
      <c r="Z363" s="4">
        <v>335</v>
      </c>
      <c r="AA363" s="4">
        <v>338</v>
      </c>
      <c r="AB363" s="4">
        <v>4</v>
      </c>
      <c r="AC363" s="4">
        <v>4</v>
      </c>
      <c r="AD363" s="4">
        <v>23</v>
      </c>
      <c r="AE363" s="4">
        <v>23</v>
      </c>
      <c r="AF363" s="4">
        <v>9</v>
      </c>
      <c r="AG363" s="4">
        <v>9</v>
      </c>
      <c r="AH363" s="4">
        <v>5</v>
      </c>
      <c r="AI363" s="4">
        <v>5</v>
      </c>
      <c r="AJ363" s="4">
        <v>12</v>
      </c>
      <c r="AK363" s="4">
        <v>12</v>
      </c>
      <c r="AL363" s="4">
        <v>3</v>
      </c>
      <c r="AM363" s="4">
        <v>3</v>
      </c>
      <c r="AN363" s="4">
        <v>2</v>
      </c>
      <c r="AO363" s="4">
        <v>2</v>
      </c>
      <c r="AP363" s="3" t="s">
        <v>58</v>
      </c>
      <c r="AQ363" s="3" t="s">
        <v>58</v>
      </c>
      <c r="AS363" s="6" t="str">
        <f>HYPERLINK("https://creighton-primo.hosted.exlibrisgroup.com/primo-explore/search?tab=default_tab&amp;search_scope=EVERYTHING&amp;vid=01CRU&amp;lang=en_US&amp;offset=0&amp;query=any,contains,991003260909702656","Catalog Record")</f>
        <v>Catalog Record</v>
      </c>
      <c r="AT363" s="6" t="str">
        <f>HYPERLINK("http://www.worldcat.org/oclc/39924122","WorldCat Record")</f>
        <v>WorldCat Record</v>
      </c>
      <c r="AU363" s="3" t="s">
        <v>4920</v>
      </c>
      <c r="AV363" s="3" t="s">
        <v>4921</v>
      </c>
      <c r="AW363" s="3" t="s">
        <v>4922</v>
      </c>
      <c r="AX363" s="3" t="s">
        <v>4922</v>
      </c>
      <c r="AY363" s="3" t="s">
        <v>4923</v>
      </c>
      <c r="AZ363" s="3" t="s">
        <v>74</v>
      </c>
      <c r="BB363" s="3" t="s">
        <v>4924</v>
      </c>
      <c r="BC363" s="3" t="s">
        <v>4925</v>
      </c>
      <c r="BD363" s="3" t="s">
        <v>4926</v>
      </c>
    </row>
    <row r="364" spans="1:56" ht="45.75" customHeight="1" x14ac:dyDescent="0.25">
      <c r="A364" s="7" t="s">
        <v>58</v>
      </c>
      <c r="B364" s="2" t="s">
        <v>4927</v>
      </c>
      <c r="C364" s="2" t="s">
        <v>4928</v>
      </c>
      <c r="D364" s="2" t="s">
        <v>4929</v>
      </c>
      <c r="F364" s="3" t="s">
        <v>58</v>
      </c>
      <c r="G364" s="3" t="s">
        <v>59</v>
      </c>
      <c r="H364" s="3" t="s">
        <v>58</v>
      </c>
      <c r="I364" s="3" t="s">
        <v>58</v>
      </c>
      <c r="J364" s="3" t="s">
        <v>60</v>
      </c>
      <c r="K364" s="2" t="s">
        <v>4930</v>
      </c>
      <c r="L364" s="2" t="s">
        <v>4931</v>
      </c>
      <c r="M364" s="3" t="s">
        <v>1032</v>
      </c>
      <c r="O364" s="3" t="s">
        <v>65</v>
      </c>
      <c r="P364" s="3" t="s">
        <v>587</v>
      </c>
      <c r="Q364" s="2" t="s">
        <v>4932</v>
      </c>
      <c r="R364" s="3" t="s">
        <v>67</v>
      </c>
      <c r="S364" s="4">
        <v>1</v>
      </c>
      <c r="T364" s="4">
        <v>1</v>
      </c>
      <c r="U364" s="5" t="s">
        <v>4933</v>
      </c>
      <c r="V364" s="5" t="s">
        <v>4933</v>
      </c>
      <c r="W364" s="5" t="s">
        <v>4934</v>
      </c>
      <c r="X364" s="5" t="s">
        <v>4934</v>
      </c>
      <c r="Y364" s="4">
        <v>394</v>
      </c>
      <c r="Z364" s="4">
        <v>330</v>
      </c>
      <c r="AA364" s="4">
        <v>659</v>
      </c>
      <c r="AB364" s="4">
        <v>3</v>
      </c>
      <c r="AC364" s="4">
        <v>5</v>
      </c>
      <c r="AD364" s="4">
        <v>19</v>
      </c>
      <c r="AE364" s="4">
        <v>25</v>
      </c>
      <c r="AF364" s="4">
        <v>5</v>
      </c>
      <c r="AG364" s="4">
        <v>9</v>
      </c>
      <c r="AH364" s="4">
        <v>6</v>
      </c>
      <c r="AI364" s="4">
        <v>7</v>
      </c>
      <c r="AJ364" s="4">
        <v>12</v>
      </c>
      <c r="AK364" s="4">
        <v>13</v>
      </c>
      <c r="AL364" s="4">
        <v>2</v>
      </c>
      <c r="AM364" s="4">
        <v>4</v>
      </c>
      <c r="AN364" s="4">
        <v>0</v>
      </c>
      <c r="AO364" s="4">
        <v>0</v>
      </c>
      <c r="AP364" s="3" t="s">
        <v>58</v>
      </c>
      <c r="AQ364" s="3" t="s">
        <v>58</v>
      </c>
      <c r="AS364" s="6" t="str">
        <f>HYPERLINK("https://creighton-primo.hosted.exlibrisgroup.com/primo-explore/search?tab=default_tab&amp;search_scope=EVERYTHING&amp;vid=01CRU&amp;lang=en_US&amp;offset=0&amp;query=any,contains,991002750029702656","Catalog Record")</f>
        <v>Catalog Record</v>
      </c>
      <c r="AT364" s="6" t="str">
        <f>HYPERLINK("http://www.worldcat.org/oclc/36083681","WorldCat Record")</f>
        <v>WorldCat Record</v>
      </c>
      <c r="AU364" s="3" t="s">
        <v>4935</v>
      </c>
      <c r="AV364" s="3" t="s">
        <v>4936</v>
      </c>
      <c r="AW364" s="3" t="s">
        <v>4937</v>
      </c>
      <c r="AX364" s="3" t="s">
        <v>4937</v>
      </c>
      <c r="AY364" s="3" t="s">
        <v>4938</v>
      </c>
      <c r="AZ364" s="3" t="s">
        <v>74</v>
      </c>
      <c r="BB364" s="3" t="s">
        <v>4939</v>
      </c>
      <c r="BC364" s="3" t="s">
        <v>4940</v>
      </c>
      <c r="BD364" s="3" t="s">
        <v>4941</v>
      </c>
    </row>
    <row r="365" spans="1:56" ht="45.75" customHeight="1" x14ac:dyDescent="0.25">
      <c r="A365" s="7" t="s">
        <v>58</v>
      </c>
      <c r="B365" s="2" t="s">
        <v>4942</v>
      </c>
      <c r="C365" s="2" t="s">
        <v>4943</v>
      </c>
      <c r="D365" s="2" t="s">
        <v>4944</v>
      </c>
      <c r="F365" s="3" t="s">
        <v>58</v>
      </c>
      <c r="G365" s="3" t="s">
        <v>59</v>
      </c>
      <c r="H365" s="3" t="s">
        <v>58</v>
      </c>
      <c r="I365" s="3" t="s">
        <v>58</v>
      </c>
      <c r="J365" s="3" t="s">
        <v>60</v>
      </c>
      <c r="K365" s="2" t="s">
        <v>4945</v>
      </c>
      <c r="L365" s="2" t="s">
        <v>4946</v>
      </c>
      <c r="M365" s="3" t="s">
        <v>83</v>
      </c>
      <c r="O365" s="3" t="s">
        <v>65</v>
      </c>
      <c r="P365" s="3" t="s">
        <v>84</v>
      </c>
      <c r="R365" s="3" t="s">
        <v>67</v>
      </c>
      <c r="S365" s="4">
        <v>2</v>
      </c>
      <c r="T365" s="4">
        <v>2</v>
      </c>
      <c r="U365" s="5" t="s">
        <v>4947</v>
      </c>
      <c r="V365" s="5" t="s">
        <v>4947</v>
      </c>
      <c r="W365" s="5" t="s">
        <v>4776</v>
      </c>
      <c r="X365" s="5" t="s">
        <v>4776</v>
      </c>
      <c r="Y365" s="4">
        <v>708</v>
      </c>
      <c r="Z365" s="4">
        <v>617</v>
      </c>
      <c r="AA365" s="4">
        <v>634</v>
      </c>
      <c r="AB365" s="4">
        <v>5</v>
      </c>
      <c r="AC365" s="4">
        <v>5</v>
      </c>
      <c r="AD365" s="4">
        <v>20</v>
      </c>
      <c r="AE365" s="4">
        <v>22</v>
      </c>
      <c r="AF365" s="4">
        <v>8</v>
      </c>
      <c r="AG365" s="4">
        <v>9</v>
      </c>
      <c r="AH365" s="4">
        <v>4</v>
      </c>
      <c r="AI365" s="4">
        <v>5</v>
      </c>
      <c r="AJ365" s="4">
        <v>11</v>
      </c>
      <c r="AK365" s="4">
        <v>11</v>
      </c>
      <c r="AL365" s="4">
        <v>2</v>
      </c>
      <c r="AM365" s="4">
        <v>2</v>
      </c>
      <c r="AN365" s="4">
        <v>0</v>
      </c>
      <c r="AO365" s="4">
        <v>0</v>
      </c>
      <c r="AP365" s="3" t="s">
        <v>58</v>
      </c>
      <c r="AQ365" s="3" t="s">
        <v>87</v>
      </c>
      <c r="AR365" s="6" t="str">
        <f>HYPERLINK("http://catalog.hathitrust.org/Record/000667765","HathiTrust Record")</f>
        <v>HathiTrust Record</v>
      </c>
      <c r="AS365" s="6" t="str">
        <f>HYPERLINK("https://creighton-primo.hosted.exlibrisgroup.com/primo-explore/search?tab=default_tab&amp;search_scope=EVERYTHING&amp;vid=01CRU&amp;lang=en_US&amp;offset=0&amp;query=any,contains,991000826929702656","Catalog Record")</f>
        <v>Catalog Record</v>
      </c>
      <c r="AT365" s="6" t="str">
        <f>HYPERLINK("http://www.worldcat.org/oclc/13423911","WorldCat Record")</f>
        <v>WorldCat Record</v>
      </c>
      <c r="AU365" s="3" t="s">
        <v>4948</v>
      </c>
      <c r="AV365" s="3" t="s">
        <v>4949</v>
      </c>
      <c r="AW365" s="3" t="s">
        <v>4950</v>
      </c>
      <c r="AX365" s="3" t="s">
        <v>4950</v>
      </c>
      <c r="AY365" s="3" t="s">
        <v>4951</v>
      </c>
      <c r="AZ365" s="3" t="s">
        <v>74</v>
      </c>
      <c r="BB365" s="3" t="s">
        <v>4952</v>
      </c>
      <c r="BC365" s="3" t="s">
        <v>4953</v>
      </c>
      <c r="BD365" s="3" t="s">
        <v>4954</v>
      </c>
    </row>
    <row r="366" spans="1:56" ht="45.75" customHeight="1" x14ac:dyDescent="0.25">
      <c r="A366" s="7" t="s">
        <v>58</v>
      </c>
      <c r="B366" s="2" t="s">
        <v>4955</v>
      </c>
      <c r="C366" s="2" t="s">
        <v>4956</v>
      </c>
      <c r="D366" s="2" t="s">
        <v>4957</v>
      </c>
      <c r="F366" s="3" t="s">
        <v>58</v>
      </c>
      <c r="G366" s="3" t="s">
        <v>59</v>
      </c>
      <c r="H366" s="3" t="s">
        <v>58</v>
      </c>
      <c r="I366" s="3" t="s">
        <v>58</v>
      </c>
      <c r="J366" s="3" t="s">
        <v>60</v>
      </c>
      <c r="L366" s="2" t="s">
        <v>4958</v>
      </c>
      <c r="M366" s="3" t="s">
        <v>1032</v>
      </c>
      <c r="O366" s="3" t="s">
        <v>65</v>
      </c>
      <c r="P366" s="3" t="s">
        <v>1282</v>
      </c>
      <c r="R366" s="3" t="s">
        <v>67</v>
      </c>
      <c r="S366" s="4">
        <v>12</v>
      </c>
      <c r="T366" s="4">
        <v>12</v>
      </c>
      <c r="U366" s="5" t="s">
        <v>4136</v>
      </c>
      <c r="V366" s="5" t="s">
        <v>4136</v>
      </c>
      <c r="W366" s="5" t="s">
        <v>4959</v>
      </c>
      <c r="X366" s="5" t="s">
        <v>4959</v>
      </c>
      <c r="Y366" s="4">
        <v>379</v>
      </c>
      <c r="Z366" s="4">
        <v>257</v>
      </c>
      <c r="AA366" s="4">
        <v>262</v>
      </c>
      <c r="AB366" s="4">
        <v>2</v>
      </c>
      <c r="AC366" s="4">
        <v>2</v>
      </c>
      <c r="AD366" s="4">
        <v>15</v>
      </c>
      <c r="AE366" s="4">
        <v>15</v>
      </c>
      <c r="AF366" s="4">
        <v>4</v>
      </c>
      <c r="AG366" s="4">
        <v>4</v>
      </c>
      <c r="AH366" s="4">
        <v>4</v>
      </c>
      <c r="AI366" s="4">
        <v>4</v>
      </c>
      <c r="AJ366" s="4">
        <v>9</v>
      </c>
      <c r="AK366" s="4">
        <v>9</v>
      </c>
      <c r="AL366" s="4">
        <v>1</v>
      </c>
      <c r="AM366" s="4">
        <v>1</v>
      </c>
      <c r="AN366" s="4">
        <v>2</v>
      </c>
      <c r="AO366" s="4">
        <v>2</v>
      </c>
      <c r="AP366" s="3" t="s">
        <v>58</v>
      </c>
      <c r="AQ366" s="3" t="s">
        <v>58</v>
      </c>
      <c r="AS366" s="6" t="str">
        <f>HYPERLINK("https://creighton-primo.hosted.exlibrisgroup.com/primo-explore/search?tab=default_tab&amp;search_scope=EVERYTHING&amp;vid=01CRU&amp;lang=en_US&amp;offset=0&amp;query=any,contains,991002668479702656","Catalog Record")</f>
        <v>Catalog Record</v>
      </c>
      <c r="AT366" s="6" t="str">
        <f>HYPERLINK("http://www.worldcat.org/oclc/34906152","WorldCat Record")</f>
        <v>WorldCat Record</v>
      </c>
      <c r="AU366" s="3" t="s">
        <v>4960</v>
      </c>
      <c r="AV366" s="3" t="s">
        <v>4961</v>
      </c>
      <c r="AW366" s="3" t="s">
        <v>4962</v>
      </c>
      <c r="AX366" s="3" t="s">
        <v>4962</v>
      </c>
      <c r="AY366" s="3" t="s">
        <v>4963</v>
      </c>
      <c r="AZ366" s="3" t="s">
        <v>74</v>
      </c>
      <c r="BB366" s="3" t="s">
        <v>4964</v>
      </c>
      <c r="BC366" s="3" t="s">
        <v>4965</v>
      </c>
      <c r="BD366" s="3" t="s">
        <v>4966</v>
      </c>
    </row>
    <row r="367" spans="1:56" ht="45.75" customHeight="1" x14ac:dyDescent="0.25">
      <c r="A367" s="7" t="s">
        <v>58</v>
      </c>
      <c r="B367" s="2" t="s">
        <v>4967</v>
      </c>
      <c r="C367" s="2" t="s">
        <v>4968</v>
      </c>
      <c r="D367" s="2" t="s">
        <v>4969</v>
      </c>
      <c r="F367" s="3" t="s">
        <v>58</v>
      </c>
      <c r="G367" s="3" t="s">
        <v>59</v>
      </c>
      <c r="H367" s="3" t="s">
        <v>58</v>
      </c>
      <c r="I367" s="3" t="s">
        <v>58</v>
      </c>
      <c r="J367" s="3" t="s">
        <v>60</v>
      </c>
      <c r="K367" s="2" t="s">
        <v>4970</v>
      </c>
      <c r="L367" s="2" t="s">
        <v>4971</v>
      </c>
      <c r="M367" s="3" t="s">
        <v>248</v>
      </c>
      <c r="O367" s="3" t="s">
        <v>65</v>
      </c>
      <c r="P367" s="3" t="s">
        <v>66</v>
      </c>
      <c r="Q367" s="2" t="s">
        <v>4972</v>
      </c>
      <c r="R367" s="3" t="s">
        <v>67</v>
      </c>
      <c r="S367" s="4">
        <v>2</v>
      </c>
      <c r="T367" s="4">
        <v>2</v>
      </c>
      <c r="U367" s="5" t="s">
        <v>4947</v>
      </c>
      <c r="V367" s="5" t="s">
        <v>4947</v>
      </c>
      <c r="W367" s="5" t="s">
        <v>4973</v>
      </c>
      <c r="X367" s="5" t="s">
        <v>4973</v>
      </c>
      <c r="Y367" s="4">
        <v>387</v>
      </c>
      <c r="Z367" s="4">
        <v>334</v>
      </c>
      <c r="AA367" s="4">
        <v>338</v>
      </c>
      <c r="AB367" s="4">
        <v>5</v>
      </c>
      <c r="AC367" s="4">
        <v>5</v>
      </c>
      <c r="AD367" s="4">
        <v>17</v>
      </c>
      <c r="AE367" s="4">
        <v>17</v>
      </c>
      <c r="AF367" s="4">
        <v>6</v>
      </c>
      <c r="AG367" s="4">
        <v>6</v>
      </c>
      <c r="AH367" s="4">
        <v>4</v>
      </c>
      <c r="AI367" s="4">
        <v>4</v>
      </c>
      <c r="AJ367" s="4">
        <v>8</v>
      </c>
      <c r="AK367" s="4">
        <v>8</v>
      </c>
      <c r="AL367" s="4">
        <v>4</v>
      </c>
      <c r="AM367" s="4">
        <v>4</v>
      </c>
      <c r="AN367" s="4">
        <v>0</v>
      </c>
      <c r="AO367" s="4">
        <v>0</v>
      </c>
      <c r="AP367" s="3" t="s">
        <v>58</v>
      </c>
      <c r="AQ367" s="3" t="s">
        <v>58</v>
      </c>
      <c r="AS367" s="6" t="str">
        <f>HYPERLINK("https://creighton-primo.hosted.exlibrisgroup.com/primo-explore/search?tab=default_tab&amp;search_scope=EVERYTHING&amp;vid=01CRU&amp;lang=en_US&amp;offset=0&amp;query=any,contains,991005123369702656","Catalog Record")</f>
        <v>Catalog Record</v>
      </c>
      <c r="AT367" s="6" t="str">
        <f>HYPERLINK("http://www.worldcat.org/oclc/153294338","WorldCat Record")</f>
        <v>WorldCat Record</v>
      </c>
      <c r="AU367" s="3" t="s">
        <v>4974</v>
      </c>
      <c r="AV367" s="3" t="s">
        <v>4975</v>
      </c>
      <c r="AW367" s="3" t="s">
        <v>4976</v>
      </c>
      <c r="AX367" s="3" t="s">
        <v>4976</v>
      </c>
      <c r="AY367" s="3" t="s">
        <v>4977</v>
      </c>
      <c r="AZ367" s="3" t="s">
        <v>74</v>
      </c>
      <c r="BC367" s="3" t="s">
        <v>4978</v>
      </c>
      <c r="BD367" s="3" t="s">
        <v>4979</v>
      </c>
    </row>
    <row r="368" spans="1:56" ht="45.75" customHeight="1" x14ac:dyDescent="0.25">
      <c r="A368" s="7" t="s">
        <v>58</v>
      </c>
      <c r="B368" s="2" t="s">
        <v>4980</v>
      </c>
      <c r="C368" s="2" t="s">
        <v>4981</v>
      </c>
      <c r="D368" s="2" t="s">
        <v>4982</v>
      </c>
      <c r="F368" s="3" t="s">
        <v>58</v>
      </c>
      <c r="G368" s="3" t="s">
        <v>59</v>
      </c>
      <c r="H368" s="3" t="s">
        <v>58</v>
      </c>
      <c r="I368" s="3" t="s">
        <v>58</v>
      </c>
      <c r="J368" s="3" t="s">
        <v>60</v>
      </c>
      <c r="L368" s="2" t="s">
        <v>4983</v>
      </c>
      <c r="M368" s="3" t="s">
        <v>63</v>
      </c>
      <c r="O368" s="3" t="s">
        <v>65</v>
      </c>
      <c r="P368" s="3" t="s">
        <v>66</v>
      </c>
      <c r="R368" s="3" t="s">
        <v>67</v>
      </c>
      <c r="S368" s="4">
        <v>1</v>
      </c>
      <c r="T368" s="4">
        <v>1</v>
      </c>
      <c r="U368" s="5" t="s">
        <v>4984</v>
      </c>
      <c r="V368" s="5" t="s">
        <v>4984</v>
      </c>
      <c r="W368" s="5" t="s">
        <v>4984</v>
      </c>
      <c r="X368" s="5" t="s">
        <v>4984</v>
      </c>
      <c r="Y368" s="4">
        <v>428</v>
      </c>
      <c r="Z368" s="4">
        <v>375</v>
      </c>
      <c r="AA368" s="4">
        <v>473</v>
      </c>
      <c r="AB368" s="4">
        <v>2</v>
      </c>
      <c r="AC368" s="4">
        <v>3</v>
      </c>
      <c r="AD368" s="4">
        <v>15</v>
      </c>
      <c r="AE368" s="4">
        <v>17</v>
      </c>
      <c r="AF368" s="4">
        <v>6</v>
      </c>
      <c r="AG368" s="4">
        <v>6</v>
      </c>
      <c r="AH368" s="4">
        <v>3</v>
      </c>
      <c r="AI368" s="4">
        <v>4</v>
      </c>
      <c r="AJ368" s="4">
        <v>7</v>
      </c>
      <c r="AK368" s="4">
        <v>8</v>
      </c>
      <c r="AL368" s="4">
        <v>1</v>
      </c>
      <c r="AM368" s="4">
        <v>2</v>
      </c>
      <c r="AN368" s="4">
        <v>0</v>
      </c>
      <c r="AO368" s="4">
        <v>0</v>
      </c>
      <c r="AP368" s="3" t="s">
        <v>58</v>
      </c>
      <c r="AQ368" s="3" t="s">
        <v>87</v>
      </c>
      <c r="AR368" s="6" t="str">
        <f>HYPERLINK("http://catalog.hathitrust.org/Record/004937852","HathiTrust Record")</f>
        <v>HathiTrust Record</v>
      </c>
      <c r="AS368" s="6" t="str">
        <f>HYPERLINK("https://creighton-primo.hosted.exlibrisgroup.com/primo-explore/search?tab=default_tab&amp;search_scope=EVERYTHING&amp;vid=01CRU&amp;lang=en_US&amp;offset=0&amp;query=any,contains,991004680869702656","Catalog Record")</f>
        <v>Catalog Record</v>
      </c>
      <c r="AT368" s="6" t="str">
        <f>HYPERLINK("http://www.worldcat.org/oclc/52799262","WorldCat Record")</f>
        <v>WorldCat Record</v>
      </c>
      <c r="AU368" s="3" t="s">
        <v>4985</v>
      </c>
      <c r="AV368" s="3" t="s">
        <v>4986</v>
      </c>
      <c r="AW368" s="3" t="s">
        <v>4987</v>
      </c>
      <c r="AX368" s="3" t="s">
        <v>4987</v>
      </c>
      <c r="AY368" s="3" t="s">
        <v>4988</v>
      </c>
      <c r="AZ368" s="3" t="s">
        <v>74</v>
      </c>
      <c r="BB368" s="3" t="s">
        <v>4989</v>
      </c>
      <c r="BC368" s="3" t="s">
        <v>4990</v>
      </c>
      <c r="BD368" s="3" t="s">
        <v>4991</v>
      </c>
    </row>
    <row r="369" spans="1:56" ht="45.75" customHeight="1" x14ac:dyDescent="0.25">
      <c r="A369" s="7" t="s">
        <v>58</v>
      </c>
      <c r="B369" s="2" t="s">
        <v>4992</v>
      </c>
      <c r="C369" s="2" t="s">
        <v>4993</v>
      </c>
      <c r="D369" s="2" t="s">
        <v>4994</v>
      </c>
      <c r="F369" s="3" t="s">
        <v>58</v>
      </c>
      <c r="G369" s="3" t="s">
        <v>59</v>
      </c>
      <c r="H369" s="3" t="s">
        <v>58</v>
      </c>
      <c r="I369" s="3" t="s">
        <v>58</v>
      </c>
      <c r="J369" s="3" t="s">
        <v>60</v>
      </c>
      <c r="K369" s="2" t="s">
        <v>4995</v>
      </c>
      <c r="L369" s="2" t="s">
        <v>4996</v>
      </c>
      <c r="M369" s="3" t="s">
        <v>263</v>
      </c>
      <c r="O369" s="3" t="s">
        <v>65</v>
      </c>
      <c r="P369" s="3" t="s">
        <v>1282</v>
      </c>
      <c r="R369" s="3" t="s">
        <v>67</v>
      </c>
      <c r="S369" s="4">
        <v>5</v>
      </c>
      <c r="T369" s="4">
        <v>5</v>
      </c>
      <c r="U369" s="5" t="s">
        <v>4997</v>
      </c>
      <c r="V369" s="5" t="s">
        <v>4997</v>
      </c>
      <c r="W369" s="5" t="s">
        <v>4998</v>
      </c>
      <c r="X369" s="5" t="s">
        <v>4998</v>
      </c>
      <c r="Y369" s="4">
        <v>386</v>
      </c>
      <c r="Z369" s="4">
        <v>269</v>
      </c>
      <c r="AA369" s="4">
        <v>269</v>
      </c>
      <c r="AB369" s="4">
        <v>3</v>
      </c>
      <c r="AC369" s="4">
        <v>3</v>
      </c>
      <c r="AD369" s="4">
        <v>16</v>
      </c>
      <c r="AE369" s="4">
        <v>16</v>
      </c>
      <c r="AF369" s="4">
        <v>4</v>
      </c>
      <c r="AG369" s="4">
        <v>4</v>
      </c>
      <c r="AH369" s="4">
        <v>4</v>
      </c>
      <c r="AI369" s="4">
        <v>4</v>
      </c>
      <c r="AJ369" s="4">
        <v>9</v>
      </c>
      <c r="AK369" s="4">
        <v>9</v>
      </c>
      <c r="AL369" s="4">
        <v>2</v>
      </c>
      <c r="AM369" s="4">
        <v>2</v>
      </c>
      <c r="AN369" s="4">
        <v>1</v>
      </c>
      <c r="AO369" s="4">
        <v>1</v>
      </c>
      <c r="AP369" s="3" t="s">
        <v>58</v>
      </c>
      <c r="AQ369" s="3" t="s">
        <v>58</v>
      </c>
      <c r="AS369" s="6" t="str">
        <f>HYPERLINK("https://creighton-primo.hosted.exlibrisgroup.com/primo-explore/search?tab=default_tab&amp;search_scope=EVERYTHING&amp;vid=01CRU&amp;lang=en_US&amp;offset=0&amp;query=any,contains,991002673709702656","Catalog Record")</f>
        <v>Catalog Record</v>
      </c>
      <c r="AT369" s="6" t="str">
        <f>HYPERLINK("http://www.worldcat.org/oclc/34965547","WorldCat Record")</f>
        <v>WorldCat Record</v>
      </c>
      <c r="AU369" s="3" t="s">
        <v>4999</v>
      </c>
      <c r="AV369" s="3" t="s">
        <v>5000</v>
      </c>
      <c r="AW369" s="3" t="s">
        <v>5001</v>
      </c>
      <c r="AX369" s="3" t="s">
        <v>5001</v>
      </c>
      <c r="AY369" s="3" t="s">
        <v>5002</v>
      </c>
      <c r="AZ369" s="3" t="s">
        <v>74</v>
      </c>
      <c r="BB369" s="3" t="s">
        <v>5003</v>
      </c>
      <c r="BC369" s="3" t="s">
        <v>5004</v>
      </c>
      <c r="BD369" s="3" t="s">
        <v>5005</v>
      </c>
    </row>
    <row r="370" spans="1:56" ht="45.75" customHeight="1" x14ac:dyDescent="0.25">
      <c r="A370" s="7" t="s">
        <v>58</v>
      </c>
      <c r="B370" s="2" t="s">
        <v>5006</v>
      </c>
      <c r="C370" s="2" t="s">
        <v>5007</v>
      </c>
      <c r="D370" s="2" t="s">
        <v>5008</v>
      </c>
      <c r="F370" s="3" t="s">
        <v>58</v>
      </c>
      <c r="G370" s="3" t="s">
        <v>59</v>
      </c>
      <c r="H370" s="3" t="s">
        <v>58</v>
      </c>
      <c r="I370" s="3" t="s">
        <v>58</v>
      </c>
      <c r="J370" s="3" t="s">
        <v>60</v>
      </c>
      <c r="L370" s="2" t="s">
        <v>5009</v>
      </c>
      <c r="M370" s="3" t="s">
        <v>908</v>
      </c>
      <c r="O370" s="3" t="s">
        <v>65</v>
      </c>
      <c r="P370" s="3" t="s">
        <v>132</v>
      </c>
      <c r="Q370" s="2" t="s">
        <v>5010</v>
      </c>
      <c r="R370" s="3" t="s">
        <v>67</v>
      </c>
      <c r="S370" s="4">
        <v>14</v>
      </c>
      <c r="T370" s="4">
        <v>14</v>
      </c>
      <c r="U370" s="5" t="s">
        <v>4947</v>
      </c>
      <c r="V370" s="5" t="s">
        <v>4947</v>
      </c>
      <c r="W370" s="5" t="s">
        <v>4776</v>
      </c>
      <c r="X370" s="5" t="s">
        <v>4776</v>
      </c>
      <c r="Y370" s="4">
        <v>274</v>
      </c>
      <c r="Z370" s="4">
        <v>233</v>
      </c>
      <c r="AA370" s="4">
        <v>235</v>
      </c>
      <c r="AB370" s="4">
        <v>2</v>
      </c>
      <c r="AC370" s="4">
        <v>2</v>
      </c>
      <c r="AD370" s="4">
        <v>6</v>
      </c>
      <c r="AE370" s="4">
        <v>6</v>
      </c>
      <c r="AF370" s="4">
        <v>2</v>
      </c>
      <c r="AG370" s="4">
        <v>2</v>
      </c>
      <c r="AH370" s="4">
        <v>1</v>
      </c>
      <c r="AI370" s="4">
        <v>1</v>
      </c>
      <c r="AJ370" s="4">
        <v>4</v>
      </c>
      <c r="AK370" s="4">
        <v>4</v>
      </c>
      <c r="AL370" s="4">
        <v>1</v>
      </c>
      <c r="AM370" s="4">
        <v>1</v>
      </c>
      <c r="AN370" s="4">
        <v>0</v>
      </c>
      <c r="AO370" s="4">
        <v>0</v>
      </c>
      <c r="AP370" s="3" t="s">
        <v>58</v>
      </c>
      <c r="AQ370" s="3" t="s">
        <v>58</v>
      </c>
      <c r="AS370" s="6" t="str">
        <f>HYPERLINK("https://creighton-primo.hosted.exlibrisgroup.com/primo-explore/search?tab=default_tab&amp;search_scope=EVERYTHING&amp;vid=01CRU&amp;lang=en_US&amp;offset=0&amp;query=any,contains,991004776539702656","Catalog Record")</f>
        <v>Catalog Record</v>
      </c>
      <c r="AT370" s="6" t="str">
        <f>HYPERLINK("http://www.worldcat.org/oclc/5101385","WorldCat Record")</f>
        <v>WorldCat Record</v>
      </c>
      <c r="AU370" s="3" t="s">
        <v>5011</v>
      </c>
      <c r="AV370" s="3" t="s">
        <v>5012</v>
      </c>
      <c r="AW370" s="3" t="s">
        <v>5013</v>
      </c>
      <c r="AX370" s="3" t="s">
        <v>5013</v>
      </c>
      <c r="AY370" s="3" t="s">
        <v>5014</v>
      </c>
      <c r="AZ370" s="3" t="s">
        <v>74</v>
      </c>
      <c r="BB370" s="3" t="s">
        <v>5015</v>
      </c>
      <c r="BC370" s="3" t="s">
        <v>5016</v>
      </c>
      <c r="BD370" s="3" t="s">
        <v>5017</v>
      </c>
    </row>
    <row r="371" spans="1:56" ht="45.75" customHeight="1" x14ac:dyDescent="0.25">
      <c r="A371" s="7" t="s">
        <v>58</v>
      </c>
      <c r="B371" s="2" t="s">
        <v>5018</v>
      </c>
      <c r="C371" s="2" t="s">
        <v>5019</v>
      </c>
      <c r="D371" s="2" t="s">
        <v>5020</v>
      </c>
      <c r="F371" s="3" t="s">
        <v>58</v>
      </c>
      <c r="G371" s="3" t="s">
        <v>59</v>
      </c>
      <c r="H371" s="3" t="s">
        <v>58</v>
      </c>
      <c r="I371" s="3" t="s">
        <v>58</v>
      </c>
      <c r="J371" s="3" t="s">
        <v>60</v>
      </c>
      <c r="K371" s="2" t="s">
        <v>5021</v>
      </c>
      <c r="L371" s="2" t="s">
        <v>5022</v>
      </c>
      <c r="M371" s="3" t="s">
        <v>83</v>
      </c>
      <c r="O371" s="3" t="s">
        <v>65</v>
      </c>
      <c r="P371" s="3" t="s">
        <v>84</v>
      </c>
      <c r="R371" s="3" t="s">
        <v>67</v>
      </c>
      <c r="S371" s="4">
        <v>6</v>
      </c>
      <c r="T371" s="4">
        <v>6</v>
      </c>
      <c r="U371" s="5" t="s">
        <v>5023</v>
      </c>
      <c r="V371" s="5" t="s">
        <v>5023</v>
      </c>
      <c r="W371" s="5" t="s">
        <v>4776</v>
      </c>
      <c r="X371" s="5" t="s">
        <v>4776</v>
      </c>
      <c r="Y371" s="4">
        <v>259</v>
      </c>
      <c r="Z371" s="4">
        <v>195</v>
      </c>
      <c r="AA371" s="4">
        <v>216</v>
      </c>
      <c r="AB371" s="4">
        <v>4</v>
      </c>
      <c r="AC371" s="4">
        <v>4</v>
      </c>
      <c r="AD371" s="4">
        <v>8</v>
      </c>
      <c r="AE371" s="4">
        <v>9</v>
      </c>
      <c r="AF371" s="4">
        <v>2</v>
      </c>
      <c r="AG371" s="4">
        <v>3</v>
      </c>
      <c r="AH371" s="4">
        <v>2</v>
      </c>
      <c r="AI371" s="4">
        <v>2</v>
      </c>
      <c r="AJ371" s="4">
        <v>3</v>
      </c>
      <c r="AK371" s="4">
        <v>4</v>
      </c>
      <c r="AL371" s="4">
        <v>2</v>
      </c>
      <c r="AM371" s="4">
        <v>2</v>
      </c>
      <c r="AN371" s="4">
        <v>0</v>
      </c>
      <c r="AO371" s="4">
        <v>0</v>
      </c>
      <c r="AP371" s="3" t="s">
        <v>58</v>
      </c>
      <c r="AQ371" s="3" t="s">
        <v>87</v>
      </c>
      <c r="AR371" s="6" t="str">
        <f>HYPERLINK("http://catalog.hathitrust.org/Record/000588540","HathiTrust Record")</f>
        <v>HathiTrust Record</v>
      </c>
      <c r="AS371" s="6" t="str">
        <f>HYPERLINK("https://creighton-primo.hosted.exlibrisgroup.com/primo-explore/search?tab=default_tab&amp;search_scope=EVERYTHING&amp;vid=01CRU&amp;lang=en_US&amp;offset=0&amp;query=any,contains,991000802289702656","Catalog Record")</f>
        <v>Catalog Record</v>
      </c>
      <c r="AT371" s="6" t="str">
        <f>HYPERLINK("http://www.worldcat.org/oclc/13268696","WorldCat Record")</f>
        <v>WorldCat Record</v>
      </c>
      <c r="AU371" s="3" t="s">
        <v>5024</v>
      </c>
      <c r="AV371" s="3" t="s">
        <v>5025</v>
      </c>
      <c r="AW371" s="3" t="s">
        <v>5026</v>
      </c>
      <c r="AX371" s="3" t="s">
        <v>5026</v>
      </c>
      <c r="AY371" s="3" t="s">
        <v>5027</v>
      </c>
      <c r="AZ371" s="3" t="s">
        <v>74</v>
      </c>
      <c r="BB371" s="3" t="s">
        <v>5028</v>
      </c>
      <c r="BC371" s="3" t="s">
        <v>5029</v>
      </c>
      <c r="BD371" s="3" t="s">
        <v>5030</v>
      </c>
    </row>
    <row r="372" spans="1:56" ht="45.75" customHeight="1" x14ac:dyDescent="0.25">
      <c r="A372" s="7" t="s">
        <v>58</v>
      </c>
      <c r="B372" s="2" t="s">
        <v>5031</v>
      </c>
      <c r="C372" s="2" t="s">
        <v>5032</v>
      </c>
      <c r="D372" s="2" t="s">
        <v>5033</v>
      </c>
      <c r="F372" s="3" t="s">
        <v>58</v>
      </c>
      <c r="G372" s="3" t="s">
        <v>59</v>
      </c>
      <c r="H372" s="3" t="s">
        <v>58</v>
      </c>
      <c r="I372" s="3" t="s">
        <v>58</v>
      </c>
      <c r="J372" s="3" t="s">
        <v>60</v>
      </c>
      <c r="K372" s="2" t="s">
        <v>5034</v>
      </c>
      <c r="L372" s="2" t="s">
        <v>5035</v>
      </c>
      <c r="M372" s="3" t="s">
        <v>5036</v>
      </c>
      <c r="O372" s="3" t="s">
        <v>65</v>
      </c>
      <c r="P372" s="3" t="s">
        <v>66</v>
      </c>
      <c r="R372" s="3" t="s">
        <v>67</v>
      </c>
      <c r="S372" s="4">
        <v>5</v>
      </c>
      <c r="T372" s="4">
        <v>5</v>
      </c>
      <c r="U372" s="5" t="s">
        <v>5037</v>
      </c>
      <c r="V372" s="5" t="s">
        <v>5037</v>
      </c>
      <c r="W372" s="5" t="s">
        <v>5038</v>
      </c>
      <c r="X372" s="5" t="s">
        <v>5038</v>
      </c>
      <c r="Y372" s="4">
        <v>346</v>
      </c>
      <c r="Z372" s="4">
        <v>340</v>
      </c>
      <c r="AA372" s="4">
        <v>538</v>
      </c>
      <c r="AB372" s="4">
        <v>4</v>
      </c>
      <c r="AC372" s="4">
        <v>6</v>
      </c>
      <c r="AD372" s="4">
        <v>15</v>
      </c>
      <c r="AE372" s="4">
        <v>28</v>
      </c>
      <c r="AF372" s="4">
        <v>2</v>
      </c>
      <c r="AG372" s="4">
        <v>6</v>
      </c>
      <c r="AH372" s="4">
        <v>2</v>
      </c>
      <c r="AI372" s="4">
        <v>5</v>
      </c>
      <c r="AJ372" s="4">
        <v>8</v>
      </c>
      <c r="AK372" s="4">
        <v>10</v>
      </c>
      <c r="AL372" s="4">
        <v>3</v>
      </c>
      <c r="AM372" s="4">
        <v>4</v>
      </c>
      <c r="AN372" s="4">
        <v>0</v>
      </c>
      <c r="AO372" s="4">
        <v>6</v>
      </c>
      <c r="AP372" s="3" t="s">
        <v>87</v>
      </c>
      <c r="AQ372" s="3" t="s">
        <v>58</v>
      </c>
      <c r="AR372" s="6" t="str">
        <f>HYPERLINK("http://catalog.hathitrust.org/Record/002433889","HathiTrust Record")</f>
        <v>HathiTrust Record</v>
      </c>
      <c r="AS372" s="6" t="str">
        <f>HYPERLINK("https://creighton-primo.hosted.exlibrisgroup.com/primo-explore/search?tab=default_tab&amp;search_scope=EVERYTHING&amp;vid=01CRU&amp;lang=en_US&amp;offset=0&amp;query=any,contains,991003823259702656","Catalog Record")</f>
        <v>Catalog Record</v>
      </c>
      <c r="AT372" s="6" t="str">
        <f>HYPERLINK("http://www.worldcat.org/oclc/17484679","WorldCat Record")</f>
        <v>WorldCat Record</v>
      </c>
      <c r="AU372" s="3" t="s">
        <v>5039</v>
      </c>
      <c r="AV372" s="3" t="s">
        <v>5040</v>
      </c>
      <c r="AW372" s="3" t="s">
        <v>5041</v>
      </c>
      <c r="AX372" s="3" t="s">
        <v>5041</v>
      </c>
      <c r="AY372" s="3" t="s">
        <v>5042</v>
      </c>
      <c r="AZ372" s="3" t="s">
        <v>74</v>
      </c>
      <c r="BC372" s="3" t="s">
        <v>5043</v>
      </c>
      <c r="BD372" s="3" t="s">
        <v>5044</v>
      </c>
    </row>
    <row r="373" spans="1:56" ht="45.75" customHeight="1" x14ac:dyDescent="0.25">
      <c r="A373" s="7" t="s">
        <v>58</v>
      </c>
      <c r="B373" s="2" t="s">
        <v>5045</v>
      </c>
      <c r="C373" s="2" t="s">
        <v>5046</v>
      </c>
      <c r="D373" s="2" t="s">
        <v>5047</v>
      </c>
      <c r="F373" s="3" t="s">
        <v>58</v>
      </c>
      <c r="G373" s="3" t="s">
        <v>59</v>
      </c>
      <c r="H373" s="3" t="s">
        <v>58</v>
      </c>
      <c r="I373" s="3" t="s">
        <v>58</v>
      </c>
      <c r="J373" s="3" t="s">
        <v>60</v>
      </c>
      <c r="K373" s="2" t="s">
        <v>5048</v>
      </c>
      <c r="L373" s="2" t="s">
        <v>5049</v>
      </c>
      <c r="M373" s="3" t="s">
        <v>5050</v>
      </c>
      <c r="O373" s="3" t="s">
        <v>65</v>
      </c>
      <c r="P373" s="3" t="s">
        <v>84</v>
      </c>
      <c r="R373" s="3" t="s">
        <v>67</v>
      </c>
      <c r="S373" s="4">
        <v>2</v>
      </c>
      <c r="T373" s="4">
        <v>2</v>
      </c>
      <c r="U373" s="5" t="s">
        <v>5051</v>
      </c>
      <c r="V373" s="5" t="s">
        <v>5051</v>
      </c>
      <c r="W373" s="5" t="s">
        <v>5038</v>
      </c>
      <c r="X373" s="5" t="s">
        <v>5038</v>
      </c>
      <c r="Y373" s="4">
        <v>156</v>
      </c>
      <c r="Z373" s="4">
        <v>123</v>
      </c>
      <c r="AA373" s="4">
        <v>308</v>
      </c>
      <c r="AB373" s="4">
        <v>3</v>
      </c>
      <c r="AC373" s="4">
        <v>3</v>
      </c>
      <c r="AD373" s="4">
        <v>7</v>
      </c>
      <c r="AE373" s="4">
        <v>14</v>
      </c>
      <c r="AF373" s="4">
        <v>2</v>
      </c>
      <c r="AG373" s="4">
        <v>3</v>
      </c>
      <c r="AH373" s="4">
        <v>2</v>
      </c>
      <c r="AI373" s="4">
        <v>4</v>
      </c>
      <c r="AJ373" s="4">
        <v>1</v>
      </c>
      <c r="AK373" s="4">
        <v>4</v>
      </c>
      <c r="AL373" s="4">
        <v>1</v>
      </c>
      <c r="AM373" s="4">
        <v>1</v>
      </c>
      <c r="AN373" s="4">
        <v>2</v>
      </c>
      <c r="AO373" s="4">
        <v>4</v>
      </c>
      <c r="AP373" s="3" t="s">
        <v>58</v>
      </c>
      <c r="AQ373" s="3" t="s">
        <v>87</v>
      </c>
      <c r="AR373" s="6" t="str">
        <f>HYPERLINK("http://catalog.hathitrust.org/Record/010097685","HathiTrust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HYPERLINK("https://creighton-primo.hosted.exlibrisgroup.com/primo-explore/search?tab=default_tab&amp;search_scope=EVERYTHING&amp;vid=01CRU&amp;lang=en_US&amp;offset=0&amp;query=any,contains,991001204249702656","Catalog Record")</f>
        <v>Catalog Record</v>
      </c>
      <c r="AT373" s="6" t="str">
        <f>HYPERLINK("http://www.worldcat.org/oclc/17339009","WorldCat Record")</f>
        <v>WorldCat Record</v>
      </c>
      <c r="AU373" s="3" t="s">
        <v>5052</v>
      </c>
      <c r="AV373" s="3" t="s">
        <v>5053</v>
      </c>
      <c r="AW373" s="3" t="s">
        <v>5054</v>
      </c>
      <c r="AX373" s="3" t="s">
        <v>5054</v>
      </c>
      <c r="AY373" s="3" t="s">
        <v>5055</v>
      </c>
      <c r="AZ373" s="3" t="s">
        <v>74</v>
      </c>
      <c r="BC373" s="3" t="s">
        <v>5056</v>
      </c>
      <c r="BD373" s="3" t="s">
        <v>5057</v>
      </c>
    </row>
    <row r="374" spans="1:56" ht="45.75" customHeight="1" x14ac:dyDescent="0.25">
      <c r="A374" s="7" t="s">
        <v>58</v>
      </c>
      <c r="B374" s="2" t="s">
        <v>5058</v>
      </c>
      <c r="C374" s="2" t="s">
        <v>5059</v>
      </c>
      <c r="D374" s="2" t="s">
        <v>5060</v>
      </c>
      <c r="F374" s="3" t="s">
        <v>58</v>
      </c>
      <c r="G374" s="3" t="s">
        <v>59</v>
      </c>
      <c r="H374" s="3" t="s">
        <v>58</v>
      </c>
      <c r="I374" s="3" t="s">
        <v>58</v>
      </c>
      <c r="J374" s="3" t="s">
        <v>60</v>
      </c>
      <c r="K374" s="2" t="s">
        <v>5061</v>
      </c>
      <c r="L374" s="2" t="s">
        <v>5062</v>
      </c>
      <c r="M374" s="3" t="s">
        <v>419</v>
      </c>
      <c r="N374" s="2" t="s">
        <v>543</v>
      </c>
      <c r="O374" s="3" t="s">
        <v>65</v>
      </c>
      <c r="P374" s="3" t="s">
        <v>84</v>
      </c>
      <c r="R374" s="3" t="s">
        <v>67</v>
      </c>
      <c r="S374" s="4">
        <v>3</v>
      </c>
      <c r="T374" s="4">
        <v>3</v>
      </c>
      <c r="U374" s="5" t="s">
        <v>5063</v>
      </c>
      <c r="V374" s="5" t="s">
        <v>5063</v>
      </c>
      <c r="W374" s="5" t="s">
        <v>5064</v>
      </c>
      <c r="X374" s="5" t="s">
        <v>5064</v>
      </c>
      <c r="Y374" s="4">
        <v>871</v>
      </c>
      <c r="Z374" s="4">
        <v>810</v>
      </c>
      <c r="AA374" s="4">
        <v>811</v>
      </c>
      <c r="AB374" s="4">
        <v>4</v>
      </c>
      <c r="AC374" s="4">
        <v>4</v>
      </c>
      <c r="AD374" s="4">
        <v>39</v>
      </c>
      <c r="AE374" s="4">
        <v>39</v>
      </c>
      <c r="AF374" s="4">
        <v>19</v>
      </c>
      <c r="AG374" s="4">
        <v>19</v>
      </c>
      <c r="AH374" s="4">
        <v>9</v>
      </c>
      <c r="AI374" s="4">
        <v>9</v>
      </c>
      <c r="AJ374" s="4">
        <v>17</v>
      </c>
      <c r="AK374" s="4">
        <v>17</v>
      </c>
      <c r="AL374" s="4">
        <v>3</v>
      </c>
      <c r="AM374" s="4">
        <v>3</v>
      </c>
      <c r="AN374" s="4">
        <v>2</v>
      </c>
      <c r="AO374" s="4">
        <v>2</v>
      </c>
      <c r="AP374" s="3" t="s">
        <v>58</v>
      </c>
      <c r="AQ374" s="3" t="s">
        <v>58</v>
      </c>
      <c r="AS374" s="6" t="str">
        <f>HYPERLINK("https://creighton-primo.hosted.exlibrisgroup.com/primo-explore/search?tab=default_tab&amp;search_scope=EVERYTHING&amp;vid=01CRU&amp;lang=en_US&amp;offset=0&amp;query=any,contains,991003596309702656","Catalog Record")</f>
        <v>Catalog Record</v>
      </c>
      <c r="AT374" s="6" t="str">
        <f>HYPERLINK("http://www.worldcat.org/oclc/42889804","WorldCat Record")</f>
        <v>WorldCat Record</v>
      </c>
      <c r="AU374" s="3" t="s">
        <v>5065</v>
      </c>
      <c r="AV374" s="3" t="s">
        <v>5066</v>
      </c>
      <c r="AW374" s="3" t="s">
        <v>5067</v>
      </c>
      <c r="AX374" s="3" t="s">
        <v>5067</v>
      </c>
      <c r="AY374" s="3" t="s">
        <v>5068</v>
      </c>
      <c r="AZ374" s="3" t="s">
        <v>74</v>
      </c>
      <c r="BB374" s="3" t="s">
        <v>5069</v>
      </c>
      <c r="BC374" s="3" t="s">
        <v>5070</v>
      </c>
      <c r="BD374" s="3" t="s">
        <v>5071</v>
      </c>
    </row>
    <row r="375" spans="1:56" ht="45.75" customHeight="1" x14ac:dyDescent="0.25">
      <c r="A375" s="7" t="s">
        <v>58</v>
      </c>
      <c r="B375" s="2" t="s">
        <v>5072</v>
      </c>
      <c r="C375" s="2" t="s">
        <v>5073</v>
      </c>
      <c r="D375" s="2" t="s">
        <v>5074</v>
      </c>
      <c r="F375" s="3" t="s">
        <v>58</v>
      </c>
      <c r="G375" s="3" t="s">
        <v>59</v>
      </c>
      <c r="H375" s="3" t="s">
        <v>58</v>
      </c>
      <c r="I375" s="3" t="s">
        <v>58</v>
      </c>
      <c r="J375" s="3" t="s">
        <v>60</v>
      </c>
      <c r="K375" s="2" t="s">
        <v>5075</v>
      </c>
      <c r="L375" s="2" t="s">
        <v>5076</v>
      </c>
      <c r="M375" s="3" t="s">
        <v>1662</v>
      </c>
      <c r="O375" s="3" t="s">
        <v>65</v>
      </c>
      <c r="P375" s="3" t="s">
        <v>3667</v>
      </c>
      <c r="R375" s="3" t="s">
        <v>67</v>
      </c>
      <c r="S375" s="4">
        <v>17</v>
      </c>
      <c r="T375" s="4">
        <v>17</v>
      </c>
      <c r="U375" s="5" t="s">
        <v>5077</v>
      </c>
      <c r="V375" s="5" t="s">
        <v>5077</v>
      </c>
      <c r="W375" s="5" t="s">
        <v>5078</v>
      </c>
      <c r="X375" s="5" t="s">
        <v>5078</v>
      </c>
      <c r="Y375" s="4">
        <v>489</v>
      </c>
      <c r="Z375" s="4">
        <v>449</v>
      </c>
      <c r="AA375" s="4">
        <v>455</v>
      </c>
      <c r="AB375" s="4">
        <v>6</v>
      </c>
      <c r="AC375" s="4">
        <v>6</v>
      </c>
      <c r="AD375" s="4">
        <v>19</v>
      </c>
      <c r="AE375" s="4">
        <v>20</v>
      </c>
      <c r="AF375" s="4">
        <v>4</v>
      </c>
      <c r="AG375" s="4">
        <v>5</v>
      </c>
      <c r="AH375" s="4">
        <v>4</v>
      </c>
      <c r="AI375" s="4">
        <v>4</v>
      </c>
      <c r="AJ375" s="4">
        <v>9</v>
      </c>
      <c r="AK375" s="4">
        <v>10</v>
      </c>
      <c r="AL375" s="4">
        <v>5</v>
      </c>
      <c r="AM375" s="4">
        <v>5</v>
      </c>
      <c r="AN375" s="4">
        <v>0</v>
      </c>
      <c r="AO375" s="4">
        <v>0</v>
      </c>
      <c r="AP375" s="3" t="s">
        <v>58</v>
      </c>
      <c r="AQ375" s="3" t="s">
        <v>58</v>
      </c>
      <c r="AS375" s="6" t="str">
        <f>HYPERLINK("https://creighton-primo.hosted.exlibrisgroup.com/primo-explore/search?tab=default_tab&amp;search_scope=EVERYTHING&amp;vid=01CRU&amp;lang=en_US&amp;offset=0&amp;query=any,contains,991004367759702656","Catalog Record")</f>
        <v>Catalog Record</v>
      </c>
      <c r="AT375" s="6" t="str">
        <f>HYPERLINK("http://www.worldcat.org/oclc/3177062","WorldCat Record")</f>
        <v>WorldCat Record</v>
      </c>
      <c r="AU375" s="3" t="s">
        <v>5079</v>
      </c>
      <c r="AV375" s="3" t="s">
        <v>5080</v>
      </c>
      <c r="AW375" s="3" t="s">
        <v>5081</v>
      </c>
      <c r="AX375" s="3" t="s">
        <v>5081</v>
      </c>
      <c r="AY375" s="3" t="s">
        <v>5082</v>
      </c>
      <c r="AZ375" s="3" t="s">
        <v>74</v>
      </c>
      <c r="BC375" s="3" t="s">
        <v>5083</v>
      </c>
      <c r="BD375" s="3" t="s">
        <v>5084</v>
      </c>
    </row>
    <row r="376" spans="1:56" ht="45.75" customHeight="1" x14ac:dyDescent="0.25">
      <c r="A376" s="7" t="s">
        <v>58</v>
      </c>
      <c r="B376" s="2" t="s">
        <v>5085</v>
      </c>
      <c r="C376" s="2" t="s">
        <v>5086</v>
      </c>
      <c r="D376" s="2" t="s">
        <v>5087</v>
      </c>
      <c r="F376" s="3" t="s">
        <v>58</v>
      </c>
      <c r="G376" s="3" t="s">
        <v>59</v>
      </c>
      <c r="H376" s="3" t="s">
        <v>87</v>
      </c>
      <c r="I376" s="3" t="s">
        <v>58</v>
      </c>
      <c r="J376" s="3" t="s">
        <v>60</v>
      </c>
      <c r="K376" s="2" t="s">
        <v>5088</v>
      </c>
      <c r="L376" s="2" t="s">
        <v>5089</v>
      </c>
      <c r="M376" s="3" t="s">
        <v>1674</v>
      </c>
      <c r="O376" s="3" t="s">
        <v>65</v>
      </c>
      <c r="P376" s="3" t="s">
        <v>84</v>
      </c>
      <c r="Q376" s="2" t="s">
        <v>5090</v>
      </c>
      <c r="R376" s="3" t="s">
        <v>67</v>
      </c>
      <c r="S376" s="4">
        <v>35</v>
      </c>
      <c r="T376" s="4">
        <v>45</v>
      </c>
      <c r="U376" s="5" t="s">
        <v>5091</v>
      </c>
      <c r="V376" s="5" t="s">
        <v>5091</v>
      </c>
      <c r="W376" s="5" t="s">
        <v>1758</v>
      </c>
      <c r="X376" s="5" t="s">
        <v>1758</v>
      </c>
      <c r="Y376" s="4">
        <v>818</v>
      </c>
      <c r="Z376" s="4">
        <v>742</v>
      </c>
      <c r="AA376" s="4">
        <v>750</v>
      </c>
      <c r="AB376" s="4">
        <v>12</v>
      </c>
      <c r="AC376" s="4">
        <v>12</v>
      </c>
      <c r="AD376" s="4">
        <v>22</v>
      </c>
      <c r="AE376" s="4">
        <v>22</v>
      </c>
      <c r="AF376" s="4">
        <v>8</v>
      </c>
      <c r="AG376" s="4">
        <v>8</v>
      </c>
      <c r="AH376" s="4">
        <v>4</v>
      </c>
      <c r="AI376" s="4">
        <v>4</v>
      </c>
      <c r="AJ376" s="4">
        <v>6</v>
      </c>
      <c r="AK376" s="4">
        <v>6</v>
      </c>
      <c r="AL376" s="4">
        <v>7</v>
      </c>
      <c r="AM376" s="4">
        <v>7</v>
      </c>
      <c r="AN376" s="4">
        <v>1</v>
      </c>
      <c r="AO376" s="4">
        <v>1</v>
      </c>
      <c r="AP376" s="3" t="s">
        <v>58</v>
      </c>
      <c r="AQ376" s="3" t="s">
        <v>87</v>
      </c>
      <c r="AR376" s="6" t="str">
        <f>HYPERLINK("http://catalog.hathitrust.org/Record/001133650","HathiTrust Record")</f>
        <v>HathiTrust Record</v>
      </c>
      <c r="AS376" s="6" t="str">
        <f>HYPERLINK("https://creighton-primo.hosted.exlibrisgroup.com/primo-explore/search?tab=default_tab&amp;search_scope=EVERYTHING&amp;vid=01CRU&amp;lang=en_US&amp;offset=0&amp;query=any,contains,991001777999702656","Catalog Record")</f>
        <v>Catalog Record</v>
      </c>
      <c r="AT376" s="6" t="str">
        <f>HYPERLINK("http://www.worldcat.org/oclc/4721","WorldCat Record")</f>
        <v>WorldCat Record</v>
      </c>
      <c r="AU376" s="3" t="s">
        <v>5092</v>
      </c>
      <c r="AV376" s="3" t="s">
        <v>5093</v>
      </c>
      <c r="AW376" s="3" t="s">
        <v>5094</v>
      </c>
      <c r="AX376" s="3" t="s">
        <v>5094</v>
      </c>
      <c r="AY376" s="3" t="s">
        <v>5095</v>
      </c>
      <c r="AZ376" s="3" t="s">
        <v>74</v>
      </c>
      <c r="BC376" s="3" t="s">
        <v>5096</v>
      </c>
      <c r="BD376" s="3" t="s">
        <v>5097</v>
      </c>
    </row>
    <row r="377" spans="1:56" ht="45.75" customHeight="1" x14ac:dyDescent="0.25">
      <c r="A377" s="7" t="s">
        <v>58</v>
      </c>
      <c r="B377" s="2" t="s">
        <v>5098</v>
      </c>
      <c r="C377" s="2" t="s">
        <v>5099</v>
      </c>
      <c r="D377" s="2" t="s">
        <v>5100</v>
      </c>
      <c r="F377" s="3" t="s">
        <v>58</v>
      </c>
      <c r="G377" s="3" t="s">
        <v>59</v>
      </c>
      <c r="H377" s="3" t="s">
        <v>58</v>
      </c>
      <c r="I377" s="3" t="s">
        <v>58</v>
      </c>
      <c r="J377" s="3" t="s">
        <v>60</v>
      </c>
      <c r="K377" s="2" t="s">
        <v>5101</v>
      </c>
      <c r="L377" s="2" t="s">
        <v>5102</v>
      </c>
      <c r="M377" s="3" t="s">
        <v>290</v>
      </c>
      <c r="O377" s="3" t="s">
        <v>65</v>
      </c>
      <c r="P377" s="3" t="s">
        <v>132</v>
      </c>
      <c r="Q377" s="2" t="s">
        <v>5103</v>
      </c>
      <c r="R377" s="3" t="s">
        <v>67</v>
      </c>
      <c r="S377" s="4">
        <v>6</v>
      </c>
      <c r="T377" s="4">
        <v>6</v>
      </c>
      <c r="U377" s="5" t="s">
        <v>5104</v>
      </c>
      <c r="V377" s="5" t="s">
        <v>5104</v>
      </c>
      <c r="W377" s="5" t="s">
        <v>5105</v>
      </c>
      <c r="X377" s="5" t="s">
        <v>5105</v>
      </c>
      <c r="Y377" s="4">
        <v>788</v>
      </c>
      <c r="Z377" s="4">
        <v>755</v>
      </c>
      <c r="AA377" s="4">
        <v>1121</v>
      </c>
      <c r="AB377" s="4">
        <v>7</v>
      </c>
      <c r="AC377" s="4">
        <v>8</v>
      </c>
      <c r="AD377" s="4">
        <v>27</v>
      </c>
      <c r="AE377" s="4">
        <v>34</v>
      </c>
      <c r="AF377" s="4">
        <v>12</v>
      </c>
      <c r="AG377" s="4">
        <v>16</v>
      </c>
      <c r="AH377" s="4">
        <v>3</v>
      </c>
      <c r="AI377" s="4">
        <v>5</v>
      </c>
      <c r="AJ377" s="4">
        <v>11</v>
      </c>
      <c r="AK377" s="4">
        <v>14</v>
      </c>
      <c r="AL377" s="4">
        <v>5</v>
      </c>
      <c r="AM377" s="4">
        <v>6</v>
      </c>
      <c r="AN377" s="4">
        <v>2</v>
      </c>
      <c r="AO377" s="4">
        <v>2</v>
      </c>
      <c r="AP377" s="3" t="s">
        <v>58</v>
      </c>
      <c r="AQ377" s="3" t="s">
        <v>58</v>
      </c>
      <c r="AS377" s="6" t="str">
        <f>HYPERLINK("https://creighton-primo.hosted.exlibrisgroup.com/primo-explore/search?tab=default_tab&amp;search_scope=EVERYTHING&amp;vid=01CRU&amp;lang=en_US&amp;offset=0&amp;query=any,contains,991003686459702656","Catalog Record")</f>
        <v>Catalog Record</v>
      </c>
      <c r="AT377" s="6" t="str">
        <f>HYPERLINK("http://www.worldcat.org/oclc/47756171","WorldCat Record")</f>
        <v>WorldCat Record</v>
      </c>
      <c r="AU377" s="3" t="s">
        <v>5106</v>
      </c>
      <c r="AV377" s="3" t="s">
        <v>5107</v>
      </c>
      <c r="AW377" s="3" t="s">
        <v>5108</v>
      </c>
      <c r="AX377" s="3" t="s">
        <v>5108</v>
      </c>
      <c r="AY377" s="3" t="s">
        <v>5109</v>
      </c>
      <c r="AZ377" s="3" t="s">
        <v>74</v>
      </c>
      <c r="BB377" s="3" t="s">
        <v>5110</v>
      </c>
      <c r="BC377" s="3" t="s">
        <v>5111</v>
      </c>
      <c r="BD377" s="3" t="s">
        <v>5112</v>
      </c>
    </row>
    <row r="378" spans="1:56" ht="45.75" customHeight="1" x14ac:dyDescent="0.25">
      <c r="A378" s="7" t="s">
        <v>58</v>
      </c>
      <c r="B378" s="2" t="s">
        <v>5113</v>
      </c>
      <c r="C378" s="2" t="s">
        <v>5114</v>
      </c>
      <c r="D378" s="2" t="s">
        <v>5115</v>
      </c>
      <c r="F378" s="3" t="s">
        <v>58</v>
      </c>
      <c r="G378" s="3" t="s">
        <v>59</v>
      </c>
      <c r="H378" s="3" t="s">
        <v>58</v>
      </c>
      <c r="I378" s="3" t="s">
        <v>58</v>
      </c>
      <c r="J378" s="3" t="s">
        <v>60</v>
      </c>
      <c r="K378" s="2" t="s">
        <v>5116</v>
      </c>
      <c r="L378" s="2" t="s">
        <v>5117</v>
      </c>
      <c r="M378" s="3" t="s">
        <v>2324</v>
      </c>
      <c r="O378" s="3" t="s">
        <v>65</v>
      </c>
      <c r="P378" s="3" t="s">
        <v>2800</v>
      </c>
      <c r="R378" s="3" t="s">
        <v>67</v>
      </c>
      <c r="S378" s="4">
        <v>31</v>
      </c>
      <c r="T378" s="4">
        <v>31</v>
      </c>
      <c r="U378" s="5" t="s">
        <v>5118</v>
      </c>
      <c r="V378" s="5" t="s">
        <v>5118</v>
      </c>
      <c r="W378" s="5" t="s">
        <v>4293</v>
      </c>
      <c r="X378" s="5" t="s">
        <v>4293</v>
      </c>
      <c r="Y378" s="4">
        <v>54</v>
      </c>
      <c r="Z378" s="4">
        <v>53</v>
      </c>
      <c r="AA378" s="4">
        <v>57</v>
      </c>
      <c r="AB378" s="4">
        <v>2</v>
      </c>
      <c r="AC378" s="4">
        <v>2</v>
      </c>
      <c r="AD378" s="4">
        <v>1</v>
      </c>
      <c r="AE378" s="4">
        <v>1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1</v>
      </c>
      <c r="AM378" s="4">
        <v>1</v>
      </c>
      <c r="AN378" s="4">
        <v>0</v>
      </c>
      <c r="AO378" s="4">
        <v>0</v>
      </c>
      <c r="AP378" s="3" t="s">
        <v>58</v>
      </c>
      <c r="AQ378" s="3" t="s">
        <v>58</v>
      </c>
      <c r="AS378" s="6" t="str">
        <f>HYPERLINK("https://creighton-primo.hosted.exlibrisgroup.com/primo-explore/search?tab=default_tab&amp;search_scope=EVERYTHING&amp;vid=01CRU&amp;lang=en_US&amp;offset=0&amp;query=any,contains,991000376589702656","Catalog Record")</f>
        <v>Catalog Record</v>
      </c>
      <c r="AT378" s="6" t="str">
        <f>HYPERLINK("http://www.worldcat.org/oclc/10468576","WorldCat Record")</f>
        <v>WorldCat Record</v>
      </c>
      <c r="AU378" s="3" t="s">
        <v>5119</v>
      </c>
      <c r="AV378" s="3" t="s">
        <v>5120</v>
      </c>
      <c r="AW378" s="3" t="s">
        <v>5121</v>
      </c>
      <c r="AX378" s="3" t="s">
        <v>5121</v>
      </c>
      <c r="AY378" s="3" t="s">
        <v>5122</v>
      </c>
      <c r="AZ378" s="3" t="s">
        <v>74</v>
      </c>
      <c r="BB378" s="3" t="s">
        <v>5123</v>
      </c>
      <c r="BC378" s="3" t="s">
        <v>5124</v>
      </c>
      <c r="BD378" s="3" t="s">
        <v>5125</v>
      </c>
    </row>
    <row r="379" spans="1:56" ht="45.75" customHeight="1" x14ac:dyDescent="0.25">
      <c r="A379" s="7" t="s">
        <v>58</v>
      </c>
      <c r="B379" s="2" t="s">
        <v>5126</v>
      </c>
      <c r="C379" s="2" t="s">
        <v>5127</v>
      </c>
      <c r="D379" s="2" t="s">
        <v>5128</v>
      </c>
      <c r="F379" s="3" t="s">
        <v>58</v>
      </c>
      <c r="G379" s="3" t="s">
        <v>59</v>
      </c>
      <c r="H379" s="3" t="s">
        <v>58</v>
      </c>
      <c r="I379" s="3" t="s">
        <v>58</v>
      </c>
      <c r="J379" s="3" t="s">
        <v>60</v>
      </c>
      <c r="K379" s="2" t="s">
        <v>5129</v>
      </c>
      <c r="L379" s="2" t="s">
        <v>5130</v>
      </c>
      <c r="M379" s="3" t="s">
        <v>1419</v>
      </c>
      <c r="N379" s="2" t="s">
        <v>543</v>
      </c>
      <c r="O379" s="3" t="s">
        <v>65</v>
      </c>
      <c r="P379" s="3" t="s">
        <v>84</v>
      </c>
      <c r="R379" s="3" t="s">
        <v>67</v>
      </c>
      <c r="S379" s="4">
        <v>20</v>
      </c>
      <c r="T379" s="4">
        <v>20</v>
      </c>
      <c r="U379" s="5" t="s">
        <v>5131</v>
      </c>
      <c r="V379" s="5" t="s">
        <v>5131</v>
      </c>
      <c r="W379" s="5" t="s">
        <v>4293</v>
      </c>
      <c r="X379" s="5" t="s">
        <v>4293</v>
      </c>
      <c r="Y379" s="4">
        <v>653</v>
      </c>
      <c r="Z379" s="4">
        <v>619</v>
      </c>
      <c r="AA379" s="4">
        <v>625</v>
      </c>
      <c r="AB379" s="4">
        <v>4</v>
      </c>
      <c r="AC379" s="4">
        <v>4</v>
      </c>
      <c r="AD379" s="4">
        <v>11</v>
      </c>
      <c r="AE379" s="4">
        <v>11</v>
      </c>
      <c r="AF379" s="4">
        <v>5</v>
      </c>
      <c r="AG379" s="4">
        <v>5</v>
      </c>
      <c r="AH379" s="4">
        <v>3</v>
      </c>
      <c r="AI379" s="4">
        <v>3</v>
      </c>
      <c r="AJ379" s="4">
        <v>2</v>
      </c>
      <c r="AK379" s="4">
        <v>2</v>
      </c>
      <c r="AL379" s="4">
        <v>1</v>
      </c>
      <c r="AM379" s="4">
        <v>1</v>
      </c>
      <c r="AN379" s="4">
        <v>1</v>
      </c>
      <c r="AO379" s="4">
        <v>1</v>
      </c>
      <c r="AP379" s="3" t="s">
        <v>58</v>
      </c>
      <c r="AQ379" s="3" t="s">
        <v>58</v>
      </c>
      <c r="AS379" s="6" t="str">
        <f>HYPERLINK("https://creighton-primo.hosted.exlibrisgroup.com/primo-explore/search?tab=default_tab&amp;search_scope=EVERYTHING&amp;vid=01CRU&amp;lang=en_US&amp;offset=0&amp;query=any,contains,991004606479702656","Catalog Record")</f>
        <v>Catalog Record</v>
      </c>
      <c r="AT379" s="6" t="str">
        <f>HYPERLINK("http://www.worldcat.org/oclc/4194735","WorldCat Record")</f>
        <v>WorldCat Record</v>
      </c>
      <c r="AU379" s="3" t="s">
        <v>5132</v>
      </c>
      <c r="AV379" s="3" t="s">
        <v>5133</v>
      </c>
      <c r="AW379" s="3" t="s">
        <v>5134</v>
      </c>
      <c r="AX379" s="3" t="s">
        <v>5134</v>
      </c>
      <c r="AY379" s="3" t="s">
        <v>5135</v>
      </c>
      <c r="AZ379" s="3" t="s">
        <v>74</v>
      </c>
      <c r="BB379" s="3" t="s">
        <v>5136</v>
      </c>
      <c r="BC379" s="3" t="s">
        <v>5137</v>
      </c>
      <c r="BD379" s="3" t="s">
        <v>5138</v>
      </c>
    </row>
    <row r="380" spans="1:56" ht="45.75" customHeight="1" x14ac:dyDescent="0.25">
      <c r="A380" s="7" t="s">
        <v>58</v>
      </c>
      <c r="B380" s="2" t="s">
        <v>5139</v>
      </c>
      <c r="C380" s="2" t="s">
        <v>5140</v>
      </c>
      <c r="D380" s="2" t="s">
        <v>5141</v>
      </c>
      <c r="F380" s="3" t="s">
        <v>58</v>
      </c>
      <c r="G380" s="3" t="s">
        <v>59</v>
      </c>
      <c r="H380" s="3" t="s">
        <v>58</v>
      </c>
      <c r="I380" s="3" t="s">
        <v>58</v>
      </c>
      <c r="J380" s="3" t="s">
        <v>60</v>
      </c>
      <c r="K380" s="2" t="s">
        <v>5142</v>
      </c>
      <c r="L380" s="2" t="s">
        <v>5143</v>
      </c>
      <c r="M380" s="3" t="s">
        <v>116</v>
      </c>
      <c r="O380" s="3" t="s">
        <v>65</v>
      </c>
      <c r="P380" s="3" t="s">
        <v>84</v>
      </c>
      <c r="R380" s="3" t="s">
        <v>67</v>
      </c>
      <c r="S380" s="4">
        <v>18</v>
      </c>
      <c r="T380" s="4">
        <v>18</v>
      </c>
      <c r="U380" s="5" t="s">
        <v>5144</v>
      </c>
      <c r="V380" s="5" t="s">
        <v>5144</v>
      </c>
      <c r="W380" s="5" t="s">
        <v>5145</v>
      </c>
      <c r="X380" s="5" t="s">
        <v>5145</v>
      </c>
      <c r="Y380" s="4">
        <v>654</v>
      </c>
      <c r="Z380" s="4">
        <v>594</v>
      </c>
      <c r="AA380" s="4">
        <v>602</v>
      </c>
      <c r="AB380" s="4">
        <v>4</v>
      </c>
      <c r="AC380" s="4">
        <v>4</v>
      </c>
      <c r="AD380" s="4">
        <v>24</v>
      </c>
      <c r="AE380" s="4">
        <v>24</v>
      </c>
      <c r="AF380" s="4">
        <v>9</v>
      </c>
      <c r="AG380" s="4">
        <v>9</v>
      </c>
      <c r="AH380" s="4">
        <v>3</v>
      </c>
      <c r="AI380" s="4">
        <v>3</v>
      </c>
      <c r="AJ380" s="4">
        <v>11</v>
      </c>
      <c r="AK380" s="4">
        <v>11</v>
      </c>
      <c r="AL380" s="4">
        <v>3</v>
      </c>
      <c r="AM380" s="4">
        <v>3</v>
      </c>
      <c r="AN380" s="4">
        <v>2</v>
      </c>
      <c r="AO380" s="4">
        <v>2</v>
      </c>
      <c r="AP380" s="3" t="s">
        <v>58</v>
      </c>
      <c r="AQ380" s="3" t="s">
        <v>58</v>
      </c>
      <c r="AS380" s="6" t="str">
        <f>HYPERLINK("https://creighton-primo.hosted.exlibrisgroup.com/primo-explore/search?tab=default_tab&amp;search_scope=EVERYTHING&amp;vid=01CRU&amp;lang=en_US&amp;offset=0&amp;query=any,contains,991002898459702656","Catalog Record")</f>
        <v>Catalog Record</v>
      </c>
      <c r="AT380" s="6" t="str">
        <f>HYPERLINK("http://www.worldcat.org/oclc/38206893","WorldCat Record")</f>
        <v>WorldCat Record</v>
      </c>
      <c r="AU380" s="3" t="s">
        <v>5146</v>
      </c>
      <c r="AV380" s="3" t="s">
        <v>5147</v>
      </c>
      <c r="AW380" s="3" t="s">
        <v>5148</v>
      </c>
      <c r="AX380" s="3" t="s">
        <v>5148</v>
      </c>
      <c r="AY380" s="3" t="s">
        <v>5149</v>
      </c>
      <c r="AZ380" s="3" t="s">
        <v>74</v>
      </c>
      <c r="BB380" s="3" t="s">
        <v>5150</v>
      </c>
      <c r="BC380" s="3" t="s">
        <v>5151</v>
      </c>
      <c r="BD380" s="3" t="s">
        <v>5152</v>
      </c>
    </row>
    <row r="381" spans="1:56" ht="45.75" customHeight="1" x14ac:dyDescent="0.25">
      <c r="A381" s="7" t="s">
        <v>58</v>
      </c>
      <c r="B381" s="2" t="s">
        <v>5153</v>
      </c>
      <c r="C381" s="2" t="s">
        <v>5154</v>
      </c>
      <c r="D381" s="2" t="s">
        <v>5155</v>
      </c>
      <c r="F381" s="3" t="s">
        <v>58</v>
      </c>
      <c r="G381" s="3" t="s">
        <v>59</v>
      </c>
      <c r="H381" s="3" t="s">
        <v>58</v>
      </c>
      <c r="I381" s="3" t="s">
        <v>58</v>
      </c>
      <c r="J381" s="3" t="s">
        <v>60</v>
      </c>
      <c r="K381" s="2" t="s">
        <v>5156</v>
      </c>
      <c r="L381" s="2" t="s">
        <v>5157</v>
      </c>
      <c r="M381" s="3" t="s">
        <v>263</v>
      </c>
      <c r="N381" s="2" t="s">
        <v>543</v>
      </c>
      <c r="O381" s="3" t="s">
        <v>65</v>
      </c>
      <c r="P381" s="3" t="s">
        <v>84</v>
      </c>
      <c r="R381" s="3" t="s">
        <v>67</v>
      </c>
      <c r="S381" s="4">
        <v>19</v>
      </c>
      <c r="T381" s="4">
        <v>19</v>
      </c>
      <c r="U381" s="5" t="s">
        <v>5158</v>
      </c>
      <c r="V381" s="5" t="s">
        <v>5158</v>
      </c>
      <c r="W381" s="5" t="s">
        <v>3947</v>
      </c>
      <c r="X381" s="5" t="s">
        <v>3947</v>
      </c>
      <c r="Y381" s="4">
        <v>2115</v>
      </c>
      <c r="Z381" s="4">
        <v>2007</v>
      </c>
      <c r="AA381" s="4">
        <v>2306</v>
      </c>
      <c r="AB381" s="4">
        <v>19</v>
      </c>
      <c r="AC381" s="4">
        <v>20</v>
      </c>
      <c r="AD381" s="4">
        <v>67</v>
      </c>
      <c r="AE381" s="4">
        <v>74</v>
      </c>
      <c r="AF381" s="4">
        <v>23</v>
      </c>
      <c r="AG381" s="4">
        <v>26</v>
      </c>
      <c r="AH381" s="4">
        <v>10</v>
      </c>
      <c r="AI381" s="4">
        <v>11</v>
      </c>
      <c r="AJ381" s="4">
        <v>22</v>
      </c>
      <c r="AK381" s="4">
        <v>24</v>
      </c>
      <c r="AL381" s="4">
        <v>15</v>
      </c>
      <c r="AM381" s="4">
        <v>15</v>
      </c>
      <c r="AN381" s="4">
        <v>9</v>
      </c>
      <c r="AO381" s="4">
        <v>11</v>
      </c>
      <c r="AP381" s="3" t="s">
        <v>58</v>
      </c>
      <c r="AQ381" s="3" t="s">
        <v>87</v>
      </c>
      <c r="AR381" s="6" t="str">
        <f>HYPERLINK("http://catalog.hathitrust.org/Record/003055113","HathiTrust Record")</f>
        <v>HathiTrust Record</v>
      </c>
      <c r="AS381" s="6" t="str">
        <f>HYPERLINK("https://creighton-primo.hosted.exlibrisgroup.com/primo-explore/search?tab=default_tab&amp;search_scope=EVERYTHING&amp;vid=01CRU&amp;lang=en_US&amp;offset=0&amp;query=any,contains,991002554459702656","Catalog Record")</f>
        <v>Catalog Record</v>
      </c>
      <c r="AT381" s="6" t="str">
        <f>HYPERLINK("http://www.worldcat.org/oclc/33207527","WorldCat Record")</f>
        <v>WorldCat Record</v>
      </c>
      <c r="AU381" s="3" t="s">
        <v>5159</v>
      </c>
      <c r="AV381" s="3" t="s">
        <v>5160</v>
      </c>
      <c r="AW381" s="3" t="s">
        <v>5161</v>
      </c>
      <c r="AX381" s="3" t="s">
        <v>5161</v>
      </c>
      <c r="AY381" s="3" t="s">
        <v>5162</v>
      </c>
      <c r="AZ381" s="3" t="s">
        <v>74</v>
      </c>
      <c r="BB381" s="3" t="s">
        <v>5163</v>
      </c>
      <c r="BC381" s="3" t="s">
        <v>5164</v>
      </c>
      <c r="BD381" s="3" t="s">
        <v>5165</v>
      </c>
    </row>
    <row r="382" spans="1:56" ht="45.75" customHeight="1" x14ac:dyDescent="0.25">
      <c r="A382" s="7" t="s">
        <v>58</v>
      </c>
      <c r="B382" s="2" t="s">
        <v>5166</v>
      </c>
      <c r="C382" s="2" t="s">
        <v>5167</v>
      </c>
      <c r="D382" s="2" t="s">
        <v>5168</v>
      </c>
      <c r="F382" s="3" t="s">
        <v>58</v>
      </c>
      <c r="G382" s="3" t="s">
        <v>59</v>
      </c>
      <c r="H382" s="3" t="s">
        <v>58</v>
      </c>
      <c r="I382" s="3" t="s">
        <v>87</v>
      </c>
      <c r="J382" s="3" t="s">
        <v>60</v>
      </c>
      <c r="K382" s="2" t="s">
        <v>5169</v>
      </c>
      <c r="L382" s="2" t="s">
        <v>5170</v>
      </c>
      <c r="M382" s="3" t="s">
        <v>263</v>
      </c>
      <c r="O382" s="3" t="s">
        <v>65</v>
      </c>
      <c r="P382" s="3" t="s">
        <v>84</v>
      </c>
      <c r="R382" s="3" t="s">
        <v>67</v>
      </c>
      <c r="S382" s="4">
        <v>27</v>
      </c>
      <c r="T382" s="4">
        <v>27</v>
      </c>
      <c r="U382" s="5" t="s">
        <v>5171</v>
      </c>
      <c r="V382" s="5" t="s">
        <v>5171</v>
      </c>
      <c r="W382" s="5" t="s">
        <v>5172</v>
      </c>
      <c r="X382" s="5" t="s">
        <v>5172</v>
      </c>
      <c r="Y382" s="4">
        <v>378</v>
      </c>
      <c r="Z382" s="4">
        <v>349</v>
      </c>
      <c r="AA382" s="4">
        <v>407</v>
      </c>
      <c r="AB382" s="4">
        <v>3</v>
      </c>
      <c r="AC382" s="4">
        <v>3</v>
      </c>
      <c r="AD382" s="4">
        <v>15</v>
      </c>
      <c r="AE382" s="4">
        <v>19</v>
      </c>
      <c r="AF382" s="4">
        <v>5</v>
      </c>
      <c r="AG382" s="4">
        <v>7</v>
      </c>
      <c r="AH382" s="4">
        <v>4</v>
      </c>
      <c r="AI382" s="4">
        <v>4</v>
      </c>
      <c r="AJ382" s="4">
        <v>9</v>
      </c>
      <c r="AK382" s="4">
        <v>10</v>
      </c>
      <c r="AL382" s="4">
        <v>2</v>
      </c>
      <c r="AM382" s="4">
        <v>2</v>
      </c>
      <c r="AN382" s="4">
        <v>0</v>
      </c>
      <c r="AO382" s="4">
        <v>1</v>
      </c>
      <c r="AP382" s="3" t="s">
        <v>58</v>
      </c>
      <c r="AQ382" s="3" t="s">
        <v>58</v>
      </c>
      <c r="AS382" s="6" t="str">
        <f>HYPERLINK("https://creighton-primo.hosted.exlibrisgroup.com/primo-explore/search?tab=default_tab&amp;search_scope=EVERYTHING&amp;vid=01CRU&amp;lang=en_US&amp;offset=0&amp;query=any,contains,991002790849702656","Catalog Record")</f>
        <v>Catalog Record</v>
      </c>
      <c r="AT382" s="6" t="str">
        <f>HYPERLINK("http://www.worldcat.org/oclc/36651080","WorldCat Record")</f>
        <v>WorldCat Record</v>
      </c>
      <c r="AU382" s="3" t="s">
        <v>5173</v>
      </c>
      <c r="AV382" s="3" t="s">
        <v>5174</v>
      </c>
      <c r="AW382" s="3" t="s">
        <v>5175</v>
      </c>
      <c r="AX382" s="3" t="s">
        <v>5175</v>
      </c>
      <c r="AY382" s="3" t="s">
        <v>5176</v>
      </c>
      <c r="AZ382" s="3" t="s">
        <v>74</v>
      </c>
      <c r="BB382" s="3" t="s">
        <v>5177</v>
      </c>
      <c r="BC382" s="3" t="s">
        <v>5178</v>
      </c>
      <c r="BD382" s="3" t="s">
        <v>5179</v>
      </c>
    </row>
    <row r="383" spans="1:56" ht="45.75" customHeight="1" x14ac:dyDescent="0.25">
      <c r="A383" s="7" t="s">
        <v>58</v>
      </c>
      <c r="B383" s="2" t="s">
        <v>5180</v>
      </c>
      <c r="C383" s="2" t="s">
        <v>5181</v>
      </c>
      <c r="D383" s="2" t="s">
        <v>5182</v>
      </c>
      <c r="F383" s="3" t="s">
        <v>58</v>
      </c>
      <c r="G383" s="3" t="s">
        <v>59</v>
      </c>
      <c r="H383" s="3" t="s">
        <v>58</v>
      </c>
      <c r="I383" s="3" t="s">
        <v>58</v>
      </c>
      <c r="J383" s="3" t="s">
        <v>60</v>
      </c>
      <c r="K383" s="2" t="s">
        <v>5183</v>
      </c>
      <c r="L383" s="2" t="s">
        <v>5184</v>
      </c>
      <c r="M383" s="3" t="s">
        <v>800</v>
      </c>
      <c r="O383" s="3" t="s">
        <v>65</v>
      </c>
      <c r="P383" s="3" t="s">
        <v>84</v>
      </c>
      <c r="R383" s="3" t="s">
        <v>67</v>
      </c>
      <c r="S383" s="4">
        <v>5</v>
      </c>
      <c r="T383" s="4">
        <v>5</v>
      </c>
      <c r="U383" s="5" t="s">
        <v>5185</v>
      </c>
      <c r="V383" s="5" t="s">
        <v>5185</v>
      </c>
      <c r="W383" s="5" t="s">
        <v>4318</v>
      </c>
      <c r="X383" s="5" t="s">
        <v>4318</v>
      </c>
      <c r="Y383" s="4">
        <v>38</v>
      </c>
      <c r="Z383" s="4">
        <v>37</v>
      </c>
      <c r="AA383" s="4">
        <v>356</v>
      </c>
      <c r="AB383" s="4">
        <v>1</v>
      </c>
      <c r="AC383" s="4">
        <v>1</v>
      </c>
      <c r="AD383" s="4">
        <v>1</v>
      </c>
      <c r="AE383" s="4">
        <v>2</v>
      </c>
      <c r="AF383" s="4">
        <v>0</v>
      </c>
      <c r="AG383" s="4">
        <v>0</v>
      </c>
      <c r="AH383" s="4">
        <v>0</v>
      </c>
      <c r="AI383" s="4">
        <v>1</v>
      </c>
      <c r="AJ383" s="4">
        <v>1</v>
      </c>
      <c r="AK383" s="4">
        <v>1</v>
      </c>
      <c r="AL383" s="4">
        <v>0</v>
      </c>
      <c r="AM383" s="4">
        <v>0</v>
      </c>
      <c r="AN383" s="4">
        <v>0</v>
      </c>
      <c r="AO383" s="4">
        <v>0</v>
      </c>
      <c r="AP383" s="3" t="s">
        <v>58</v>
      </c>
      <c r="AQ383" s="3" t="s">
        <v>58</v>
      </c>
      <c r="AS383" s="6" t="str">
        <f>HYPERLINK("https://creighton-primo.hosted.exlibrisgroup.com/primo-explore/search?tab=default_tab&amp;search_scope=EVERYTHING&amp;vid=01CRU&amp;lang=en_US&amp;offset=0&amp;query=any,contains,991003933469702656","Catalog Record")</f>
        <v>Catalog Record</v>
      </c>
      <c r="AT383" s="6" t="str">
        <f>HYPERLINK("http://www.worldcat.org/oclc/27869302","WorldCat Record")</f>
        <v>WorldCat Record</v>
      </c>
      <c r="AU383" s="3" t="s">
        <v>5186</v>
      </c>
      <c r="AV383" s="3" t="s">
        <v>5187</v>
      </c>
      <c r="AW383" s="3" t="s">
        <v>5188</v>
      </c>
      <c r="AX383" s="3" t="s">
        <v>5188</v>
      </c>
      <c r="AY383" s="3" t="s">
        <v>5189</v>
      </c>
      <c r="AZ383" s="3" t="s">
        <v>74</v>
      </c>
      <c r="BB383" s="3" t="s">
        <v>5190</v>
      </c>
      <c r="BC383" s="3" t="s">
        <v>5191</v>
      </c>
      <c r="BD383" s="3" t="s">
        <v>5192</v>
      </c>
    </row>
    <row r="384" spans="1:56" ht="45.75" customHeight="1" x14ac:dyDescent="0.25">
      <c r="A384" s="7" t="s">
        <v>58</v>
      </c>
      <c r="B384" s="2" t="s">
        <v>5193</v>
      </c>
      <c r="C384" s="2" t="s">
        <v>5194</v>
      </c>
      <c r="D384" s="2" t="s">
        <v>5195</v>
      </c>
      <c r="F384" s="3" t="s">
        <v>58</v>
      </c>
      <c r="G384" s="3" t="s">
        <v>59</v>
      </c>
      <c r="H384" s="3" t="s">
        <v>58</v>
      </c>
      <c r="I384" s="3" t="s">
        <v>58</v>
      </c>
      <c r="J384" s="3" t="s">
        <v>60</v>
      </c>
      <c r="K384" s="2" t="s">
        <v>5196</v>
      </c>
      <c r="L384" s="2" t="s">
        <v>5197</v>
      </c>
      <c r="M384" s="3" t="s">
        <v>1638</v>
      </c>
      <c r="N384" s="2" t="s">
        <v>4473</v>
      </c>
      <c r="O384" s="3" t="s">
        <v>65</v>
      </c>
      <c r="P384" s="3" t="s">
        <v>5198</v>
      </c>
      <c r="R384" s="3" t="s">
        <v>67</v>
      </c>
      <c r="S384" s="4">
        <v>10</v>
      </c>
      <c r="T384" s="4">
        <v>10</v>
      </c>
      <c r="U384" s="5" t="s">
        <v>5199</v>
      </c>
      <c r="V384" s="5" t="s">
        <v>5199</v>
      </c>
      <c r="W384" s="5" t="s">
        <v>5200</v>
      </c>
      <c r="X384" s="5" t="s">
        <v>5200</v>
      </c>
      <c r="Y384" s="4">
        <v>496</v>
      </c>
      <c r="Z384" s="4">
        <v>453</v>
      </c>
      <c r="AA384" s="4">
        <v>608</v>
      </c>
      <c r="AB384" s="4">
        <v>6</v>
      </c>
      <c r="AC384" s="4">
        <v>7</v>
      </c>
      <c r="AD384" s="4">
        <v>21</v>
      </c>
      <c r="AE384" s="4">
        <v>26</v>
      </c>
      <c r="AF384" s="4">
        <v>5</v>
      </c>
      <c r="AG384" s="4">
        <v>7</v>
      </c>
      <c r="AH384" s="4">
        <v>5</v>
      </c>
      <c r="AI384" s="4">
        <v>6</v>
      </c>
      <c r="AJ384" s="4">
        <v>10</v>
      </c>
      <c r="AK384" s="4">
        <v>12</v>
      </c>
      <c r="AL384" s="4">
        <v>5</v>
      </c>
      <c r="AM384" s="4">
        <v>6</v>
      </c>
      <c r="AN384" s="4">
        <v>0</v>
      </c>
      <c r="AO384" s="4">
        <v>0</v>
      </c>
      <c r="AP384" s="3" t="s">
        <v>58</v>
      </c>
      <c r="AQ384" s="3" t="s">
        <v>87</v>
      </c>
      <c r="AR384" s="6" t="str">
        <f>HYPERLINK("http://catalog.hathitrust.org/Record/001132213","HathiTrust Record")</f>
        <v>HathiTrust Record</v>
      </c>
      <c r="AS384" s="6" t="str">
        <f>HYPERLINK("https://creighton-primo.hosted.exlibrisgroup.com/primo-explore/search?tab=default_tab&amp;search_scope=EVERYTHING&amp;vid=01CRU&amp;lang=en_US&amp;offset=0&amp;query=any,contains,991003685149702656","Catalog Record")</f>
        <v>Catalog Record</v>
      </c>
      <c r="AT384" s="6" t="str">
        <f>HYPERLINK("http://www.worldcat.org/oclc/1313220","WorldCat Record")</f>
        <v>WorldCat Record</v>
      </c>
      <c r="AU384" s="3" t="s">
        <v>5201</v>
      </c>
      <c r="AV384" s="3" t="s">
        <v>5202</v>
      </c>
      <c r="AW384" s="3" t="s">
        <v>5203</v>
      </c>
      <c r="AX384" s="3" t="s">
        <v>5203</v>
      </c>
      <c r="AY384" s="3" t="s">
        <v>5204</v>
      </c>
      <c r="AZ384" s="3" t="s">
        <v>74</v>
      </c>
      <c r="BC384" s="3" t="s">
        <v>5205</v>
      </c>
      <c r="BD384" s="3" t="s">
        <v>5206</v>
      </c>
    </row>
    <row r="385" spans="1:56" ht="45.75" customHeight="1" x14ac:dyDescent="0.25">
      <c r="A385" s="7" t="s">
        <v>58</v>
      </c>
      <c r="B385" s="2" t="s">
        <v>5207</v>
      </c>
      <c r="C385" s="2" t="s">
        <v>5208</v>
      </c>
      <c r="D385" s="2" t="s">
        <v>5209</v>
      </c>
      <c r="F385" s="3" t="s">
        <v>58</v>
      </c>
      <c r="G385" s="3" t="s">
        <v>59</v>
      </c>
      <c r="H385" s="3" t="s">
        <v>58</v>
      </c>
      <c r="I385" s="3" t="s">
        <v>58</v>
      </c>
      <c r="J385" s="3" t="s">
        <v>60</v>
      </c>
      <c r="K385" s="2" t="s">
        <v>5210</v>
      </c>
      <c r="L385" s="2" t="s">
        <v>5211</v>
      </c>
      <c r="M385" s="3" t="s">
        <v>5050</v>
      </c>
      <c r="N385" s="2" t="s">
        <v>4473</v>
      </c>
      <c r="O385" s="3" t="s">
        <v>65</v>
      </c>
      <c r="P385" s="3" t="s">
        <v>84</v>
      </c>
      <c r="R385" s="3" t="s">
        <v>67</v>
      </c>
      <c r="S385" s="4">
        <v>12</v>
      </c>
      <c r="T385" s="4">
        <v>12</v>
      </c>
      <c r="U385" s="5" t="s">
        <v>5199</v>
      </c>
      <c r="V385" s="5" t="s">
        <v>5199</v>
      </c>
      <c r="W385" s="5" t="s">
        <v>5200</v>
      </c>
      <c r="X385" s="5" t="s">
        <v>5200</v>
      </c>
      <c r="Y385" s="4">
        <v>580</v>
      </c>
      <c r="Z385" s="4">
        <v>557</v>
      </c>
      <c r="AA385" s="4">
        <v>558</v>
      </c>
      <c r="AB385" s="4">
        <v>3</v>
      </c>
      <c r="AC385" s="4">
        <v>3</v>
      </c>
      <c r="AD385" s="4">
        <v>13</v>
      </c>
      <c r="AE385" s="4">
        <v>13</v>
      </c>
      <c r="AF385" s="4">
        <v>6</v>
      </c>
      <c r="AG385" s="4">
        <v>6</v>
      </c>
      <c r="AH385" s="4">
        <v>2</v>
      </c>
      <c r="AI385" s="4">
        <v>2</v>
      </c>
      <c r="AJ385" s="4">
        <v>7</v>
      </c>
      <c r="AK385" s="4">
        <v>7</v>
      </c>
      <c r="AL385" s="4">
        <v>1</v>
      </c>
      <c r="AM385" s="4">
        <v>1</v>
      </c>
      <c r="AN385" s="4">
        <v>0</v>
      </c>
      <c r="AO385" s="4">
        <v>0</v>
      </c>
      <c r="AP385" s="3" t="s">
        <v>58</v>
      </c>
      <c r="AQ385" s="3" t="s">
        <v>58</v>
      </c>
      <c r="AR385" s="6" t="str">
        <f>HYPERLINK("http://catalog.hathitrust.org/Record/001132214","HathiTrust Record")</f>
        <v>HathiTrust Record</v>
      </c>
      <c r="AS385" s="6" t="str">
        <f>HYPERLINK("https://creighton-primo.hosted.exlibrisgroup.com/primo-explore/search?tab=default_tab&amp;search_scope=EVERYTHING&amp;vid=01CRU&amp;lang=en_US&amp;offset=0&amp;query=any,contains,991002157249702656","Catalog Record")</f>
        <v>Catalog Record</v>
      </c>
      <c r="AT385" s="6" t="str">
        <f>HYPERLINK("http://www.worldcat.org/oclc/273031","WorldCat Record")</f>
        <v>WorldCat Record</v>
      </c>
      <c r="AU385" s="3" t="s">
        <v>5212</v>
      </c>
      <c r="AV385" s="3" t="s">
        <v>5213</v>
      </c>
      <c r="AW385" s="3" t="s">
        <v>5214</v>
      </c>
      <c r="AX385" s="3" t="s">
        <v>5214</v>
      </c>
      <c r="AY385" s="3" t="s">
        <v>5215</v>
      </c>
      <c r="AZ385" s="3" t="s">
        <v>74</v>
      </c>
      <c r="BC385" s="3" t="s">
        <v>5216</v>
      </c>
      <c r="BD385" s="3" t="s">
        <v>5217</v>
      </c>
    </row>
    <row r="386" spans="1:56" ht="45.75" customHeight="1" x14ac:dyDescent="0.25">
      <c r="A386" s="7" t="s">
        <v>58</v>
      </c>
      <c r="B386" s="2" t="s">
        <v>5218</v>
      </c>
      <c r="C386" s="2" t="s">
        <v>5219</v>
      </c>
      <c r="D386" s="2" t="s">
        <v>5220</v>
      </c>
      <c r="F386" s="3" t="s">
        <v>58</v>
      </c>
      <c r="G386" s="3" t="s">
        <v>59</v>
      </c>
      <c r="H386" s="3" t="s">
        <v>87</v>
      </c>
      <c r="I386" s="3" t="s">
        <v>58</v>
      </c>
      <c r="J386" s="3" t="s">
        <v>60</v>
      </c>
      <c r="K386" s="2" t="s">
        <v>5221</v>
      </c>
      <c r="L386" s="2" t="s">
        <v>5222</v>
      </c>
      <c r="M386" s="3" t="s">
        <v>3358</v>
      </c>
      <c r="O386" s="3" t="s">
        <v>65</v>
      </c>
      <c r="P386" s="3" t="s">
        <v>190</v>
      </c>
      <c r="R386" s="3" t="s">
        <v>67</v>
      </c>
      <c r="S386" s="4">
        <v>13</v>
      </c>
      <c r="T386" s="4">
        <v>13</v>
      </c>
      <c r="U386" s="5" t="s">
        <v>2000</v>
      </c>
      <c r="V386" s="5" t="s">
        <v>2000</v>
      </c>
      <c r="W386" s="5" t="s">
        <v>5223</v>
      </c>
      <c r="X386" s="5" t="s">
        <v>5224</v>
      </c>
      <c r="Y386" s="4">
        <v>465</v>
      </c>
      <c r="Z386" s="4">
        <v>425</v>
      </c>
      <c r="AA386" s="4">
        <v>433</v>
      </c>
      <c r="AB386" s="4">
        <v>7</v>
      </c>
      <c r="AC386" s="4">
        <v>7</v>
      </c>
      <c r="AD386" s="4">
        <v>20</v>
      </c>
      <c r="AE386" s="4">
        <v>20</v>
      </c>
      <c r="AF386" s="4">
        <v>6</v>
      </c>
      <c r="AG386" s="4">
        <v>6</v>
      </c>
      <c r="AH386" s="4">
        <v>4</v>
      </c>
      <c r="AI386" s="4">
        <v>4</v>
      </c>
      <c r="AJ386" s="4">
        <v>8</v>
      </c>
      <c r="AK386" s="4">
        <v>8</v>
      </c>
      <c r="AL386" s="4">
        <v>5</v>
      </c>
      <c r="AM386" s="4">
        <v>5</v>
      </c>
      <c r="AN386" s="4">
        <v>1</v>
      </c>
      <c r="AO386" s="4">
        <v>1</v>
      </c>
      <c r="AP386" s="3" t="s">
        <v>58</v>
      </c>
      <c r="AQ386" s="3" t="s">
        <v>87</v>
      </c>
      <c r="AR386" s="6" t="str">
        <f>HYPERLINK("http://catalog.hathitrust.org/Record/001133668","HathiTrust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HYPERLINK("https://creighton-primo.hosted.exlibrisgroup.com/primo-explore/search?tab=default_tab&amp;search_scope=EVERYTHING&amp;vid=01CRU&amp;lang=en_US&amp;offset=0&amp;query=any,contains,991001656759702656","Catalog Record")</f>
        <v>Catalog Record</v>
      </c>
      <c r="AT386" s="6" t="str">
        <f>HYPERLINK("http://www.worldcat.org/oclc/578034","WorldCat Record")</f>
        <v>WorldCat Record</v>
      </c>
      <c r="AU386" s="3" t="s">
        <v>5225</v>
      </c>
      <c r="AV386" s="3" t="s">
        <v>5226</v>
      </c>
      <c r="AW386" s="3" t="s">
        <v>5227</v>
      </c>
      <c r="AX386" s="3" t="s">
        <v>5227</v>
      </c>
      <c r="AY386" s="3" t="s">
        <v>5228</v>
      </c>
      <c r="AZ386" s="3" t="s">
        <v>74</v>
      </c>
      <c r="BB386" s="3" t="s">
        <v>5229</v>
      </c>
      <c r="BC386" s="3" t="s">
        <v>5230</v>
      </c>
      <c r="BD386" s="3" t="s">
        <v>5231</v>
      </c>
    </row>
    <row r="387" spans="1:56" ht="45.75" customHeight="1" x14ac:dyDescent="0.25">
      <c r="A387" s="7" t="s">
        <v>58</v>
      </c>
      <c r="B387" s="2" t="s">
        <v>5232</v>
      </c>
      <c r="C387" s="2" t="s">
        <v>5233</v>
      </c>
      <c r="D387" s="2" t="s">
        <v>5234</v>
      </c>
      <c r="F387" s="3" t="s">
        <v>58</v>
      </c>
      <c r="G387" s="3" t="s">
        <v>59</v>
      </c>
      <c r="H387" s="3" t="s">
        <v>58</v>
      </c>
      <c r="I387" s="3" t="s">
        <v>58</v>
      </c>
      <c r="J387" s="3" t="s">
        <v>60</v>
      </c>
      <c r="K387" s="2" t="s">
        <v>5235</v>
      </c>
      <c r="L387" s="2" t="s">
        <v>5236</v>
      </c>
      <c r="M387" s="3" t="s">
        <v>1674</v>
      </c>
      <c r="O387" s="3" t="s">
        <v>65</v>
      </c>
      <c r="P387" s="3" t="s">
        <v>84</v>
      </c>
      <c r="Q387" s="2" t="s">
        <v>5090</v>
      </c>
      <c r="R387" s="3" t="s">
        <v>67</v>
      </c>
      <c r="S387" s="4">
        <v>9</v>
      </c>
      <c r="T387" s="4">
        <v>9</v>
      </c>
      <c r="U387" s="5" t="s">
        <v>5237</v>
      </c>
      <c r="V387" s="5" t="s">
        <v>5237</v>
      </c>
      <c r="W387" s="5" t="s">
        <v>5238</v>
      </c>
      <c r="X387" s="5" t="s">
        <v>5238</v>
      </c>
      <c r="Y387" s="4">
        <v>745</v>
      </c>
      <c r="Z387" s="4">
        <v>703</v>
      </c>
      <c r="AA387" s="4">
        <v>1050</v>
      </c>
      <c r="AB387" s="4">
        <v>6</v>
      </c>
      <c r="AC387" s="4">
        <v>11</v>
      </c>
      <c r="AD387" s="4">
        <v>29</v>
      </c>
      <c r="AE387" s="4">
        <v>39</v>
      </c>
      <c r="AF387" s="4">
        <v>11</v>
      </c>
      <c r="AG387" s="4">
        <v>13</v>
      </c>
      <c r="AH387" s="4">
        <v>6</v>
      </c>
      <c r="AI387" s="4">
        <v>9</v>
      </c>
      <c r="AJ387" s="4">
        <v>12</v>
      </c>
      <c r="AK387" s="4">
        <v>13</v>
      </c>
      <c r="AL387" s="4">
        <v>5</v>
      </c>
      <c r="AM387" s="4">
        <v>9</v>
      </c>
      <c r="AN387" s="4">
        <v>2</v>
      </c>
      <c r="AO387" s="4">
        <v>2</v>
      </c>
      <c r="AP387" s="3" t="s">
        <v>58</v>
      </c>
      <c r="AQ387" s="3" t="s">
        <v>87</v>
      </c>
      <c r="AR387" s="6" t="str">
        <f>HYPERLINK("http://catalog.hathitrust.org/Record/001133674","HathiTrust Record")</f>
        <v>HathiTrust Record</v>
      </c>
      <c r="AS387" s="6" t="str">
        <f>HYPERLINK("https://creighton-primo.hosted.exlibrisgroup.com/primo-explore/search?tab=default_tab&amp;search_scope=EVERYTHING&amp;vid=01CRU&amp;lang=en_US&amp;offset=0&amp;query=any,contains,991005161199702656","Catalog Record")</f>
        <v>Catalog Record</v>
      </c>
      <c r="AT387" s="6" t="str">
        <f>HYPERLINK("http://www.worldcat.org/oclc/264416","WorldCat Record")</f>
        <v>WorldCat Record</v>
      </c>
      <c r="AU387" s="3" t="s">
        <v>5239</v>
      </c>
      <c r="AV387" s="3" t="s">
        <v>5240</v>
      </c>
      <c r="AW387" s="3" t="s">
        <v>5241</v>
      </c>
      <c r="AX387" s="3" t="s">
        <v>5241</v>
      </c>
      <c r="AY387" s="3" t="s">
        <v>5242</v>
      </c>
      <c r="AZ387" s="3" t="s">
        <v>74</v>
      </c>
      <c r="BC387" s="3" t="s">
        <v>5243</v>
      </c>
      <c r="BD387" s="3" t="s">
        <v>5244</v>
      </c>
    </row>
    <row r="388" spans="1:56" ht="45.75" customHeight="1" x14ac:dyDescent="0.25">
      <c r="A388" s="7" t="s">
        <v>58</v>
      </c>
      <c r="B388" s="2" t="s">
        <v>5245</v>
      </c>
      <c r="C388" s="2" t="s">
        <v>5246</v>
      </c>
      <c r="D388" s="2" t="s">
        <v>5247</v>
      </c>
      <c r="F388" s="3" t="s">
        <v>58</v>
      </c>
      <c r="G388" s="3" t="s">
        <v>59</v>
      </c>
      <c r="H388" s="3" t="s">
        <v>58</v>
      </c>
      <c r="I388" s="3" t="s">
        <v>58</v>
      </c>
      <c r="J388" s="3" t="s">
        <v>60</v>
      </c>
      <c r="L388" s="2" t="s">
        <v>5248</v>
      </c>
      <c r="M388" s="3" t="s">
        <v>116</v>
      </c>
      <c r="O388" s="3" t="s">
        <v>65</v>
      </c>
      <c r="P388" s="3" t="s">
        <v>2349</v>
      </c>
      <c r="R388" s="3" t="s">
        <v>67</v>
      </c>
      <c r="S388" s="4">
        <v>16</v>
      </c>
      <c r="T388" s="4">
        <v>16</v>
      </c>
      <c r="U388" s="5" t="s">
        <v>5249</v>
      </c>
      <c r="V388" s="5" t="s">
        <v>5249</v>
      </c>
      <c r="W388" s="5" t="s">
        <v>5250</v>
      </c>
      <c r="X388" s="5" t="s">
        <v>5250</v>
      </c>
      <c r="Y388" s="4">
        <v>372</v>
      </c>
      <c r="Z388" s="4">
        <v>299</v>
      </c>
      <c r="AA388" s="4">
        <v>309</v>
      </c>
      <c r="AB388" s="4">
        <v>4</v>
      </c>
      <c r="AC388" s="4">
        <v>4</v>
      </c>
      <c r="AD388" s="4">
        <v>16</v>
      </c>
      <c r="AE388" s="4">
        <v>16</v>
      </c>
      <c r="AF388" s="4">
        <v>4</v>
      </c>
      <c r="AG388" s="4">
        <v>4</v>
      </c>
      <c r="AH388" s="4">
        <v>5</v>
      </c>
      <c r="AI388" s="4">
        <v>5</v>
      </c>
      <c r="AJ388" s="4">
        <v>8</v>
      </c>
      <c r="AK388" s="4">
        <v>8</v>
      </c>
      <c r="AL388" s="4">
        <v>3</v>
      </c>
      <c r="AM388" s="4">
        <v>3</v>
      </c>
      <c r="AN388" s="4">
        <v>0</v>
      </c>
      <c r="AO388" s="4">
        <v>0</v>
      </c>
      <c r="AP388" s="3" t="s">
        <v>58</v>
      </c>
      <c r="AQ388" s="3" t="s">
        <v>58</v>
      </c>
      <c r="AS388" s="6" t="str">
        <f>HYPERLINK("https://creighton-primo.hosted.exlibrisgroup.com/primo-explore/search?tab=default_tab&amp;search_scope=EVERYTHING&amp;vid=01CRU&amp;lang=en_US&amp;offset=0&amp;query=any,contains,991002919169702656","Catalog Record")</f>
        <v>Catalog Record</v>
      </c>
      <c r="AT388" s="6" t="str">
        <f>HYPERLINK("http://www.worldcat.org/oclc/38724367","WorldCat Record")</f>
        <v>WorldCat Record</v>
      </c>
      <c r="AU388" s="3" t="s">
        <v>5251</v>
      </c>
      <c r="AV388" s="3" t="s">
        <v>5252</v>
      </c>
      <c r="AW388" s="3" t="s">
        <v>5253</v>
      </c>
      <c r="AX388" s="3" t="s">
        <v>5253</v>
      </c>
      <c r="AY388" s="3" t="s">
        <v>5254</v>
      </c>
      <c r="AZ388" s="3" t="s">
        <v>74</v>
      </c>
      <c r="BB388" s="3" t="s">
        <v>5255</v>
      </c>
      <c r="BC388" s="3" t="s">
        <v>5256</v>
      </c>
      <c r="BD388" s="3" t="s">
        <v>5257</v>
      </c>
    </row>
    <row r="389" spans="1:56" ht="45.75" customHeight="1" x14ac:dyDescent="0.25">
      <c r="A389" s="7" t="s">
        <v>58</v>
      </c>
      <c r="B389" s="2" t="s">
        <v>5258</v>
      </c>
      <c r="C389" s="2" t="s">
        <v>5259</v>
      </c>
      <c r="D389" s="2" t="s">
        <v>5260</v>
      </c>
      <c r="F389" s="3" t="s">
        <v>58</v>
      </c>
      <c r="G389" s="3" t="s">
        <v>59</v>
      </c>
      <c r="H389" s="3" t="s">
        <v>58</v>
      </c>
      <c r="I389" s="3" t="s">
        <v>58</v>
      </c>
      <c r="J389" s="3" t="s">
        <v>60</v>
      </c>
      <c r="L389" s="2" t="s">
        <v>5261</v>
      </c>
      <c r="M389" s="3" t="s">
        <v>713</v>
      </c>
      <c r="O389" s="3" t="s">
        <v>65</v>
      </c>
      <c r="P389" s="3" t="s">
        <v>84</v>
      </c>
      <c r="R389" s="3" t="s">
        <v>67</v>
      </c>
      <c r="S389" s="4">
        <v>11</v>
      </c>
      <c r="T389" s="4">
        <v>11</v>
      </c>
      <c r="U389" s="5" t="s">
        <v>5262</v>
      </c>
      <c r="V389" s="5" t="s">
        <v>5262</v>
      </c>
      <c r="W389" s="5" t="s">
        <v>3283</v>
      </c>
      <c r="X389" s="5" t="s">
        <v>3283</v>
      </c>
      <c r="Y389" s="4">
        <v>253</v>
      </c>
      <c r="Z389" s="4">
        <v>207</v>
      </c>
      <c r="AA389" s="4">
        <v>256</v>
      </c>
      <c r="AB389" s="4">
        <v>3</v>
      </c>
      <c r="AC389" s="4">
        <v>3</v>
      </c>
      <c r="AD389" s="4">
        <v>8</v>
      </c>
      <c r="AE389" s="4">
        <v>11</v>
      </c>
      <c r="AF389" s="4">
        <v>3</v>
      </c>
      <c r="AG389" s="4">
        <v>5</v>
      </c>
      <c r="AH389" s="4">
        <v>1</v>
      </c>
      <c r="AI389" s="4">
        <v>3</v>
      </c>
      <c r="AJ389" s="4">
        <v>4</v>
      </c>
      <c r="AK389" s="4">
        <v>4</v>
      </c>
      <c r="AL389" s="4">
        <v>2</v>
      </c>
      <c r="AM389" s="4">
        <v>2</v>
      </c>
      <c r="AN389" s="4">
        <v>0</v>
      </c>
      <c r="AO389" s="4">
        <v>0</v>
      </c>
      <c r="AP389" s="3" t="s">
        <v>58</v>
      </c>
      <c r="AQ389" s="3" t="s">
        <v>87</v>
      </c>
      <c r="AR389" s="6" t="str">
        <f>HYPERLINK("http://catalog.hathitrust.org/Record/000765056","HathiTrust Record")</f>
        <v>HathiTrust Record</v>
      </c>
      <c r="AS389" s="6" t="str">
        <f>HYPERLINK("https://creighton-primo.hosted.exlibrisgroup.com/primo-explore/search?tab=default_tab&amp;search_scope=EVERYTHING&amp;vid=01CRU&amp;lang=en_US&amp;offset=0&amp;query=any,contains,991005088419702656","Catalog Record")</f>
        <v>Catalog Record</v>
      </c>
      <c r="AT389" s="6" t="str">
        <f>HYPERLINK("http://www.worldcat.org/oclc/7203322","WorldCat Record")</f>
        <v>WorldCat Record</v>
      </c>
      <c r="AU389" s="3" t="s">
        <v>5263</v>
      </c>
      <c r="AV389" s="3" t="s">
        <v>5264</v>
      </c>
      <c r="AW389" s="3" t="s">
        <v>5265</v>
      </c>
      <c r="AX389" s="3" t="s">
        <v>5265</v>
      </c>
      <c r="AY389" s="3" t="s">
        <v>5266</v>
      </c>
      <c r="AZ389" s="3" t="s">
        <v>74</v>
      </c>
      <c r="BB389" s="3" t="s">
        <v>5267</v>
      </c>
      <c r="BC389" s="3" t="s">
        <v>5268</v>
      </c>
      <c r="BD389" s="3" t="s">
        <v>5269</v>
      </c>
    </row>
    <row r="390" spans="1:56" ht="45.75" customHeight="1" x14ac:dyDescent="0.25">
      <c r="A390" s="7" t="s">
        <v>58</v>
      </c>
      <c r="B390" s="2" t="s">
        <v>5270</v>
      </c>
      <c r="C390" s="2" t="s">
        <v>5271</v>
      </c>
      <c r="D390" s="2" t="s">
        <v>5272</v>
      </c>
      <c r="F390" s="3" t="s">
        <v>58</v>
      </c>
      <c r="G390" s="3" t="s">
        <v>59</v>
      </c>
      <c r="H390" s="3" t="s">
        <v>58</v>
      </c>
      <c r="I390" s="3" t="s">
        <v>58</v>
      </c>
      <c r="J390" s="3" t="s">
        <v>60</v>
      </c>
      <c r="K390" s="2" t="s">
        <v>5273</v>
      </c>
      <c r="L390" s="2" t="s">
        <v>5274</v>
      </c>
      <c r="M390" s="3" t="s">
        <v>131</v>
      </c>
      <c r="N390" s="2" t="s">
        <v>5275</v>
      </c>
      <c r="O390" s="3" t="s">
        <v>65</v>
      </c>
      <c r="P390" s="3" t="s">
        <v>84</v>
      </c>
      <c r="R390" s="3" t="s">
        <v>67</v>
      </c>
      <c r="S390" s="4">
        <v>9</v>
      </c>
      <c r="T390" s="4">
        <v>9</v>
      </c>
      <c r="U390" s="5" t="s">
        <v>3750</v>
      </c>
      <c r="V390" s="5" t="s">
        <v>3750</v>
      </c>
      <c r="W390" s="5" t="s">
        <v>5276</v>
      </c>
      <c r="X390" s="5" t="s">
        <v>5276</v>
      </c>
      <c r="Y390" s="4">
        <v>348</v>
      </c>
      <c r="Z390" s="4">
        <v>340</v>
      </c>
      <c r="AA390" s="4">
        <v>520</v>
      </c>
      <c r="AB390" s="4">
        <v>2</v>
      </c>
      <c r="AC390" s="4">
        <v>3</v>
      </c>
      <c r="AD390" s="4">
        <v>4</v>
      </c>
      <c r="AE390" s="4">
        <v>5</v>
      </c>
      <c r="AF390" s="4">
        <v>1</v>
      </c>
      <c r="AG390" s="4">
        <v>1</v>
      </c>
      <c r="AH390" s="4">
        <v>2</v>
      </c>
      <c r="AI390" s="4">
        <v>2</v>
      </c>
      <c r="AJ390" s="4">
        <v>0</v>
      </c>
      <c r="AK390" s="4">
        <v>0</v>
      </c>
      <c r="AL390" s="4">
        <v>1</v>
      </c>
      <c r="AM390" s="4">
        <v>2</v>
      </c>
      <c r="AN390" s="4">
        <v>0</v>
      </c>
      <c r="AO390" s="4">
        <v>0</v>
      </c>
      <c r="AP390" s="3" t="s">
        <v>58</v>
      </c>
      <c r="AQ390" s="3" t="s">
        <v>58</v>
      </c>
      <c r="AS390" s="6" t="str">
        <f>HYPERLINK("https://creighton-primo.hosted.exlibrisgroup.com/primo-explore/search?tab=default_tab&amp;search_scope=EVERYTHING&amp;vid=01CRU&amp;lang=en_US&amp;offset=0&amp;query=any,contains,991004957439702656","Catalog Record")</f>
        <v>Catalog Record</v>
      </c>
      <c r="AT390" s="6" t="str">
        <f>HYPERLINK("http://www.worldcat.org/oclc/70107002","WorldCat Record")</f>
        <v>WorldCat Record</v>
      </c>
      <c r="AU390" s="3" t="s">
        <v>5277</v>
      </c>
      <c r="AV390" s="3" t="s">
        <v>5278</v>
      </c>
      <c r="AW390" s="3" t="s">
        <v>5279</v>
      </c>
      <c r="AX390" s="3" t="s">
        <v>5279</v>
      </c>
      <c r="AY390" s="3" t="s">
        <v>5280</v>
      </c>
      <c r="AZ390" s="3" t="s">
        <v>74</v>
      </c>
      <c r="BB390" s="3" t="s">
        <v>5281</v>
      </c>
      <c r="BC390" s="3" t="s">
        <v>5282</v>
      </c>
      <c r="BD390" s="3" t="s">
        <v>5283</v>
      </c>
    </row>
    <row r="391" spans="1:56" ht="45.75" customHeight="1" x14ac:dyDescent="0.25">
      <c r="A391" s="7" t="s">
        <v>58</v>
      </c>
      <c r="B391" s="2" t="s">
        <v>5284</v>
      </c>
      <c r="C391" s="2" t="s">
        <v>5285</v>
      </c>
      <c r="D391" s="2" t="s">
        <v>5286</v>
      </c>
      <c r="F391" s="3" t="s">
        <v>58</v>
      </c>
      <c r="G391" s="3" t="s">
        <v>59</v>
      </c>
      <c r="H391" s="3" t="s">
        <v>58</v>
      </c>
      <c r="I391" s="3" t="s">
        <v>58</v>
      </c>
      <c r="J391" s="3" t="s">
        <v>60</v>
      </c>
      <c r="K391" s="2" t="s">
        <v>5287</v>
      </c>
      <c r="L391" s="2" t="s">
        <v>5288</v>
      </c>
      <c r="M391" s="3" t="s">
        <v>3358</v>
      </c>
      <c r="O391" s="3" t="s">
        <v>65</v>
      </c>
      <c r="P391" s="3" t="s">
        <v>148</v>
      </c>
      <c r="Q391" s="2" t="s">
        <v>5289</v>
      </c>
      <c r="R391" s="3" t="s">
        <v>67</v>
      </c>
      <c r="S391" s="4">
        <v>18</v>
      </c>
      <c r="T391" s="4">
        <v>18</v>
      </c>
      <c r="U391" s="5" t="s">
        <v>473</v>
      </c>
      <c r="V391" s="5" t="s">
        <v>473</v>
      </c>
      <c r="W391" s="5" t="s">
        <v>5290</v>
      </c>
      <c r="X391" s="5" t="s">
        <v>5290</v>
      </c>
      <c r="Y391" s="4">
        <v>238</v>
      </c>
      <c r="Z391" s="4">
        <v>192</v>
      </c>
      <c r="AA391" s="4">
        <v>419</v>
      </c>
      <c r="AB391" s="4">
        <v>3</v>
      </c>
      <c r="AC391" s="4">
        <v>6</v>
      </c>
      <c r="AD391" s="4">
        <v>4</v>
      </c>
      <c r="AE391" s="4">
        <v>12</v>
      </c>
      <c r="AF391" s="4">
        <v>2</v>
      </c>
      <c r="AG391" s="4">
        <v>3</v>
      </c>
      <c r="AH391" s="4">
        <v>0</v>
      </c>
      <c r="AI391" s="4">
        <v>3</v>
      </c>
      <c r="AJ391" s="4">
        <v>0</v>
      </c>
      <c r="AK391" s="4">
        <v>4</v>
      </c>
      <c r="AL391" s="4">
        <v>2</v>
      </c>
      <c r="AM391" s="4">
        <v>4</v>
      </c>
      <c r="AN391" s="4">
        <v>0</v>
      </c>
      <c r="AO391" s="4">
        <v>0</v>
      </c>
      <c r="AP391" s="3" t="s">
        <v>58</v>
      </c>
      <c r="AQ391" s="3" t="s">
        <v>87</v>
      </c>
      <c r="AR391" s="6" t="str">
        <f>HYPERLINK("http://catalog.hathitrust.org/Record/001133708","HathiTrust Record")</f>
        <v>HathiTrust Record</v>
      </c>
      <c r="AS391" s="6" t="str">
        <f>HYPERLINK("https://creighton-primo.hosted.exlibrisgroup.com/primo-explore/search?tab=default_tab&amp;search_scope=EVERYTHING&amp;vid=01CRU&amp;lang=en_US&amp;offset=0&amp;query=any,contains,991002851549702656","Catalog Record")</f>
        <v>Catalog Record</v>
      </c>
      <c r="AT391" s="6" t="str">
        <f>HYPERLINK("http://www.worldcat.org/oclc/487332","WorldCat Record")</f>
        <v>WorldCat Record</v>
      </c>
      <c r="AU391" s="3" t="s">
        <v>5291</v>
      </c>
      <c r="AV391" s="3" t="s">
        <v>5292</v>
      </c>
      <c r="AW391" s="3" t="s">
        <v>5293</v>
      </c>
      <c r="AX391" s="3" t="s">
        <v>5293</v>
      </c>
      <c r="AY391" s="3" t="s">
        <v>5294</v>
      </c>
      <c r="AZ391" s="3" t="s">
        <v>74</v>
      </c>
      <c r="BC391" s="3" t="s">
        <v>5295</v>
      </c>
      <c r="BD391" s="3" t="s">
        <v>5296</v>
      </c>
    </row>
    <row r="392" spans="1:56" ht="45.75" customHeight="1" x14ac:dyDescent="0.25">
      <c r="A392" s="7" t="s">
        <v>58</v>
      </c>
      <c r="B392" s="2" t="s">
        <v>5297</v>
      </c>
      <c r="C392" s="2" t="s">
        <v>5298</v>
      </c>
      <c r="D392" s="2" t="s">
        <v>5299</v>
      </c>
      <c r="F392" s="3" t="s">
        <v>58</v>
      </c>
      <c r="G392" s="3" t="s">
        <v>59</v>
      </c>
      <c r="H392" s="3" t="s">
        <v>58</v>
      </c>
      <c r="I392" s="3" t="s">
        <v>58</v>
      </c>
      <c r="J392" s="3" t="s">
        <v>60</v>
      </c>
      <c r="K392" s="2" t="s">
        <v>5300</v>
      </c>
      <c r="L392" s="2" t="s">
        <v>5301</v>
      </c>
      <c r="M392" s="3" t="s">
        <v>1058</v>
      </c>
      <c r="O392" s="3" t="s">
        <v>65</v>
      </c>
      <c r="P392" s="3" t="s">
        <v>84</v>
      </c>
      <c r="R392" s="3" t="s">
        <v>67</v>
      </c>
      <c r="S392" s="4">
        <v>1</v>
      </c>
      <c r="T392" s="4">
        <v>1</v>
      </c>
      <c r="U392" s="5" t="s">
        <v>5302</v>
      </c>
      <c r="V392" s="5" t="s">
        <v>5302</v>
      </c>
      <c r="W392" s="5" t="s">
        <v>3283</v>
      </c>
      <c r="X392" s="5" t="s">
        <v>3283</v>
      </c>
      <c r="Y392" s="4">
        <v>1052</v>
      </c>
      <c r="Z392" s="4">
        <v>1005</v>
      </c>
      <c r="AA392" s="4">
        <v>1031</v>
      </c>
      <c r="AB392" s="4">
        <v>5</v>
      </c>
      <c r="AC392" s="4">
        <v>5</v>
      </c>
      <c r="AD392" s="4">
        <v>25</v>
      </c>
      <c r="AE392" s="4">
        <v>25</v>
      </c>
      <c r="AF392" s="4">
        <v>9</v>
      </c>
      <c r="AG392" s="4">
        <v>9</v>
      </c>
      <c r="AH392" s="4">
        <v>4</v>
      </c>
      <c r="AI392" s="4">
        <v>4</v>
      </c>
      <c r="AJ392" s="4">
        <v>15</v>
      </c>
      <c r="AK392" s="4">
        <v>15</v>
      </c>
      <c r="AL392" s="4">
        <v>2</v>
      </c>
      <c r="AM392" s="4">
        <v>2</v>
      </c>
      <c r="AN392" s="4">
        <v>1</v>
      </c>
      <c r="AO392" s="4">
        <v>1</v>
      </c>
      <c r="AP392" s="3" t="s">
        <v>58</v>
      </c>
      <c r="AQ392" s="3" t="s">
        <v>58</v>
      </c>
      <c r="AS392" s="6" t="str">
        <f>HYPERLINK("https://creighton-primo.hosted.exlibrisgroup.com/primo-explore/search?tab=default_tab&amp;search_scope=EVERYTHING&amp;vid=01CRU&amp;lang=en_US&amp;offset=0&amp;query=any,contains,991001195069702656","Catalog Record")</f>
        <v>Catalog Record</v>
      </c>
      <c r="AT392" s="6" t="str">
        <f>HYPERLINK("http://www.worldcat.org/oclc/17265710","WorldCat Record")</f>
        <v>WorldCat Record</v>
      </c>
      <c r="AU392" s="3" t="s">
        <v>5303</v>
      </c>
      <c r="AV392" s="3" t="s">
        <v>5304</v>
      </c>
      <c r="AW392" s="3" t="s">
        <v>5305</v>
      </c>
      <c r="AX392" s="3" t="s">
        <v>5305</v>
      </c>
      <c r="AY392" s="3" t="s">
        <v>5306</v>
      </c>
      <c r="AZ392" s="3" t="s">
        <v>74</v>
      </c>
      <c r="BB392" s="3" t="s">
        <v>5307</v>
      </c>
      <c r="BC392" s="3" t="s">
        <v>5308</v>
      </c>
      <c r="BD392" s="3" t="s">
        <v>5309</v>
      </c>
    </row>
    <row r="393" spans="1:56" ht="45.75" customHeight="1" x14ac:dyDescent="0.25">
      <c r="A393" s="7" t="s">
        <v>58</v>
      </c>
      <c r="B393" s="2" t="s">
        <v>5310</v>
      </c>
      <c r="C393" s="2" t="s">
        <v>5311</v>
      </c>
      <c r="D393" s="2" t="s">
        <v>5312</v>
      </c>
      <c r="F393" s="3" t="s">
        <v>58</v>
      </c>
      <c r="G393" s="3" t="s">
        <v>59</v>
      </c>
      <c r="H393" s="3" t="s">
        <v>58</v>
      </c>
      <c r="I393" s="3" t="s">
        <v>58</v>
      </c>
      <c r="J393" s="3" t="s">
        <v>60</v>
      </c>
      <c r="K393" s="2" t="s">
        <v>5313</v>
      </c>
      <c r="L393" s="2" t="s">
        <v>5314</v>
      </c>
      <c r="M393" s="3" t="s">
        <v>1088</v>
      </c>
      <c r="N393" s="2" t="s">
        <v>685</v>
      </c>
      <c r="O393" s="3" t="s">
        <v>65</v>
      </c>
      <c r="P393" s="3" t="s">
        <v>84</v>
      </c>
      <c r="R393" s="3" t="s">
        <v>67</v>
      </c>
      <c r="S393" s="4">
        <v>5</v>
      </c>
      <c r="T393" s="4">
        <v>5</v>
      </c>
      <c r="U393" s="5" t="s">
        <v>5315</v>
      </c>
      <c r="V393" s="5" t="s">
        <v>5315</v>
      </c>
      <c r="W393" s="5" t="s">
        <v>5316</v>
      </c>
      <c r="X393" s="5" t="s">
        <v>5316</v>
      </c>
      <c r="Y393" s="4">
        <v>344</v>
      </c>
      <c r="Z393" s="4">
        <v>304</v>
      </c>
      <c r="AA393" s="4">
        <v>848</v>
      </c>
      <c r="AB393" s="4">
        <v>1</v>
      </c>
      <c r="AC393" s="4">
        <v>6</v>
      </c>
      <c r="AD393" s="4">
        <v>13</v>
      </c>
      <c r="AE393" s="4">
        <v>25</v>
      </c>
      <c r="AF393" s="4">
        <v>5</v>
      </c>
      <c r="AG393" s="4">
        <v>9</v>
      </c>
      <c r="AH393" s="4">
        <v>2</v>
      </c>
      <c r="AI393" s="4">
        <v>5</v>
      </c>
      <c r="AJ393" s="4">
        <v>11</v>
      </c>
      <c r="AK393" s="4">
        <v>13</v>
      </c>
      <c r="AL393" s="4">
        <v>0</v>
      </c>
      <c r="AM393" s="4">
        <v>2</v>
      </c>
      <c r="AN393" s="4">
        <v>0</v>
      </c>
      <c r="AO393" s="4">
        <v>2</v>
      </c>
      <c r="AP393" s="3" t="s">
        <v>58</v>
      </c>
      <c r="AQ393" s="3" t="s">
        <v>58</v>
      </c>
      <c r="AS393" s="6" t="str">
        <f>HYPERLINK("https://creighton-primo.hosted.exlibrisgroup.com/primo-explore/search?tab=default_tab&amp;search_scope=EVERYTHING&amp;vid=01CRU&amp;lang=en_US&amp;offset=0&amp;query=any,contains,991000727889702656","Catalog Record")</f>
        <v>Catalog Record</v>
      </c>
      <c r="AT393" s="6" t="str">
        <f>HYPERLINK("http://www.worldcat.org/oclc/12714959","WorldCat Record")</f>
        <v>WorldCat Record</v>
      </c>
      <c r="AU393" s="3" t="s">
        <v>5317</v>
      </c>
      <c r="AV393" s="3" t="s">
        <v>5318</v>
      </c>
      <c r="AW393" s="3" t="s">
        <v>5319</v>
      </c>
      <c r="AX393" s="3" t="s">
        <v>5319</v>
      </c>
      <c r="AY393" s="3" t="s">
        <v>5320</v>
      </c>
      <c r="AZ393" s="3" t="s">
        <v>74</v>
      </c>
      <c r="BB393" s="3" t="s">
        <v>5321</v>
      </c>
      <c r="BC393" s="3" t="s">
        <v>5322</v>
      </c>
      <c r="BD393" s="3" t="s">
        <v>5323</v>
      </c>
    </row>
    <row r="394" spans="1:56" ht="45.75" customHeight="1" x14ac:dyDescent="0.25">
      <c r="A394" s="7" t="s">
        <v>58</v>
      </c>
      <c r="B394" s="2" t="s">
        <v>5324</v>
      </c>
      <c r="C394" s="2" t="s">
        <v>5325</v>
      </c>
      <c r="D394" s="2" t="s">
        <v>5326</v>
      </c>
      <c r="F394" s="3" t="s">
        <v>58</v>
      </c>
      <c r="G394" s="3" t="s">
        <v>59</v>
      </c>
      <c r="H394" s="3" t="s">
        <v>58</v>
      </c>
      <c r="I394" s="3" t="s">
        <v>58</v>
      </c>
      <c r="J394" s="3" t="s">
        <v>60</v>
      </c>
      <c r="K394" s="2" t="s">
        <v>5327</v>
      </c>
      <c r="L394" s="2" t="s">
        <v>5328</v>
      </c>
      <c r="M394" s="3" t="s">
        <v>800</v>
      </c>
      <c r="O394" s="3" t="s">
        <v>65</v>
      </c>
      <c r="P394" s="3" t="s">
        <v>204</v>
      </c>
      <c r="Q394" s="2" t="s">
        <v>5329</v>
      </c>
      <c r="R394" s="3" t="s">
        <v>67</v>
      </c>
      <c r="S394" s="4">
        <v>1</v>
      </c>
      <c r="T394" s="4">
        <v>1</v>
      </c>
      <c r="U394" s="5" t="s">
        <v>5330</v>
      </c>
      <c r="V394" s="5" t="s">
        <v>5330</v>
      </c>
      <c r="W394" s="5" t="s">
        <v>5330</v>
      </c>
      <c r="X394" s="5" t="s">
        <v>5330</v>
      </c>
      <c r="Y394" s="4">
        <v>421</v>
      </c>
      <c r="Z394" s="4">
        <v>378</v>
      </c>
      <c r="AA394" s="4">
        <v>383</v>
      </c>
      <c r="AB394" s="4">
        <v>2</v>
      </c>
      <c r="AC394" s="4">
        <v>2</v>
      </c>
      <c r="AD394" s="4">
        <v>14</v>
      </c>
      <c r="AE394" s="4">
        <v>14</v>
      </c>
      <c r="AF394" s="4">
        <v>7</v>
      </c>
      <c r="AG394" s="4">
        <v>7</v>
      </c>
      <c r="AH394" s="4">
        <v>4</v>
      </c>
      <c r="AI394" s="4">
        <v>4</v>
      </c>
      <c r="AJ394" s="4">
        <v>7</v>
      </c>
      <c r="AK394" s="4">
        <v>7</v>
      </c>
      <c r="AL394" s="4">
        <v>1</v>
      </c>
      <c r="AM394" s="4">
        <v>1</v>
      </c>
      <c r="AN394" s="4">
        <v>0</v>
      </c>
      <c r="AO394" s="4">
        <v>0</v>
      </c>
      <c r="AP394" s="3" t="s">
        <v>58</v>
      </c>
      <c r="AQ394" s="3" t="s">
        <v>58</v>
      </c>
      <c r="AS394" s="6" t="str">
        <f>HYPERLINK("https://creighton-primo.hosted.exlibrisgroup.com/primo-explore/search?tab=default_tab&amp;search_scope=EVERYTHING&amp;vid=01CRU&amp;lang=en_US&amp;offset=0&amp;query=any,contains,991003933019702656","Catalog Record")</f>
        <v>Catalog Record</v>
      </c>
      <c r="AT394" s="6" t="str">
        <f>HYPERLINK("http://www.worldcat.org/oclc/23647818","WorldCat Record")</f>
        <v>WorldCat Record</v>
      </c>
      <c r="AU394" s="3" t="s">
        <v>5331</v>
      </c>
      <c r="AV394" s="3" t="s">
        <v>5332</v>
      </c>
      <c r="AW394" s="3" t="s">
        <v>5333</v>
      </c>
      <c r="AX394" s="3" t="s">
        <v>5333</v>
      </c>
      <c r="AY394" s="3" t="s">
        <v>5334</v>
      </c>
      <c r="AZ394" s="3" t="s">
        <v>74</v>
      </c>
      <c r="BB394" s="3" t="s">
        <v>5335</v>
      </c>
      <c r="BC394" s="3" t="s">
        <v>5336</v>
      </c>
      <c r="BD394" s="3" t="s">
        <v>5337</v>
      </c>
    </row>
    <row r="395" spans="1:56" ht="45.75" customHeight="1" x14ac:dyDescent="0.25">
      <c r="A395" s="7" t="s">
        <v>58</v>
      </c>
      <c r="B395" s="2" t="s">
        <v>5338</v>
      </c>
      <c r="C395" s="2" t="s">
        <v>5339</v>
      </c>
      <c r="D395" s="2" t="s">
        <v>5340</v>
      </c>
      <c r="F395" s="3" t="s">
        <v>58</v>
      </c>
      <c r="G395" s="3" t="s">
        <v>59</v>
      </c>
      <c r="H395" s="3" t="s">
        <v>58</v>
      </c>
      <c r="I395" s="3" t="s">
        <v>58</v>
      </c>
      <c r="J395" s="3" t="s">
        <v>60</v>
      </c>
      <c r="K395" s="2" t="s">
        <v>5341</v>
      </c>
      <c r="L395" s="2" t="s">
        <v>5342</v>
      </c>
      <c r="M395" s="3" t="s">
        <v>116</v>
      </c>
      <c r="N395" s="2" t="s">
        <v>486</v>
      </c>
      <c r="O395" s="3" t="s">
        <v>65</v>
      </c>
      <c r="P395" s="3" t="s">
        <v>84</v>
      </c>
      <c r="R395" s="3" t="s">
        <v>67</v>
      </c>
      <c r="S395" s="4">
        <v>6</v>
      </c>
      <c r="T395" s="4">
        <v>6</v>
      </c>
      <c r="U395" s="5" t="s">
        <v>5343</v>
      </c>
      <c r="V395" s="5" t="s">
        <v>5343</v>
      </c>
      <c r="W395" s="5" t="s">
        <v>5344</v>
      </c>
      <c r="X395" s="5" t="s">
        <v>5344</v>
      </c>
      <c r="Y395" s="4">
        <v>1059</v>
      </c>
      <c r="Z395" s="4">
        <v>1010</v>
      </c>
      <c r="AA395" s="4">
        <v>1214</v>
      </c>
      <c r="AB395" s="4">
        <v>8</v>
      </c>
      <c r="AC395" s="4">
        <v>9</v>
      </c>
      <c r="AD395" s="4">
        <v>24</v>
      </c>
      <c r="AE395" s="4">
        <v>30</v>
      </c>
      <c r="AF395" s="4">
        <v>10</v>
      </c>
      <c r="AG395" s="4">
        <v>12</v>
      </c>
      <c r="AH395" s="4">
        <v>5</v>
      </c>
      <c r="AI395" s="4">
        <v>7</v>
      </c>
      <c r="AJ395" s="4">
        <v>12</v>
      </c>
      <c r="AK395" s="4">
        <v>15</v>
      </c>
      <c r="AL395" s="4">
        <v>4</v>
      </c>
      <c r="AM395" s="4">
        <v>5</v>
      </c>
      <c r="AN395" s="4">
        <v>0</v>
      </c>
      <c r="AO395" s="4">
        <v>0</v>
      </c>
      <c r="AP395" s="3" t="s">
        <v>58</v>
      </c>
      <c r="AQ395" s="3" t="s">
        <v>58</v>
      </c>
      <c r="AS395" s="6" t="str">
        <f>HYPERLINK("https://creighton-primo.hosted.exlibrisgroup.com/primo-explore/search?tab=default_tab&amp;search_scope=EVERYTHING&amp;vid=01CRU&amp;lang=en_US&amp;offset=0&amp;query=any,contains,991002916299702656","Catalog Record")</f>
        <v>Catalog Record</v>
      </c>
      <c r="AT395" s="6" t="str">
        <f>HYPERLINK("http://www.worldcat.org/oclc/38557333","WorldCat Record")</f>
        <v>WorldCat Record</v>
      </c>
      <c r="AU395" s="3" t="s">
        <v>5345</v>
      </c>
      <c r="AV395" s="3" t="s">
        <v>5346</v>
      </c>
      <c r="AW395" s="3" t="s">
        <v>5347</v>
      </c>
      <c r="AX395" s="3" t="s">
        <v>5347</v>
      </c>
      <c r="AY395" s="3" t="s">
        <v>5348</v>
      </c>
      <c r="AZ395" s="3" t="s">
        <v>74</v>
      </c>
      <c r="BB395" s="3" t="s">
        <v>5349</v>
      </c>
      <c r="BC395" s="3" t="s">
        <v>5350</v>
      </c>
      <c r="BD395" s="3" t="s">
        <v>5351</v>
      </c>
    </row>
    <row r="396" spans="1:56" ht="45.75" customHeight="1" x14ac:dyDescent="0.25">
      <c r="A396" s="7" t="s">
        <v>58</v>
      </c>
      <c r="B396" s="2" t="s">
        <v>5352</v>
      </c>
      <c r="C396" s="2" t="s">
        <v>5353</v>
      </c>
      <c r="D396" s="2" t="s">
        <v>5354</v>
      </c>
      <c r="F396" s="3" t="s">
        <v>58</v>
      </c>
      <c r="G396" s="3" t="s">
        <v>59</v>
      </c>
      <c r="H396" s="3" t="s">
        <v>58</v>
      </c>
      <c r="I396" s="3" t="s">
        <v>58</v>
      </c>
      <c r="J396" s="3" t="s">
        <v>60</v>
      </c>
      <c r="K396" s="2" t="s">
        <v>5355</v>
      </c>
      <c r="L396" s="2" t="s">
        <v>5356</v>
      </c>
      <c r="M396" s="3" t="s">
        <v>2506</v>
      </c>
      <c r="O396" s="3" t="s">
        <v>65</v>
      </c>
      <c r="P396" s="3" t="s">
        <v>336</v>
      </c>
      <c r="Q396" s="2" t="s">
        <v>5357</v>
      </c>
      <c r="R396" s="3" t="s">
        <v>67</v>
      </c>
      <c r="S396" s="4">
        <v>5</v>
      </c>
      <c r="T396" s="4">
        <v>5</v>
      </c>
      <c r="U396" s="5" t="s">
        <v>5343</v>
      </c>
      <c r="V396" s="5" t="s">
        <v>5343</v>
      </c>
      <c r="W396" s="5" t="s">
        <v>5358</v>
      </c>
      <c r="X396" s="5" t="s">
        <v>5358</v>
      </c>
      <c r="Y396" s="4">
        <v>265</v>
      </c>
      <c r="Z396" s="4">
        <v>233</v>
      </c>
      <c r="AA396" s="4">
        <v>402</v>
      </c>
      <c r="AB396" s="4">
        <v>3</v>
      </c>
      <c r="AC396" s="4">
        <v>4</v>
      </c>
      <c r="AD396" s="4">
        <v>11</v>
      </c>
      <c r="AE396" s="4">
        <v>19</v>
      </c>
      <c r="AF396" s="4">
        <v>5</v>
      </c>
      <c r="AG396" s="4">
        <v>9</v>
      </c>
      <c r="AH396" s="4">
        <v>1</v>
      </c>
      <c r="AI396" s="4">
        <v>3</v>
      </c>
      <c r="AJ396" s="4">
        <v>4</v>
      </c>
      <c r="AK396" s="4">
        <v>7</v>
      </c>
      <c r="AL396" s="4">
        <v>2</v>
      </c>
      <c r="AM396" s="4">
        <v>3</v>
      </c>
      <c r="AN396" s="4">
        <v>1</v>
      </c>
      <c r="AO396" s="4">
        <v>1</v>
      </c>
      <c r="AP396" s="3" t="s">
        <v>58</v>
      </c>
      <c r="AQ396" s="3" t="s">
        <v>87</v>
      </c>
      <c r="AR396" s="6" t="str">
        <f>HYPERLINK("http://catalog.hathitrust.org/Record/002242785","HathiTrust Record")</f>
        <v>HathiTrust Record</v>
      </c>
      <c r="AS396" s="6" t="str">
        <f>HYPERLINK("https://creighton-primo.hosted.exlibrisgroup.com/primo-explore/search?tab=default_tab&amp;search_scope=EVERYTHING&amp;vid=01CRU&amp;lang=en_US&amp;offset=0&amp;query=any,contains,991000569369702656","Catalog Record")</f>
        <v>Catalog Record</v>
      </c>
      <c r="AT396" s="6" t="str">
        <f>HYPERLINK("http://www.worldcat.org/oclc/94698","WorldCat Record")</f>
        <v>WorldCat Record</v>
      </c>
      <c r="AU396" s="3" t="s">
        <v>5359</v>
      </c>
      <c r="AV396" s="3" t="s">
        <v>5360</v>
      </c>
      <c r="AW396" s="3" t="s">
        <v>5361</v>
      </c>
      <c r="AX396" s="3" t="s">
        <v>5361</v>
      </c>
      <c r="AY396" s="3" t="s">
        <v>5362</v>
      </c>
      <c r="AZ396" s="3" t="s">
        <v>74</v>
      </c>
      <c r="BB396" s="3" t="s">
        <v>5363</v>
      </c>
      <c r="BC396" s="3" t="s">
        <v>5364</v>
      </c>
      <c r="BD396" s="3" t="s">
        <v>5365</v>
      </c>
    </row>
    <row r="397" spans="1:56" ht="45.75" customHeight="1" x14ac:dyDescent="0.25">
      <c r="A397" s="7" t="s">
        <v>58</v>
      </c>
      <c r="B397" s="2" t="s">
        <v>5366</v>
      </c>
      <c r="C397" s="2" t="s">
        <v>5367</v>
      </c>
      <c r="D397" s="2" t="s">
        <v>5368</v>
      </c>
      <c r="F397" s="3" t="s">
        <v>58</v>
      </c>
      <c r="G397" s="3" t="s">
        <v>59</v>
      </c>
      <c r="H397" s="3" t="s">
        <v>58</v>
      </c>
      <c r="I397" s="3" t="s">
        <v>58</v>
      </c>
      <c r="J397" s="3" t="s">
        <v>60</v>
      </c>
      <c r="L397" s="2" t="s">
        <v>5369</v>
      </c>
      <c r="M397" s="3" t="s">
        <v>1485</v>
      </c>
      <c r="O397" s="3" t="s">
        <v>65</v>
      </c>
      <c r="P397" s="3" t="s">
        <v>84</v>
      </c>
      <c r="R397" s="3" t="s">
        <v>67</v>
      </c>
      <c r="S397" s="4">
        <v>10</v>
      </c>
      <c r="T397" s="4">
        <v>10</v>
      </c>
      <c r="U397" s="5" t="s">
        <v>5370</v>
      </c>
      <c r="V397" s="5" t="s">
        <v>5370</v>
      </c>
      <c r="W397" s="5" t="s">
        <v>5371</v>
      </c>
      <c r="X397" s="5" t="s">
        <v>5371</v>
      </c>
      <c r="Y397" s="4">
        <v>471</v>
      </c>
      <c r="Z397" s="4">
        <v>414</v>
      </c>
      <c r="AA397" s="4">
        <v>427</v>
      </c>
      <c r="AB397" s="4">
        <v>3</v>
      </c>
      <c r="AC397" s="4">
        <v>3</v>
      </c>
      <c r="AD397" s="4">
        <v>19</v>
      </c>
      <c r="AE397" s="4">
        <v>19</v>
      </c>
      <c r="AF397" s="4">
        <v>7</v>
      </c>
      <c r="AG397" s="4">
        <v>7</v>
      </c>
      <c r="AH397" s="4">
        <v>5</v>
      </c>
      <c r="AI397" s="4">
        <v>5</v>
      </c>
      <c r="AJ397" s="4">
        <v>9</v>
      </c>
      <c r="AK397" s="4">
        <v>9</v>
      </c>
      <c r="AL397" s="4">
        <v>2</v>
      </c>
      <c r="AM397" s="4">
        <v>2</v>
      </c>
      <c r="AN397" s="4">
        <v>0</v>
      </c>
      <c r="AO397" s="4">
        <v>0</v>
      </c>
      <c r="AP397" s="3" t="s">
        <v>58</v>
      </c>
      <c r="AQ397" s="3" t="s">
        <v>87</v>
      </c>
      <c r="AR397" s="6" t="str">
        <f>HYPERLINK("http://catalog.hathitrust.org/Record/000104044","HathiTrust Record")</f>
        <v>HathiTrust Record</v>
      </c>
      <c r="AS397" s="6" t="str">
        <f>HYPERLINK("https://creighton-primo.hosted.exlibrisgroup.com/primo-explore/search?tab=default_tab&amp;search_scope=EVERYTHING&amp;vid=01CRU&amp;lang=en_US&amp;offset=0&amp;query=any,contains,991004316069702656","Catalog Record")</f>
        <v>Catalog Record</v>
      </c>
      <c r="AT397" s="6" t="str">
        <f>HYPERLINK("http://www.worldcat.org/oclc/3003966","WorldCat Record")</f>
        <v>WorldCat Record</v>
      </c>
      <c r="AU397" s="3" t="s">
        <v>5372</v>
      </c>
      <c r="AV397" s="3" t="s">
        <v>5373</v>
      </c>
      <c r="AW397" s="3" t="s">
        <v>5374</v>
      </c>
      <c r="AX397" s="3" t="s">
        <v>5374</v>
      </c>
      <c r="AY397" s="3" t="s">
        <v>5375</v>
      </c>
      <c r="AZ397" s="3" t="s">
        <v>74</v>
      </c>
      <c r="BC397" s="3" t="s">
        <v>5376</v>
      </c>
      <c r="BD397" s="3" t="s">
        <v>5377</v>
      </c>
    </row>
    <row r="398" spans="1:56" ht="45.75" customHeight="1" x14ac:dyDescent="0.25">
      <c r="A398" s="7" t="s">
        <v>58</v>
      </c>
      <c r="B398" s="2" t="s">
        <v>5378</v>
      </c>
      <c r="C398" s="2" t="s">
        <v>5379</v>
      </c>
      <c r="D398" s="2" t="s">
        <v>5380</v>
      </c>
      <c r="F398" s="3" t="s">
        <v>58</v>
      </c>
      <c r="G398" s="3" t="s">
        <v>59</v>
      </c>
      <c r="H398" s="3" t="s">
        <v>58</v>
      </c>
      <c r="I398" s="3" t="s">
        <v>58</v>
      </c>
      <c r="J398" s="3" t="s">
        <v>60</v>
      </c>
      <c r="K398" s="2" t="s">
        <v>5381</v>
      </c>
      <c r="L398" s="2" t="s">
        <v>5382</v>
      </c>
      <c r="M398" s="3" t="s">
        <v>1058</v>
      </c>
      <c r="O398" s="3" t="s">
        <v>65</v>
      </c>
      <c r="P398" s="3" t="s">
        <v>132</v>
      </c>
      <c r="R398" s="3" t="s">
        <v>67</v>
      </c>
      <c r="S398" s="4">
        <v>8</v>
      </c>
      <c r="T398" s="4">
        <v>8</v>
      </c>
      <c r="U398" s="5" t="s">
        <v>2229</v>
      </c>
      <c r="V398" s="5" t="s">
        <v>2229</v>
      </c>
      <c r="W398" s="5" t="s">
        <v>4293</v>
      </c>
      <c r="X398" s="5" t="s">
        <v>4293</v>
      </c>
      <c r="Y398" s="4">
        <v>417</v>
      </c>
      <c r="Z398" s="4">
        <v>366</v>
      </c>
      <c r="AA398" s="4">
        <v>367</v>
      </c>
      <c r="AB398" s="4">
        <v>3</v>
      </c>
      <c r="AC398" s="4">
        <v>3</v>
      </c>
      <c r="AD398" s="4">
        <v>15</v>
      </c>
      <c r="AE398" s="4">
        <v>15</v>
      </c>
      <c r="AF398" s="4">
        <v>4</v>
      </c>
      <c r="AG398" s="4">
        <v>4</v>
      </c>
      <c r="AH398" s="4">
        <v>4</v>
      </c>
      <c r="AI398" s="4">
        <v>4</v>
      </c>
      <c r="AJ398" s="4">
        <v>9</v>
      </c>
      <c r="AK398" s="4">
        <v>9</v>
      </c>
      <c r="AL398" s="4">
        <v>2</v>
      </c>
      <c r="AM398" s="4">
        <v>2</v>
      </c>
      <c r="AN398" s="4">
        <v>0</v>
      </c>
      <c r="AO398" s="4">
        <v>0</v>
      </c>
      <c r="AP398" s="3" t="s">
        <v>58</v>
      </c>
      <c r="AQ398" s="3" t="s">
        <v>58</v>
      </c>
      <c r="AS398" s="6" t="str">
        <f>HYPERLINK("https://creighton-primo.hosted.exlibrisgroup.com/primo-explore/search?tab=default_tab&amp;search_scope=EVERYTHING&amp;vid=01CRU&amp;lang=en_US&amp;offset=0&amp;query=any,contains,991001194599702656","Catalog Record")</f>
        <v>Catalog Record</v>
      </c>
      <c r="AT398" s="6" t="str">
        <f>HYPERLINK("http://www.worldcat.org/oclc/17265157","WorldCat Record")</f>
        <v>WorldCat Record</v>
      </c>
      <c r="AU398" s="3" t="s">
        <v>5383</v>
      </c>
      <c r="AV398" s="3" t="s">
        <v>5384</v>
      </c>
      <c r="AW398" s="3" t="s">
        <v>5385</v>
      </c>
      <c r="AX398" s="3" t="s">
        <v>5385</v>
      </c>
      <c r="AY398" s="3" t="s">
        <v>5386</v>
      </c>
      <c r="AZ398" s="3" t="s">
        <v>74</v>
      </c>
      <c r="BB398" s="3" t="s">
        <v>5387</v>
      </c>
      <c r="BC398" s="3" t="s">
        <v>5388</v>
      </c>
      <c r="BD398" s="3" t="s">
        <v>5389</v>
      </c>
    </row>
    <row r="399" spans="1:56" ht="45.75" customHeight="1" x14ac:dyDescent="0.25">
      <c r="A399" s="7" t="s">
        <v>58</v>
      </c>
      <c r="B399" s="2" t="s">
        <v>5390</v>
      </c>
      <c r="C399" s="2" t="s">
        <v>5391</v>
      </c>
      <c r="D399" s="2" t="s">
        <v>5392</v>
      </c>
      <c r="F399" s="3" t="s">
        <v>58</v>
      </c>
      <c r="G399" s="3" t="s">
        <v>59</v>
      </c>
      <c r="H399" s="3" t="s">
        <v>58</v>
      </c>
      <c r="I399" s="3" t="s">
        <v>58</v>
      </c>
      <c r="J399" s="3" t="s">
        <v>60</v>
      </c>
      <c r="K399" s="2" t="s">
        <v>5393</v>
      </c>
      <c r="L399" s="2" t="s">
        <v>5394</v>
      </c>
      <c r="M399" s="3" t="s">
        <v>557</v>
      </c>
      <c r="O399" s="3" t="s">
        <v>65</v>
      </c>
      <c r="P399" s="3" t="s">
        <v>84</v>
      </c>
      <c r="Q399" s="2" t="s">
        <v>5395</v>
      </c>
      <c r="R399" s="3" t="s">
        <v>67</v>
      </c>
      <c r="S399" s="4">
        <v>16</v>
      </c>
      <c r="T399" s="4">
        <v>16</v>
      </c>
      <c r="U399" s="5" t="s">
        <v>1325</v>
      </c>
      <c r="V399" s="5" t="s">
        <v>1325</v>
      </c>
      <c r="W399" s="5" t="s">
        <v>1973</v>
      </c>
      <c r="X399" s="5" t="s">
        <v>1973</v>
      </c>
      <c r="Y399" s="4">
        <v>371</v>
      </c>
      <c r="Z399" s="4">
        <v>328</v>
      </c>
      <c r="AA399" s="4">
        <v>335</v>
      </c>
      <c r="AB399" s="4">
        <v>4</v>
      </c>
      <c r="AC399" s="4">
        <v>4</v>
      </c>
      <c r="AD399" s="4">
        <v>17</v>
      </c>
      <c r="AE399" s="4">
        <v>17</v>
      </c>
      <c r="AF399" s="4">
        <v>5</v>
      </c>
      <c r="AG399" s="4">
        <v>5</v>
      </c>
      <c r="AH399" s="4">
        <v>3</v>
      </c>
      <c r="AI399" s="4">
        <v>3</v>
      </c>
      <c r="AJ399" s="4">
        <v>10</v>
      </c>
      <c r="AK399" s="4">
        <v>10</v>
      </c>
      <c r="AL399" s="4">
        <v>3</v>
      </c>
      <c r="AM399" s="4">
        <v>3</v>
      </c>
      <c r="AN399" s="4">
        <v>1</v>
      </c>
      <c r="AO399" s="4">
        <v>1</v>
      </c>
      <c r="AP399" s="3" t="s">
        <v>58</v>
      </c>
      <c r="AQ399" s="3" t="s">
        <v>87</v>
      </c>
      <c r="AR399" s="6" t="str">
        <f>HYPERLINK("http://catalog.hathitrust.org/Record/002638267","HathiTrust Record")</f>
        <v>HathiTrust Record</v>
      </c>
      <c r="AS399" s="6" t="str">
        <f>HYPERLINK("https://creighton-primo.hosted.exlibrisgroup.com/primo-explore/search?tab=default_tab&amp;search_scope=EVERYTHING&amp;vid=01CRU&amp;lang=en_US&amp;offset=0&amp;query=any,contains,991002061719702656","Catalog Record")</f>
        <v>Catalog Record</v>
      </c>
      <c r="AT399" s="6" t="str">
        <f>HYPERLINK("http://www.worldcat.org/oclc/26395853","WorldCat Record")</f>
        <v>WorldCat Record</v>
      </c>
      <c r="AU399" s="3" t="s">
        <v>5396</v>
      </c>
      <c r="AV399" s="3" t="s">
        <v>5397</v>
      </c>
      <c r="AW399" s="3" t="s">
        <v>5398</v>
      </c>
      <c r="AX399" s="3" t="s">
        <v>5398</v>
      </c>
      <c r="AY399" s="3" t="s">
        <v>5399</v>
      </c>
      <c r="AZ399" s="3" t="s">
        <v>74</v>
      </c>
      <c r="BB399" s="3" t="s">
        <v>5400</v>
      </c>
      <c r="BC399" s="3" t="s">
        <v>5401</v>
      </c>
      <c r="BD399" s="3" t="s">
        <v>5402</v>
      </c>
    </row>
    <row r="400" spans="1:56" ht="45.75" customHeight="1" x14ac:dyDescent="0.25">
      <c r="A400" s="7" t="s">
        <v>58</v>
      </c>
      <c r="B400" s="2" t="s">
        <v>5403</v>
      </c>
      <c r="C400" s="2" t="s">
        <v>5404</v>
      </c>
      <c r="D400" s="2" t="s">
        <v>5405</v>
      </c>
      <c r="F400" s="3" t="s">
        <v>58</v>
      </c>
      <c r="G400" s="3" t="s">
        <v>59</v>
      </c>
      <c r="H400" s="3" t="s">
        <v>87</v>
      </c>
      <c r="I400" s="3" t="s">
        <v>58</v>
      </c>
      <c r="J400" s="3" t="s">
        <v>60</v>
      </c>
      <c r="K400" s="2" t="s">
        <v>5406</v>
      </c>
      <c r="L400" s="2" t="s">
        <v>5407</v>
      </c>
      <c r="M400" s="3" t="s">
        <v>419</v>
      </c>
      <c r="O400" s="3" t="s">
        <v>65</v>
      </c>
      <c r="P400" s="3" t="s">
        <v>175</v>
      </c>
      <c r="Q400" s="2" t="s">
        <v>5408</v>
      </c>
      <c r="R400" s="3" t="s">
        <v>67</v>
      </c>
      <c r="S400" s="4">
        <v>2</v>
      </c>
      <c r="T400" s="4">
        <v>2</v>
      </c>
      <c r="U400" s="5" t="s">
        <v>5409</v>
      </c>
      <c r="V400" s="5" t="s">
        <v>5409</v>
      </c>
      <c r="W400" s="5" t="s">
        <v>5410</v>
      </c>
      <c r="X400" s="5" t="s">
        <v>5411</v>
      </c>
      <c r="Y400" s="4">
        <v>63</v>
      </c>
      <c r="Z400" s="4">
        <v>38</v>
      </c>
      <c r="AA400" s="4">
        <v>345</v>
      </c>
      <c r="AB400" s="4">
        <v>2</v>
      </c>
      <c r="AC400" s="4">
        <v>4</v>
      </c>
      <c r="AD400" s="4">
        <v>1</v>
      </c>
      <c r="AE400" s="4">
        <v>23</v>
      </c>
      <c r="AF400" s="4">
        <v>0</v>
      </c>
      <c r="AG400" s="4">
        <v>5</v>
      </c>
      <c r="AH400" s="4">
        <v>0</v>
      </c>
      <c r="AI400" s="4">
        <v>6</v>
      </c>
      <c r="AJ400" s="4">
        <v>0</v>
      </c>
      <c r="AK400" s="4">
        <v>13</v>
      </c>
      <c r="AL400" s="4">
        <v>0</v>
      </c>
      <c r="AM400" s="4">
        <v>2</v>
      </c>
      <c r="AN400" s="4">
        <v>1</v>
      </c>
      <c r="AO400" s="4">
        <v>3</v>
      </c>
      <c r="AP400" s="3" t="s">
        <v>58</v>
      </c>
      <c r="AQ400" s="3" t="s">
        <v>58</v>
      </c>
      <c r="AS400" s="6" t="str">
        <f>HYPERLINK("https://creighton-primo.hosted.exlibrisgroup.com/primo-explore/search?tab=default_tab&amp;search_scope=EVERYTHING&amp;vid=01CRU&amp;lang=en_US&amp;offset=0&amp;query=any,contains,991001708869702656","Catalog Record")</f>
        <v>Catalog Record</v>
      </c>
      <c r="AT400" s="6" t="str">
        <f>HYPERLINK("http://www.worldcat.org/oclc/43541127","WorldCat Record")</f>
        <v>WorldCat Record</v>
      </c>
      <c r="AU400" s="3" t="s">
        <v>5412</v>
      </c>
      <c r="AV400" s="3" t="s">
        <v>5413</v>
      </c>
      <c r="AW400" s="3" t="s">
        <v>5414</v>
      </c>
      <c r="AX400" s="3" t="s">
        <v>5414</v>
      </c>
      <c r="AY400" s="3" t="s">
        <v>5415</v>
      </c>
      <c r="AZ400" s="3" t="s">
        <v>74</v>
      </c>
      <c r="BB400" s="3" t="s">
        <v>5416</v>
      </c>
      <c r="BC400" s="3" t="s">
        <v>5417</v>
      </c>
      <c r="BD400" s="3" t="s">
        <v>5418</v>
      </c>
    </row>
    <row r="401" spans="1:56" ht="45.75" customHeight="1" x14ac:dyDescent="0.25">
      <c r="A401" s="7" t="s">
        <v>58</v>
      </c>
      <c r="B401" s="2" t="s">
        <v>5419</v>
      </c>
      <c r="C401" s="2" t="s">
        <v>5420</v>
      </c>
      <c r="D401" s="2" t="s">
        <v>5421</v>
      </c>
      <c r="F401" s="3" t="s">
        <v>58</v>
      </c>
      <c r="G401" s="3" t="s">
        <v>59</v>
      </c>
      <c r="H401" s="3" t="s">
        <v>58</v>
      </c>
      <c r="I401" s="3" t="s">
        <v>58</v>
      </c>
      <c r="J401" s="3" t="s">
        <v>60</v>
      </c>
      <c r="L401" s="2" t="s">
        <v>5422</v>
      </c>
      <c r="M401" s="3" t="s">
        <v>307</v>
      </c>
      <c r="O401" s="3" t="s">
        <v>65</v>
      </c>
      <c r="P401" s="3" t="s">
        <v>132</v>
      </c>
      <c r="R401" s="3" t="s">
        <v>67</v>
      </c>
      <c r="S401" s="4">
        <v>14</v>
      </c>
      <c r="T401" s="4">
        <v>14</v>
      </c>
      <c r="U401" s="5" t="s">
        <v>5423</v>
      </c>
      <c r="V401" s="5" t="s">
        <v>5423</v>
      </c>
      <c r="W401" s="5" t="s">
        <v>5424</v>
      </c>
      <c r="X401" s="5" t="s">
        <v>5424</v>
      </c>
      <c r="Y401" s="4">
        <v>340</v>
      </c>
      <c r="Z401" s="4">
        <v>281</v>
      </c>
      <c r="AA401" s="4">
        <v>288</v>
      </c>
      <c r="AB401" s="4">
        <v>5</v>
      </c>
      <c r="AC401" s="4">
        <v>5</v>
      </c>
      <c r="AD401" s="4">
        <v>14</v>
      </c>
      <c r="AE401" s="4">
        <v>14</v>
      </c>
      <c r="AF401" s="4">
        <v>3</v>
      </c>
      <c r="AG401" s="4">
        <v>3</v>
      </c>
      <c r="AH401" s="4">
        <v>2</v>
      </c>
      <c r="AI401" s="4">
        <v>2</v>
      </c>
      <c r="AJ401" s="4">
        <v>8</v>
      </c>
      <c r="AK401" s="4">
        <v>8</v>
      </c>
      <c r="AL401" s="4">
        <v>4</v>
      </c>
      <c r="AM401" s="4">
        <v>4</v>
      </c>
      <c r="AN401" s="4">
        <v>0</v>
      </c>
      <c r="AO401" s="4">
        <v>0</v>
      </c>
      <c r="AP401" s="3" t="s">
        <v>58</v>
      </c>
      <c r="AQ401" s="3" t="s">
        <v>87</v>
      </c>
      <c r="AR401" s="6" t="str">
        <f>HYPERLINK("http://catalog.hathitrust.org/Record/003009189","HathiTrust Record")</f>
        <v>HathiTrust Record</v>
      </c>
      <c r="AS401" s="6" t="str">
        <f>HYPERLINK("https://creighton-primo.hosted.exlibrisgroup.com/primo-explore/search?tab=default_tab&amp;search_scope=EVERYTHING&amp;vid=01CRU&amp;lang=en_US&amp;offset=0&amp;query=any,contains,991002482459702656","Catalog Record")</f>
        <v>Catalog Record</v>
      </c>
      <c r="AT401" s="6" t="str">
        <f>HYPERLINK("http://www.worldcat.org/oclc/32312209","WorldCat Record")</f>
        <v>WorldCat Record</v>
      </c>
      <c r="AU401" s="3" t="s">
        <v>5425</v>
      </c>
      <c r="AV401" s="3" t="s">
        <v>5426</v>
      </c>
      <c r="AW401" s="3" t="s">
        <v>5427</v>
      </c>
      <c r="AX401" s="3" t="s">
        <v>5427</v>
      </c>
      <c r="AY401" s="3" t="s">
        <v>5428</v>
      </c>
      <c r="AZ401" s="3" t="s">
        <v>74</v>
      </c>
      <c r="BB401" s="3" t="s">
        <v>5429</v>
      </c>
      <c r="BC401" s="3" t="s">
        <v>5430</v>
      </c>
      <c r="BD401" s="3" t="s">
        <v>5431</v>
      </c>
    </row>
    <row r="402" spans="1:56" ht="45.75" customHeight="1" x14ac:dyDescent="0.25">
      <c r="A402" s="7" t="s">
        <v>58</v>
      </c>
      <c r="B402" s="2" t="s">
        <v>5432</v>
      </c>
      <c r="C402" s="2" t="s">
        <v>5433</v>
      </c>
      <c r="D402" s="2" t="s">
        <v>5434</v>
      </c>
      <c r="F402" s="3" t="s">
        <v>58</v>
      </c>
      <c r="G402" s="3" t="s">
        <v>59</v>
      </c>
      <c r="H402" s="3" t="s">
        <v>58</v>
      </c>
      <c r="I402" s="3" t="s">
        <v>58</v>
      </c>
      <c r="J402" s="3" t="s">
        <v>60</v>
      </c>
      <c r="L402" s="2" t="s">
        <v>5435</v>
      </c>
      <c r="M402" s="3" t="s">
        <v>1058</v>
      </c>
      <c r="O402" s="3" t="s">
        <v>65</v>
      </c>
      <c r="P402" s="3" t="s">
        <v>84</v>
      </c>
      <c r="R402" s="3" t="s">
        <v>67</v>
      </c>
      <c r="S402" s="4">
        <v>23</v>
      </c>
      <c r="T402" s="4">
        <v>23</v>
      </c>
      <c r="U402" s="5" t="s">
        <v>5436</v>
      </c>
      <c r="V402" s="5" t="s">
        <v>5436</v>
      </c>
      <c r="W402" s="5" t="s">
        <v>2599</v>
      </c>
      <c r="X402" s="5" t="s">
        <v>2599</v>
      </c>
      <c r="Y402" s="4">
        <v>258</v>
      </c>
      <c r="Z402" s="4">
        <v>187</v>
      </c>
      <c r="AA402" s="4">
        <v>207</v>
      </c>
      <c r="AB402" s="4">
        <v>1</v>
      </c>
      <c r="AC402" s="4">
        <v>1</v>
      </c>
      <c r="AD402" s="4">
        <v>8</v>
      </c>
      <c r="AE402" s="4">
        <v>8</v>
      </c>
      <c r="AF402" s="4">
        <v>0</v>
      </c>
      <c r="AG402" s="4">
        <v>0</v>
      </c>
      <c r="AH402" s="4">
        <v>2</v>
      </c>
      <c r="AI402" s="4">
        <v>2</v>
      </c>
      <c r="AJ402" s="4">
        <v>7</v>
      </c>
      <c r="AK402" s="4">
        <v>7</v>
      </c>
      <c r="AL402" s="4">
        <v>0</v>
      </c>
      <c r="AM402" s="4">
        <v>0</v>
      </c>
      <c r="AN402" s="4">
        <v>0</v>
      </c>
      <c r="AO402" s="4">
        <v>0</v>
      </c>
      <c r="AP402" s="3" t="s">
        <v>58</v>
      </c>
      <c r="AQ402" s="3" t="s">
        <v>87</v>
      </c>
      <c r="AR402" s="6" t="str">
        <f>HYPERLINK("http://catalog.hathitrust.org/Record/002212789","HathiTrust Record")</f>
        <v>HathiTrust Record</v>
      </c>
      <c r="AS402" s="6" t="str">
        <f>HYPERLINK("https://creighton-primo.hosted.exlibrisgroup.com/primo-explore/search?tab=default_tab&amp;search_scope=EVERYTHING&amp;vid=01CRU&amp;lang=en_US&amp;offset=0&amp;query=any,contains,991001261239702656","Catalog Record")</f>
        <v>Catalog Record</v>
      </c>
      <c r="AT402" s="6" t="str">
        <f>HYPERLINK("http://www.worldcat.org/oclc/17768446","WorldCat Record")</f>
        <v>WorldCat Record</v>
      </c>
      <c r="AU402" s="3" t="s">
        <v>5437</v>
      </c>
      <c r="AV402" s="3" t="s">
        <v>5438</v>
      </c>
      <c r="AW402" s="3" t="s">
        <v>5439</v>
      </c>
      <c r="AX402" s="3" t="s">
        <v>5439</v>
      </c>
      <c r="AY402" s="3" t="s">
        <v>5440</v>
      </c>
      <c r="AZ402" s="3" t="s">
        <v>74</v>
      </c>
      <c r="BB402" s="3" t="s">
        <v>5441</v>
      </c>
      <c r="BC402" s="3" t="s">
        <v>5442</v>
      </c>
      <c r="BD402" s="3" t="s">
        <v>5443</v>
      </c>
    </row>
    <row r="403" spans="1:56" ht="45.75" customHeight="1" x14ac:dyDescent="0.25">
      <c r="A403" s="7" t="s">
        <v>58</v>
      </c>
      <c r="B403" s="2" t="s">
        <v>5444</v>
      </c>
      <c r="C403" s="2" t="s">
        <v>5445</v>
      </c>
      <c r="D403" s="2" t="s">
        <v>5446</v>
      </c>
      <c r="F403" s="3" t="s">
        <v>58</v>
      </c>
      <c r="G403" s="3" t="s">
        <v>59</v>
      </c>
      <c r="H403" s="3" t="s">
        <v>58</v>
      </c>
      <c r="I403" s="3" t="s">
        <v>58</v>
      </c>
      <c r="J403" s="3" t="s">
        <v>60</v>
      </c>
      <c r="K403" s="2" t="s">
        <v>5447</v>
      </c>
      <c r="L403" s="2" t="s">
        <v>5448</v>
      </c>
      <c r="M403" s="3" t="s">
        <v>629</v>
      </c>
      <c r="O403" s="3" t="s">
        <v>65</v>
      </c>
      <c r="P403" s="3" t="s">
        <v>148</v>
      </c>
      <c r="R403" s="3" t="s">
        <v>67</v>
      </c>
      <c r="S403" s="4">
        <v>8</v>
      </c>
      <c r="T403" s="4">
        <v>8</v>
      </c>
      <c r="U403" s="5" t="s">
        <v>5436</v>
      </c>
      <c r="V403" s="5" t="s">
        <v>5436</v>
      </c>
      <c r="W403" s="5" t="s">
        <v>4318</v>
      </c>
      <c r="X403" s="5" t="s">
        <v>4318</v>
      </c>
      <c r="Y403" s="4">
        <v>14</v>
      </c>
      <c r="Z403" s="4">
        <v>14</v>
      </c>
      <c r="AA403" s="4">
        <v>627</v>
      </c>
      <c r="AB403" s="4">
        <v>1</v>
      </c>
      <c r="AC403" s="4">
        <v>5</v>
      </c>
      <c r="AD403" s="4">
        <v>0</v>
      </c>
      <c r="AE403" s="4">
        <v>10</v>
      </c>
      <c r="AF403" s="4">
        <v>0</v>
      </c>
      <c r="AG403" s="4">
        <v>4</v>
      </c>
      <c r="AH403" s="4">
        <v>0</v>
      </c>
      <c r="AI403" s="4">
        <v>1</v>
      </c>
      <c r="AJ403" s="4">
        <v>0</v>
      </c>
      <c r="AK403" s="4">
        <v>4</v>
      </c>
      <c r="AL403" s="4">
        <v>0</v>
      </c>
      <c r="AM403" s="4">
        <v>3</v>
      </c>
      <c r="AN403" s="4">
        <v>0</v>
      </c>
      <c r="AO403" s="4">
        <v>0</v>
      </c>
      <c r="AP403" s="3" t="s">
        <v>58</v>
      </c>
      <c r="AQ403" s="3" t="s">
        <v>58</v>
      </c>
      <c r="AS403" s="6" t="str">
        <f>HYPERLINK("https://creighton-primo.hosted.exlibrisgroup.com/primo-explore/search?tab=default_tab&amp;search_scope=EVERYTHING&amp;vid=01CRU&amp;lang=en_US&amp;offset=0&amp;query=any,contains,991003946389702656","Catalog Record")</f>
        <v>Catalog Record</v>
      </c>
      <c r="AT403" s="6" t="str">
        <f>HYPERLINK("http://www.worldcat.org/oclc/44988862","WorldCat Record")</f>
        <v>WorldCat Record</v>
      </c>
      <c r="AU403" s="3" t="s">
        <v>5449</v>
      </c>
      <c r="AV403" s="3" t="s">
        <v>5450</v>
      </c>
      <c r="AW403" s="3" t="s">
        <v>5451</v>
      </c>
      <c r="AX403" s="3" t="s">
        <v>5451</v>
      </c>
      <c r="AY403" s="3" t="s">
        <v>5452</v>
      </c>
      <c r="AZ403" s="3" t="s">
        <v>74</v>
      </c>
      <c r="BB403" s="3" t="s">
        <v>5453</v>
      </c>
      <c r="BC403" s="3" t="s">
        <v>5454</v>
      </c>
      <c r="BD403" s="3" t="s">
        <v>5455</v>
      </c>
    </row>
    <row r="404" spans="1:56" ht="45.75" customHeight="1" x14ac:dyDescent="0.25">
      <c r="A404" s="7" t="s">
        <v>58</v>
      </c>
      <c r="B404" s="2" t="s">
        <v>5456</v>
      </c>
      <c r="C404" s="2" t="s">
        <v>5457</v>
      </c>
      <c r="D404" s="2" t="s">
        <v>5458</v>
      </c>
      <c r="F404" s="3" t="s">
        <v>58</v>
      </c>
      <c r="G404" s="3" t="s">
        <v>59</v>
      </c>
      <c r="H404" s="3" t="s">
        <v>58</v>
      </c>
      <c r="I404" s="3" t="s">
        <v>58</v>
      </c>
      <c r="J404" s="3" t="s">
        <v>60</v>
      </c>
      <c r="K404" s="2" t="s">
        <v>5459</v>
      </c>
      <c r="L404" s="2" t="s">
        <v>5460</v>
      </c>
      <c r="M404" s="3" t="s">
        <v>2506</v>
      </c>
      <c r="O404" s="3" t="s">
        <v>65</v>
      </c>
      <c r="P404" s="3" t="s">
        <v>84</v>
      </c>
      <c r="R404" s="3" t="s">
        <v>67</v>
      </c>
      <c r="S404" s="4">
        <v>12</v>
      </c>
      <c r="T404" s="4">
        <v>12</v>
      </c>
      <c r="U404" s="5" t="s">
        <v>5461</v>
      </c>
      <c r="V404" s="5" t="s">
        <v>5461</v>
      </c>
      <c r="W404" s="5" t="s">
        <v>4187</v>
      </c>
      <c r="X404" s="5" t="s">
        <v>4187</v>
      </c>
      <c r="Y404" s="4">
        <v>858</v>
      </c>
      <c r="Z404" s="4">
        <v>779</v>
      </c>
      <c r="AA404" s="4">
        <v>795</v>
      </c>
      <c r="AB404" s="4">
        <v>10</v>
      </c>
      <c r="AC404" s="4">
        <v>10</v>
      </c>
      <c r="AD404" s="4">
        <v>27</v>
      </c>
      <c r="AE404" s="4">
        <v>27</v>
      </c>
      <c r="AF404" s="4">
        <v>10</v>
      </c>
      <c r="AG404" s="4">
        <v>10</v>
      </c>
      <c r="AH404" s="4">
        <v>4</v>
      </c>
      <c r="AI404" s="4">
        <v>4</v>
      </c>
      <c r="AJ404" s="4">
        <v>12</v>
      </c>
      <c r="AK404" s="4">
        <v>12</v>
      </c>
      <c r="AL404" s="4">
        <v>5</v>
      </c>
      <c r="AM404" s="4">
        <v>5</v>
      </c>
      <c r="AN404" s="4">
        <v>2</v>
      </c>
      <c r="AO404" s="4">
        <v>2</v>
      </c>
      <c r="AP404" s="3" t="s">
        <v>58</v>
      </c>
      <c r="AQ404" s="3" t="s">
        <v>58</v>
      </c>
      <c r="AS404" s="6" t="str">
        <f>HYPERLINK("https://creighton-primo.hosted.exlibrisgroup.com/primo-explore/search?tab=default_tab&amp;search_scope=EVERYTHING&amp;vid=01CRU&amp;lang=en_US&amp;offset=0&amp;query=any,contains,991000523319702656","Catalog Record")</f>
        <v>Catalog Record</v>
      </c>
      <c r="AT404" s="6" t="str">
        <f>HYPERLINK("http://www.worldcat.org/oclc/88652","WorldCat Record")</f>
        <v>WorldCat Record</v>
      </c>
      <c r="AU404" s="3" t="s">
        <v>5462</v>
      </c>
      <c r="AV404" s="3" t="s">
        <v>5463</v>
      </c>
      <c r="AW404" s="3" t="s">
        <v>5464</v>
      </c>
      <c r="AX404" s="3" t="s">
        <v>5464</v>
      </c>
      <c r="AY404" s="3" t="s">
        <v>5465</v>
      </c>
      <c r="AZ404" s="3" t="s">
        <v>74</v>
      </c>
      <c r="BB404" s="3" t="s">
        <v>5466</v>
      </c>
      <c r="BC404" s="3" t="s">
        <v>5467</v>
      </c>
      <c r="BD404" s="3" t="s">
        <v>5468</v>
      </c>
    </row>
    <row r="405" spans="1:56" ht="45.75" customHeight="1" x14ac:dyDescent="0.25">
      <c r="A405" s="7" t="s">
        <v>58</v>
      </c>
      <c r="B405" s="2" t="s">
        <v>5469</v>
      </c>
      <c r="C405" s="2" t="s">
        <v>5470</v>
      </c>
      <c r="D405" s="2" t="s">
        <v>5471</v>
      </c>
      <c r="F405" s="3" t="s">
        <v>58</v>
      </c>
      <c r="G405" s="3" t="s">
        <v>59</v>
      </c>
      <c r="H405" s="3" t="s">
        <v>58</v>
      </c>
      <c r="I405" s="3" t="s">
        <v>58</v>
      </c>
      <c r="J405" s="3" t="s">
        <v>60</v>
      </c>
      <c r="L405" s="2" t="s">
        <v>5472</v>
      </c>
      <c r="M405" s="3" t="s">
        <v>1544</v>
      </c>
      <c r="O405" s="3" t="s">
        <v>65</v>
      </c>
      <c r="P405" s="3" t="s">
        <v>84</v>
      </c>
      <c r="Q405" s="2" t="s">
        <v>5473</v>
      </c>
      <c r="R405" s="3" t="s">
        <v>67</v>
      </c>
      <c r="S405" s="4">
        <v>25</v>
      </c>
      <c r="T405" s="4">
        <v>25</v>
      </c>
      <c r="U405" s="5" t="s">
        <v>5474</v>
      </c>
      <c r="V405" s="5" t="s">
        <v>5474</v>
      </c>
      <c r="W405" s="5" t="s">
        <v>5475</v>
      </c>
      <c r="X405" s="5" t="s">
        <v>5475</v>
      </c>
      <c r="Y405" s="4">
        <v>256</v>
      </c>
      <c r="Z405" s="4">
        <v>237</v>
      </c>
      <c r="AA405" s="4">
        <v>239</v>
      </c>
      <c r="AB405" s="4">
        <v>2</v>
      </c>
      <c r="AC405" s="4">
        <v>2</v>
      </c>
      <c r="AD405" s="4">
        <v>7</v>
      </c>
      <c r="AE405" s="4">
        <v>7</v>
      </c>
      <c r="AF405" s="4">
        <v>1</v>
      </c>
      <c r="AG405" s="4">
        <v>1</v>
      </c>
      <c r="AH405" s="4">
        <v>0</v>
      </c>
      <c r="AI405" s="4">
        <v>0</v>
      </c>
      <c r="AJ405" s="4">
        <v>4</v>
      </c>
      <c r="AK405" s="4">
        <v>4</v>
      </c>
      <c r="AL405" s="4">
        <v>1</v>
      </c>
      <c r="AM405" s="4">
        <v>1</v>
      </c>
      <c r="AN405" s="4">
        <v>1</v>
      </c>
      <c r="AO405" s="4">
        <v>1</v>
      </c>
      <c r="AP405" s="3" t="s">
        <v>58</v>
      </c>
      <c r="AQ405" s="3" t="s">
        <v>87</v>
      </c>
      <c r="AR405" s="6" t="str">
        <f>HYPERLINK("http://catalog.hathitrust.org/Record/001579285","HathiTrust Record")</f>
        <v>HathiTrust Record</v>
      </c>
      <c r="AS405" s="6" t="str">
        <f>HYPERLINK("https://creighton-primo.hosted.exlibrisgroup.com/primo-explore/search?tab=default_tab&amp;search_scope=EVERYTHING&amp;vid=01CRU&amp;lang=en_US&amp;offset=0&amp;query=any,contains,991002434499702656","Catalog Record")</f>
        <v>Catalog Record</v>
      </c>
      <c r="AT405" s="6" t="str">
        <f>HYPERLINK("http://www.worldcat.org/oclc/348395","WorldCat Record")</f>
        <v>WorldCat Record</v>
      </c>
      <c r="AU405" s="3" t="s">
        <v>5476</v>
      </c>
      <c r="AV405" s="3" t="s">
        <v>5477</v>
      </c>
      <c r="AW405" s="3" t="s">
        <v>5478</v>
      </c>
      <c r="AX405" s="3" t="s">
        <v>5478</v>
      </c>
      <c r="AY405" s="3" t="s">
        <v>5479</v>
      </c>
      <c r="AZ405" s="3" t="s">
        <v>74</v>
      </c>
      <c r="BC405" s="3" t="s">
        <v>5480</v>
      </c>
      <c r="BD405" s="3" t="s">
        <v>5481</v>
      </c>
    </row>
    <row r="406" spans="1:56" ht="45.75" customHeight="1" x14ac:dyDescent="0.25">
      <c r="A406" s="7" t="s">
        <v>58</v>
      </c>
      <c r="B406" s="2" t="s">
        <v>5482</v>
      </c>
      <c r="C406" s="2" t="s">
        <v>5483</v>
      </c>
      <c r="D406" s="2" t="s">
        <v>5484</v>
      </c>
      <c r="F406" s="3" t="s">
        <v>58</v>
      </c>
      <c r="G406" s="3" t="s">
        <v>59</v>
      </c>
      <c r="H406" s="3" t="s">
        <v>58</v>
      </c>
      <c r="I406" s="3" t="s">
        <v>58</v>
      </c>
      <c r="J406" s="3" t="s">
        <v>60</v>
      </c>
      <c r="K406" s="2" t="s">
        <v>5485</v>
      </c>
      <c r="L406" s="2" t="s">
        <v>5486</v>
      </c>
      <c r="M406" s="3" t="s">
        <v>100</v>
      </c>
      <c r="O406" s="3" t="s">
        <v>65</v>
      </c>
      <c r="P406" s="3" t="s">
        <v>84</v>
      </c>
      <c r="Q406" s="2" t="s">
        <v>5487</v>
      </c>
      <c r="R406" s="3" t="s">
        <v>67</v>
      </c>
      <c r="S406" s="4">
        <v>7</v>
      </c>
      <c r="T406" s="4">
        <v>7</v>
      </c>
      <c r="U406" s="5" t="s">
        <v>5488</v>
      </c>
      <c r="V406" s="5" t="s">
        <v>5488</v>
      </c>
      <c r="W406" s="5" t="s">
        <v>5489</v>
      </c>
      <c r="X406" s="5" t="s">
        <v>5489</v>
      </c>
      <c r="Y406" s="4">
        <v>574</v>
      </c>
      <c r="Z406" s="4">
        <v>519</v>
      </c>
      <c r="AA406" s="4">
        <v>526</v>
      </c>
      <c r="AB406" s="4">
        <v>5</v>
      </c>
      <c r="AC406" s="4">
        <v>5</v>
      </c>
      <c r="AD406" s="4">
        <v>20</v>
      </c>
      <c r="AE406" s="4">
        <v>20</v>
      </c>
      <c r="AF406" s="4">
        <v>6</v>
      </c>
      <c r="AG406" s="4">
        <v>6</v>
      </c>
      <c r="AH406" s="4">
        <v>6</v>
      </c>
      <c r="AI406" s="4">
        <v>6</v>
      </c>
      <c r="AJ406" s="4">
        <v>6</v>
      </c>
      <c r="AK406" s="4">
        <v>6</v>
      </c>
      <c r="AL406" s="4">
        <v>4</v>
      </c>
      <c r="AM406" s="4">
        <v>4</v>
      </c>
      <c r="AN406" s="4">
        <v>1</v>
      </c>
      <c r="AO406" s="4">
        <v>1</v>
      </c>
      <c r="AP406" s="3" t="s">
        <v>58</v>
      </c>
      <c r="AQ406" s="3" t="s">
        <v>87</v>
      </c>
      <c r="AR406" s="6" t="str">
        <f>HYPERLINK("http://catalog.hathitrust.org/Record/000042789","HathiTrust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HYPERLINK("https://creighton-primo.hosted.exlibrisgroup.com/primo-explore/search?tab=default_tab&amp;search_scope=EVERYTHING&amp;vid=01CRU&amp;lang=en_US&amp;offset=0&amp;query=any,contains,991003600689702656","Catalog Record")</f>
        <v>Catalog Record</v>
      </c>
      <c r="AT406" s="6" t="str">
        <f>HYPERLINK("http://www.worldcat.org/oclc/1177735","WorldCat Record")</f>
        <v>WorldCat Record</v>
      </c>
      <c r="AU406" s="3" t="s">
        <v>5490</v>
      </c>
      <c r="AV406" s="3" t="s">
        <v>5491</v>
      </c>
      <c r="AW406" s="3" t="s">
        <v>5492</v>
      </c>
      <c r="AX406" s="3" t="s">
        <v>5492</v>
      </c>
      <c r="AY406" s="3" t="s">
        <v>5493</v>
      </c>
      <c r="AZ406" s="3" t="s">
        <v>74</v>
      </c>
      <c r="BB406" s="3" t="s">
        <v>5494</v>
      </c>
      <c r="BC406" s="3" t="s">
        <v>5495</v>
      </c>
      <c r="BD406" s="3" t="s">
        <v>5496</v>
      </c>
    </row>
    <row r="407" spans="1:56" ht="45.75" customHeight="1" x14ac:dyDescent="0.25">
      <c r="A407" s="7" t="s">
        <v>58</v>
      </c>
      <c r="B407" s="2" t="s">
        <v>5497</v>
      </c>
      <c r="C407" s="2" t="s">
        <v>5498</v>
      </c>
      <c r="D407" s="2" t="s">
        <v>5499</v>
      </c>
      <c r="F407" s="3" t="s">
        <v>58</v>
      </c>
      <c r="G407" s="3" t="s">
        <v>59</v>
      </c>
      <c r="H407" s="3" t="s">
        <v>58</v>
      </c>
      <c r="I407" s="3" t="s">
        <v>58</v>
      </c>
      <c r="J407" s="3" t="s">
        <v>60</v>
      </c>
      <c r="L407" s="2" t="s">
        <v>5500</v>
      </c>
      <c r="M407" s="3" t="s">
        <v>116</v>
      </c>
      <c r="O407" s="3" t="s">
        <v>65</v>
      </c>
      <c r="P407" s="3" t="s">
        <v>1224</v>
      </c>
      <c r="Q407" s="2" t="s">
        <v>5501</v>
      </c>
      <c r="R407" s="3" t="s">
        <v>67</v>
      </c>
      <c r="S407" s="4">
        <v>24</v>
      </c>
      <c r="T407" s="4">
        <v>24</v>
      </c>
      <c r="U407" s="5" t="s">
        <v>5502</v>
      </c>
      <c r="V407" s="5" t="s">
        <v>5502</v>
      </c>
      <c r="W407" s="5" t="s">
        <v>5503</v>
      </c>
      <c r="X407" s="5" t="s">
        <v>5503</v>
      </c>
      <c r="Y407" s="4">
        <v>135</v>
      </c>
      <c r="Z407" s="4">
        <v>116</v>
      </c>
      <c r="AA407" s="4">
        <v>116</v>
      </c>
      <c r="AB407" s="4">
        <v>2</v>
      </c>
      <c r="AC407" s="4">
        <v>2</v>
      </c>
      <c r="AD407" s="4">
        <v>6</v>
      </c>
      <c r="AE407" s="4">
        <v>6</v>
      </c>
      <c r="AF407" s="4">
        <v>2</v>
      </c>
      <c r="AG407" s="4">
        <v>2</v>
      </c>
      <c r="AH407" s="4">
        <v>0</v>
      </c>
      <c r="AI407" s="4">
        <v>0</v>
      </c>
      <c r="AJ407" s="4">
        <v>3</v>
      </c>
      <c r="AK407" s="4">
        <v>3</v>
      </c>
      <c r="AL407" s="4">
        <v>1</v>
      </c>
      <c r="AM407" s="4">
        <v>1</v>
      </c>
      <c r="AN407" s="4">
        <v>1</v>
      </c>
      <c r="AO407" s="4">
        <v>1</v>
      </c>
      <c r="AP407" s="3" t="s">
        <v>58</v>
      </c>
      <c r="AQ407" s="3" t="s">
        <v>58</v>
      </c>
      <c r="AS407" s="6" t="str">
        <f>HYPERLINK("https://creighton-primo.hosted.exlibrisgroup.com/primo-explore/search?tab=default_tab&amp;search_scope=EVERYTHING&amp;vid=01CRU&amp;lang=en_US&amp;offset=0&amp;query=any,contains,991002902649702656","Catalog Record")</f>
        <v>Catalog Record</v>
      </c>
      <c r="AT407" s="6" t="str">
        <f>HYPERLINK("http://www.worldcat.org/oclc/38277183","WorldCat Record")</f>
        <v>WorldCat Record</v>
      </c>
      <c r="AU407" s="3" t="s">
        <v>5504</v>
      </c>
      <c r="AV407" s="3" t="s">
        <v>5505</v>
      </c>
      <c r="AW407" s="3" t="s">
        <v>5506</v>
      </c>
      <c r="AX407" s="3" t="s">
        <v>5506</v>
      </c>
      <c r="AY407" s="3" t="s">
        <v>5507</v>
      </c>
      <c r="AZ407" s="3" t="s">
        <v>74</v>
      </c>
      <c r="BB407" s="3" t="s">
        <v>5508</v>
      </c>
      <c r="BC407" s="3" t="s">
        <v>5509</v>
      </c>
      <c r="BD407" s="3" t="s">
        <v>5510</v>
      </c>
    </row>
    <row r="408" spans="1:56" ht="45.75" customHeight="1" x14ac:dyDescent="0.25">
      <c r="A408" s="7" t="s">
        <v>58</v>
      </c>
      <c r="B408" s="2" t="s">
        <v>5511</v>
      </c>
      <c r="C408" s="2" t="s">
        <v>5512</v>
      </c>
      <c r="D408" s="2" t="s">
        <v>5513</v>
      </c>
      <c r="F408" s="3" t="s">
        <v>58</v>
      </c>
      <c r="G408" s="3" t="s">
        <v>59</v>
      </c>
      <c r="H408" s="3" t="s">
        <v>58</v>
      </c>
      <c r="I408" s="3" t="s">
        <v>58</v>
      </c>
      <c r="J408" s="3" t="s">
        <v>60</v>
      </c>
      <c r="K408" s="2" t="s">
        <v>5514</v>
      </c>
      <c r="L408" s="2" t="s">
        <v>5515</v>
      </c>
      <c r="M408" s="3" t="s">
        <v>1088</v>
      </c>
      <c r="O408" s="3" t="s">
        <v>65</v>
      </c>
      <c r="P408" s="3" t="s">
        <v>132</v>
      </c>
      <c r="R408" s="3" t="s">
        <v>67</v>
      </c>
      <c r="S408" s="4">
        <v>18</v>
      </c>
      <c r="T408" s="4">
        <v>18</v>
      </c>
      <c r="U408" s="5" t="s">
        <v>5516</v>
      </c>
      <c r="V408" s="5" t="s">
        <v>5516</v>
      </c>
      <c r="W408" s="5" t="s">
        <v>5517</v>
      </c>
      <c r="X408" s="5" t="s">
        <v>5517</v>
      </c>
      <c r="Y408" s="4">
        <v>45</v>
      </c>
      <c r="Z408" s="4">
        <v>45</v>
      </c>
      <c r="AA408" s="4">
        <v>46</v>
      </c>
      <c r="AB408" s="4">
        <v>1</v>
      </c>
      <c r="AC408" s="4">
        <v>1</v>
      </c>
      <c r="AD408" s="4">
        <v>2</v>
      </c>
      <c r="AE408" s="4">
        <v>2</v>
      </c>
      <c r="AF408" s="4">
        <v>0</v>
      </c>
      <c r="AG408" s="4">
        <v>0</v>
      </c>
      <c r="AH408" s="4">
        <v>0</v>
      </c>
      <c r="AI408" s="4">
        <v>0</v>
      </c>
      <c r="AJ408" s="4">
        <v>2</v>
      </c>
      <c r="AK408" s="4">
        <v>2</v>
      </c>
      <c r="AL408" s="4">
        <v>0</v>
      </c>
      <c r="AM408" s="4">
        <v>0</v>
      </c>
      <c r="AN408" s="4">
        <v>0</v>
      </c>
      <c r="AO408" s="4">
        <v>0</v>
      </c>
      <c r="AP408" s="3" t="s">
        <v>58</v>
      </c>
      <c r="AQ408" s="3" t="s">
        <v>58</v>
      </c>
      <c r="AS408" s="6" t="str">
        <f>HYPERLINK("https://creighton-primo.hosted.exlibrisgroup.com/primo-explore/search?tab=default_tab&amp;search_scope=EVERYTHING&amp;vid=01CRU&amp;lang=en_US&amp;offset=0&amp;query=any,contains,991000815319702656","Catalog Record")</f>
        <v>Catalog Record</v>
      </c>
      <c r="AT408" s="6" t="str">
        <f>HYPERLINK("http://www.worldcat.org/oclc/13356865","WorldCat Record")</f>
        <v>WorldCat Record</v>
      </c>
      <c r="AU408" s="3" t="s">
        <v>5518</v>
      </c>
      <c r="AV408" s="3" t="s">
        <v>5519</v>
      </c>
      <c r="AW408" s="3" t="s">
        <v>5520</v>
      </c>
      <c r="AX408" s="3" t="s">
        <v>5520</v>
      </c>
      <c r="AY408" s="3" t="s">
        <v>5521</v>
      </c>
      <c r="AZ408" s="3" t="s">
        <v>74</v>
      </c>
      <c r="BB408" s="3" t="s">
        <v>5522</v>
      </c>
      <c r="BC408" s="3" t="s">
        <v>5523</v>
      </c>
      <c r="BD408" s="3" t="s">
        <v>5524</v>
      </c>
    </row>
    <row r="409" spans="1:56" ht="45.75" customHeight="1" x14ac:dyDescent="0.25">
      <c r="A409" s="7" t="s">
        <v>58</v>
      </c>
      <c r="B409" s="2" t="s">
        <v>5525</v>
      </c>
      <c r="C409" s="2" t="s">
        <v>5526</v>
      </c>
      <c r="D409" s="2" t="s">
        <v>5527</v>
      </c>
      <c r="F409" s="3" t="s">
        <v>58</v>
      </c>
      <c r="G409" s="3" t="s">
        <v>59</v>
      </c>
      <c r="H409" s="3" t="s">
        <v>58</v>
      </c>
      <c r="I409" s="3" t="s">
        <v>58</v>
      </c>
      <c r="J409" s="3" t="s">
        <v>60</v>
      </c>
      <c r="L409" s="2" t="s">
        <v>5528</v>
      </c>
      <c r="M409" s="3" t="s">
        <v>800</v>
      </c>
      <c r="O409" s="3" t="s">
        <v>65</v>
      </c>
      <c r="P409" s="3" t="s">
        <v>132</v>
      </c>
      <c r="R409" s="3" t="s">
        <v>67</v>
      </c>
      <c r="S409" s="4">
        <v>30</v>
      </c>
      <c r="T409" s="4">
        <v>30</v>
      </c>
      <c r="U409" s="5" t="s">
        <v>951</v>
      </c>
      <c r="V409" s="5" t="s">
        <v>951</v>
      </c>
      <c r="W409" s="5" t="s">
        <v>5224</v>
      </c>
      <c r="X409" s="5" t="s">
        <v>5224</v>
      </c>
      <c r="Y409" s="4">
        <v>507</v>
      </c>
      <c r="Z409" s="4">
        <v>458</v>
      </c>
      <c r="AA409" s="4">
        <v>482</v>
      </c>
      <c r="AB409" s="4">
        <v>4</v>
      </c>
      <c r="AC409" s="4">
        <v>4</v>
      </c>
      <c r="AD409" s="4">
        <v>27</v>
      </c>
      <c r="AE409" s="4">
        <v>28</v>
      </c>
      <c r="AF409" s="4">
        <v>7</v>
      </c>
      <c r="AG409" s="4">
        <v>8</v>
      </c>
      <c r="AH409" s="4">
        <v>7</v>
      </c>
      <c r="AI409" s="4">
        <v>7</v>
      </c>
      <c r="AJ409" s="4">
        <v>9</v>
      </c>
      <c r="AK409" s="4">
        <v>9</v>
      </c>
      <c r="AL409" s="4">
        <v>3</v>
      </c>
      <c r="AM409" s="4">
        <v>3</v>
      </c>
      <c r="AN409" s="4">
        <v>5</v>
      </c>
      <c r="AO409" s="4">
        <v>5</v>
      </c>
      <c r="AP409" s="3" t="s">
        <v>58</v>
      </c>
      <c r="AQ409" s="3" t="s">
        <v>58</v>
      </c>
      <c r="AS409" s="6" t="str">
        <f>HYPERLINK("https://creighton-primo.hosted.exlibrisgroup.com/primo-explore/search?tab=default_tab&amp;search_scope=EVERYTHING&amp;vid=01CRU&amp;lang=en_US&amp;offset=0&amp;query=any,contains,991001897539702656","Catalog Record")</f>
        <v>Catalog Record</v>
      </c>
      <c r="AT409" s="6" t="str">
        <f>HYPERLINK("http://www.worldcat.org/oclc/23973293","WorldCat Record")</f>
        <v>WorldCat Record</v>
      </c>
      <c r="AU409" s="3" t="s">
        <v>5529</v>
      </c>
      <c r="AV409" s="3" t="s">
        <v>5530</v>
      </c>
      <c r="AW409" s="3" t="s">
        <v>5531</v>
      </c>
      <c r="AX409" s="3" t="s">
        <v>5531</v>
      </c>
      <c r="AY409" s="3" t="s">
        <v>5532</v>
      </c>
      <c r="AZ409" s="3" t="s">
        <v>74</v>
      </c>
      <c r="BB409" s="3" t="s">
        <v>5533</v>
      </c>
      <c r="BC409" s="3" t="s">
        <v>5534</v>
      </c>
      <c r="BD409" s="3" t="s">
        <v>5535</v>
      </c>
    </row>
    <row r="410" spans="1:56" ht="45.75" customHeight="1" x14ac:dyDescent="0.25">
      <c r="A410" s="7" t="s">
        <v>58</v>
      </c>
      <c r="B410" s="2" t="s">
        <v>5536</v>
      </c>
      <c r="C410" s="2" t="s">
        <v>5537</v>
      </c>
      <c r="D410" s="2" t="s">
        <v>5538</v>
      </c>
      <c r="F410" s="3" t="s">
        <v>58</v>
      </c>
      <c r="G410" s="3" t="s">
        <v>59</v>
      </c>
      <c r="H410" s="3" t="s">
        <v>58</v>
      </c>
      <c r="I410" s="3" t="s">
        <v>58</v>
      </c>
      <c r="J410" s="3" t="s">
        <v>60</v>
      </c>
      <c r="K410" s="2" t="s">
        <v>5539</v>
      </c>
      <c r="L410" s="2" t="s">
        <v>5540</v>
      </c>
      <c r="M410" s="3" t="s">
        <v>1058</v>
      </c>
      <c r="O410" s="3" t="s">
        <v>65</v>
      </c>
      <c r="P410" s="3" t="s">
        <v>84</v>
      </c>
      <c r="R410" s="3" t="s">
        <v>67</v>
      </c>
      <c r="S410" s="4">
        <v>12</v>
      </c>
      <c r="T410" s="4">
        <v>12</v>
      </c>
      <c r="U410" s="5" t="s">
        <v>5541</v>
      </c>
      <c r="V410" s="5" t="s">
        <v>5541</v>
      </c>
      <c r="W410" s="5" t="s">
        <v>3283</v>
      </c>
      <c r="X410" s="5" t="s">
        <v>3283</v>
      </c>
      <c r="Y410" s="4">
        <v>919</v>
      </c>
      <c r="Z410" s="4">
        <v>870</v>
      </c>
      <c r="AA410" s="4">
        <v>979</v>
      </c>
      <c r="AB410" s="4">
        <v>3</v>
      </c>
      <c r="AC410" s="4">
        <v>5</v>
      </c>
      <c r="AD410" s="4">
        <v>26</v>
      </c>
      <c r="AE410" s="4">
        <v>26</v>
      </c>
      <c r="AF410" s="4">
        <v>8</v>
      </c>
      <c r="AG410" s="4">
        <v>8</v>
      </c>
      <c r="AH410" s="4">
        <v>6</v>
      </c>
      <c r="AI410" s="4">
        <v>6</v>
      </c>
      <c r="AJ410" s="4">
        <v>18</v>
      </c>
      <c r="AK410" s="4">
        <v>18</v>
      </c>
      <c r="AL410" s="4">
        <v>2</v>
      </c>
      <c r="AM410" s="4">
        <v>2</v>
      </c>
      <c r="AN410" s="4">
        <v>0</v>
      </c>
      <c r="AO410" s="4">
        <v>0</v>
      </c>
      <c r="AP410" s="3" t="s">
        <v>58</v>
      </c>
      <c r="AQ410" s="3" t="s">
        <v>58</v>
      </c>
      <c r="AS410" s="6" t="str">
        <f>HYPERLINK("https://creighton-primo.hosted.exlibrisgroup.com/primo-explore/search?tab=default_tab&amp;search_scope=EVERYTHING&amp;vid=01CRU&amp;lang=en_US&amp;offset=0&amp;query=any,contains,991001227719702656","Catalog Record")</f>
        <v>Catalog Record</v>
      </c>
      <c r="AT410" s="6" t="str">
        <f>HYPERLINK("http://www.worldcat.org/oclc/17510057","WorldCat Record")</f>
        <v>WorldCat Record</v>
      </c>
      <c r="AU410" s="3" t="s">
        <v>5542</v>
      </c>
      <c r="AV410" s="3" t="s">
        <v>5543</v>
      </c>
      <c r="AW410" s="3" t="s">
        <v>5544</v>
      </c>
      <c r="AX410" s="3" t="s">
        <v>5544</v>
      </c>
      <c r="AY410" s="3" t="s">
        <v>5545</v>
      </c>
      <c r="AZ410" s="3" t="s">
        <v>74</v>
      </c>
      <c r="BB410" s="3" t="s">
        <v>5546</v>
      </c>
      <c r="BC410" s="3" t="s">
        <v>5547</v>
      </c>
      <c r="BD410" s="3" t="s">
        <v>5548</v>
      </c>
    </row>
    <row r="411" spans="1:56" ht="45.75" customHeight="1" x14ac:dyDescent="0.25">
      <c r="A411" s="7" t="s">
        <v>58</v>
      </c>
      <c r="B411" s="2" t="s">
        <v>5549</v>
      </c>
      <c r="C411" s="2" t="s">
        <v>5550</v>
      </c>
      <c r="D411" s="2" t="s">
        <v>5551</v>
      </c>
      <c r="F411" s="3" t="s">
        <v>58</v>
      </c>
      <c r="G411" s="3" t="s">
        <v>59</v>
      </c>
      <c r="H411" s="3" t="s">
        <v>58</v>
      </c>
      <c r="I411" s="3" t="s">
        <v>58</v>
      </c>
      <c r="J411" s="3" t="s">
        <v>60</v>
      </c>
      <c r="K411" s="2" t="s">
        <v>5552</v>
      </c>
      <c r="L411" s="2" t="s">
        <v>5553</v>
      </c>
      <c r="M411" s="3" t="s">
        <v>629</v>
      </c>
      <c r="O411" s="3" t="s">
        <v>65</v>
      </c>
      <c r="P411" s="3" t="s">
        <v>84</v>
      </c>
      <c r="Q411" s="2" t="s">
        <v>5554</v>
      </c>
      <c r="R411" s="3" t="s">
        <v>67</v>
      </c>
      <c r="S411" s="4">
        <v>27</v>
      </c>
      <c r="T411" s="4">
        <v>27</v>
      </c>
      <c r="U411" s="5" t="s">
        <v>5555</v>
      </c>
      <c r="V411" s="5" t="s">
        <v>5555</v>
      </c>
      <c r="W411" s="5" t="s">
        <v>5556</v>
      </c>
      <c r="X411" s="5" t="s">
        <v>5556</v>
      </c>
      <c r="Y411" s="4">
        <v>186</v>
      </c>
      <c r="Z411" s="4">
        <v>159</v>
      </c>
      <c r="AA411" s="4">
        <v>160</v>
      </c>
      <c r="AB411" s="4">
        <v>1</v>
      </c>
      <c r="AC411" s="4">
        <v>1</v>
      </c>
      <c r="AD411" s="4">
        <v>11</v>
      </c>
      <c r="AE411" s="4">
        <v>11</v>
      </c>
      <c r="AF411" s="4">
        <v>2</v>
      </c>
      <c r="AG411" s="4">
        <v>2</v>
      </c>
      <c r="AH411" s="4">
        <v>3</v>
      </c>
      <c r="AI411" s="4">
        <v>3</v>
      </c>
      <c r="AJ411" s="4">
        <v>6</v>
      </c>
      <c r="AK411" s="4">
        <v>6</v>
      </c>
      <c r="AL411" s="4">
        <v>0</v>
      </c>
      <c r="AM411" s="4">
        <v>0</v>
      </c>
      <c r="AN411" s="4">
        <v>3</v>
      </c>
      <c r="AO411" s="4">
        <v>3</v>
      </c>
      <c r="AP411" s="3" t="s">
        <v>58</v>
      </c>
      <c r="AQ411" s="3" t="s">
        <v>87</v>
      </c>
      <c r="AR411" s="6" t="str">
        <f>HYPERLINK("http://catalog.hathitrust.org/Record/007578742","HathiTrust Record")</f>
        <v>HathiTrust Record</v>
      </c>
      <c r="AS411" s="6" t="str">
        <f>HYPERLINK("https://creighton-primo.hosted.exlibrisgroup.com/primo-explore/search?tab=default_tab&amp;search_scope=EVERYTHING&amp;vid=01CRU&amp;lang=en_US&amp;offset=0&amp;query=any,contains,991002270659702656","Catalog Record")</f>
        <v>Catalog Record</v>
      </c>
      <c r="AT411" s="6" t="str">
        <f>HYPERLINK("http://www.worldcat.org/oclc/29469324","WorldCat Record")</f>
        <v>WorldCat Record</v>
      </c>
      <c r="AU411" s="3" t="s">
        <v>5557</v>
      </c>
      <c r="AV411" s="3" t="s">
        <v>5558</v>
      </c>
      <c r="AW411" s="3" t="s">
        <v>5559</v>
      </c>
      <c r="AX411" s="3" t="s">
        <v>5559</v>
      </c>
      <c r="AY411" s="3" t="s">
        <v>5560</v>
      </c>
      <c r="AZ411" s="3" t="s">
        <v>74</v>
      </c>
      <c r="BB411" s="3" t="s">
        <v>5561</v>
      </c>
      <c r="BC411" s="3" t="s">
        <v>5562</v>
      </c>
      <c r="BD411" s="3" t="s">
        <v>5563</v>
      </c>
    </row>
    <row r="412" spans="1:56" ht="45.75" customHeight="1" x14ac:dyDescent="0.25">
      <c r="A412" s="7" t="s">
        <v>58</v>
      </c>
      <c r="B412" s="2" t="s">
        <v>5564</v>
      </c>
      <c r="C412" s="2" t="s">
        <v>5565</v>
      </c>
      <c r="D412" s="2" t="s">
        <v>5566</v>
      </c>
      <c r="F412" s="3" t="s">
        <v>58</v>
      </c>
      <c r="G412" s="3" t="s">
        <v>59</v>
      </c>
      <c r="H412" s="3" t="s">
        <v>58</v>
      </c>
      <c r="I412" s="3" t="s">
        <v>58</v>
      </c>
      <c r="J412" s="3" t="s">
        <v>60</v>
      </c>
      <c r="K412" s="2" t="s">
        <v>5567</v>
      </c>
      <c r="L412" s="2" t="s">
        <v>5568</v>
      </c>
      <c r="M412" s="3" t="s">
        <v>147</v>
      </c>
      <c r="O412" s="3" t="s">
        <v>65</v>
      </c>
      <c r="P412" s="3" t="s">
        <v>84</v>
      </c>
      <c r="R412" s="3" t="s">
        <v>67</v>
      </c>
      <c r="S412" s="4">
        <v>4</v>
      </c>
      <c r="T412" s="4">
        <v>4</v>
      </c>
      <c r="U412" s="5" t="s">
        <v>5569</v>
      </c>
      <c r="V412" s="5" t="s">
        <v>5569</v>
      </c>
      <c r="W412" s="5" t="s">
        <v>5570</v>
      </c>
      <c r="X412" s="5" t="s">
        <v>5570</v>
      </c>
      <c r="Y412" s="4">
        <v>937</v>
      </c>
      <c r="Z412" s="4">
        <v>875</v>
      </c>
      <c r="AA412" s="4">
        <v>906</v>
      </c>
      <c r="AB412" s="4">
        <v>6</v>
      </c>
      <c r="AC412" s="4">
        <v>6</v>
      </c>
      <c r="AD412" s="4">
        <v>26</v>
      </c>
      <c r="AE412" s="4">
        <v>27</v>
      </c>
      <c r="AF412" s="4">
        <v>12</v>
      </c>
      <c r="AG412" s="4">
        <v>12</v>
      </c>
      <c r="AH412" s="4">
        <v>3</v>
      </c>
      <c r="AI412" s="4">
        <v>4</v>
      </c>
      <c r="AJ412" s="4">
        <v>13</v>
      </c>
      <c r="AK412" s="4">
        <v>13</v>
      </c>
      <c r="AL412" s="4">
        <v>4</v>
      </c>
      <c r="AM412" s="4">
        <v>4</v>
      </c>
      <c r="AN412" s="4">
        <v>0</v>
      </c>
      <c r="AO412" s="4">
        <v>0</v>
      </c>
      <c r="AP412" s="3" t="s">
        <v>58</v>
      </c>
      <c r="AQ412" s="3" t="s">
        <v>58</v>
      </c>
      <c r="AS412" s="6" t="str">
        <f>HYPERLINK("https://creighton-primo.hosted.exlibrisgroup.com/primo-explore/search?tab=default_tab&amp;search_scope=EVERYTHING&amp;vid=01CRU&amp;lang=en_US&amp;offset=0&amp;query=any,contains,991004784639702656","Catalog Record")</f>
        <v>Catalog Record</v>
      </c>
      <c r="AT412" s="6" t="str">
        <f>HYPERLINK("http://www.worldcat.org/oclc/54349574","WorldCat Record")</f>
        <v>WorldCat Record</v>
      </c>
      <c r="AU412" s="3" t="s">
        <v>5571</v>
      </c>
      <c r="AV412" s="3" t="s">
        <v>5572</v>
      </c>
      <c r="AW412" s="3" t="s">
        <v>5573</v>
      </c>
      <c r="AX412" s="3" t="s">
        <v>5573</v>
      </c>
      <c r="AY412" s="3" t="s">
        <v>5574</v>
      </c>
      <c r="AZ412" s="3" t="s">
        <v>74</v>
      </c>
      <c r="BB412" s="3" t="s">
        <v>5575</v>
      </c>
      <c r="BC412" s="3" t="s">
        <v>5576</v>
      </c>
      <c r="BD412" s="3" t="s">
        <v>5577</v>
      </c>
    </row>
    <row r="413" spans="1:56" ht="45.75" customHeight="1" x14ac:dyDescent="0.25">
      <c r="A413" s="7" t="s">
        <v>58</v>
      </c>
      <c r="B413" s="2" t="s">
        <v>5578</v>
      </c>
      <c r="C413" s="2" t="s">
        <v>5579</v>
      </c>
      <c r="D413" s="2" t="s">
        <v>5580</v>
      </c>
      <c r="F413" s="3" t="s">
        <v>58</v>
      </c>
      <c r="G413" s="3" t="s">
        <v>59</v>
      </c>
      <c r="H413" s="3" t="s">
        <v>58</v>
      </c>
      <c r="I413" s="3" t="s">
        <v>58</v>
      </c>
      <c r="J413" s="3" t="s">
        <v>60</v>
      </c>
      <c r="K413" s="2" t="s">
        <v>5581</v>
      </c>
      <c r="L413" s="2" t="s">
        <v>5582</v>
      </c>
      <c r="M413" s="3" t="s">
        <v>528</v>
      </c>
      <c r="O413" s="3" t="s">
        <v>65</v>
      </c>
      <c r="P413" s="3" t="s">
        <v>84</v>
      </c>
      <c r="R413" s="3" t="s">
        <v>67</v>
      </c>
      <c r="S413" s="4">
        <v>25</v>
      </c>
      <c r="T413" s="4">
        <v>25</v>
      </c>
      <c r="U413" s="5" t="s">
        <v>5583</v>
      </c>
      <c r="V413" s="5" t="s">
        <v>5583</v>
      </c>
      <c r="W413" s="5" t="s">
        <v>5584</v>
      </c>
      <c r="X413" s="5" t="s">
        <v>5584</v>
      </c>
      <c r="Y413" s="4">
        <v>406</v>
      </c>
      <c r="Z413" s="4">
        <v>360</v>
      </c>
      <c r="AA413" s="4">
        <v>366</v>
      </c>
      <c r="AB413" s="4">
        <v>3</v>
      </c>
      <c r="AC413" s="4">
        <v>3</v>
      </c>
      <c r="AD413" s="4">
        <v>14</v>
      </c>
      <c r="AE413" s="4">
        <v>14</v>
      </c>
      <c r="AF413" s="4">
        <v>5</v>
      </c>
      <c r="AG413" s="4">
        <v>5</v>
      </c>
      <c r="AH413" s="4">
        <v>1</v>
      </c>
      <c r="AI413" s="4">
        <v>1</v>
      </c>
      <c r="AJ413" s="4">
        <v>7</v>
      </c>
      <c r="AK413" s="4">
        <v>7</v>
      </c>
      <c r="AL413" s="4">
        <v>2</v>
      </c>
      <c r="AM413" s="4">
        <v>2</v>
      </c>
      <c r="AN413" s="4">
        <v>4</v>
      </c>
      <c r="AO413" s="4">
        <v>4</v>
      </c>
      <c r="AP413" s="3" t="s">
        <v>58</v>
      </c>
      <c r="AQ413" s="3" t="s">
        <v>58</v>
      </c>
      <c r="AS413" s="6" t="str">
        <f>HYPERLINK("https://creighton-primo.hosted.exlibrisgroup.com/primo-explore/search?tab=default_tab&amp;search_scope=EVERYTHING&amp;vid=01CRU&amp;lang=en_US&amp;offset=0&amp;query=any,contains,991001632469702656","Catalog Record")</f>
        <v>Catalog Record</v>
      </c>
      <c r="AT413" s="6" t="str">
        <f>HYPERLINK("http://www.worldcat.org/oclc/20931793","WorldCat Record")</f>
        <v>WorldCat Record</v>
      </c>
      <c r="AU413" s="3" t="s">
        <v>5585</v>
      </c>
      <c r="AV413" s="3" t="s">
        <v>5586</v>
      </c>
      <c r="AW413" s="3" t="s">
        <v>5587</v>
      </c>
      <c r="AX413" s="3" t="s">
        <v>5587</v>
      </c>
      <c r="AY413" s="3" t="s">
        <v>5588</v>
      </c>
      <c r="AZ413" s="3" t="s">
        <v>74</v>
      </c>
      <c r="BB413" s="3" t="s">
        <v>5589</v>
      </c>
      <c r="BC413" s="3" t="s">
        <v>5590</v>
      </c>
      <c r="BD413" s="3" t="s">
        <v>5591</v>
      </c>
    </row>
    <row r="414" spans="1:56" ht="45.75" customHeight="1" x14ac:dyDescent="0.25">
      <c r="A414" s="7" t="s">
        <v>58</v>
      </c>
      <c r="B414" s="2" t="s">
        <v>5592</v>
      </c>
      <c r="C414" s="2" t="s">
        <v>5593</v>
      </c>
      <c r="D414" s="2" t="s">
        <v>5594</v>
      </c>
      <c r="F414" s="3" t="s">
        <v>58</v>
      </c>
      <c r="G414" s="3" t="s">
        <v>59</v>
      </c>
      <c r="H414" s="3" t="s">
        <v>58</v>
      </c>
      <c r="I414" s="3" t="s">
        <v>58</v>
      </c>
      <c r="J414" s="3" t="s">
        <v>60</v>
      </c>
      <c r="K414" s="2" t="s">
        <v>5581</v>
      </c>
      <c r="L414" s="2" t="s">
        <v>5595</v>
      </c>
      <c r="M414" s="3" t="s">
        <v>83</v>
      </c>
      <c r="O414" s="3" t="s">
        <v>65</v>
      </c>
      <c r="P414" s="3" t="s">
        <v>84</v>
      </c>
      <c r="Q414" s="2" t="s">
        <v>5596</v>
      </c>
      <c r="R414" s="3" t="s">
        <v>67</v>
      </c>
      <c r="S414" s="4">
        <v>14</v>
      </c>
      <c r="T414" s="4">
        <v>14</v>
      </c>
      <c r="U414" s="5" t="s">
        <v>5583</v>
      </c>
      <c r="V414" s="5" t="s">
        <v>5583</v>
      </c>
      <c r="W414" s="5" t="s">
        <v>1758</v>
      </c>
      <c r="X414" s="5" t="s">
        <v>1758</v>
      </c>
      <c r="Y414" s="4">
        <v>426</v>
      </c>
      <c r="Z414" s="4">
        <v>373</v>
      </c>
      <c r="AA414" s="4">
        <v>374</v>
      </c>
      <c r="AB414" s="4">
        <v>3</v>
      </c>
      <c r="AC414" s="4">
        <v>3</v>
      </c>
      <c r="AD414" s="4">
        <v>14</v>
      </c>
      <c r="AE414" s="4">
        <v>14</v>
      </c>
      <c r="AF414" s="4">
        <v>0</v>
      </c>
      <c r="AG414" s="4">
        <v>0</v>
      </c>
      <c r="AH414" s="4">
        <v>4</v>
      </c>
      <c r="AI414" s="4">
        <v>4</v>
      </c>
      <c r="AJ414" s="4">
        <v>9</v>
      </c>
      <c r="AK414" s="4">
        <v>9</v>
      </c>
      <c r="AL414" s="4">
        <v>2</v>
      </c>
      <c r="AM414" s="4">
        <v>2</v>
      </c>
      <c r="AN414" s="4">
        <v>1</v>
      </c>
      <c r="AO414" s="4">
        <v>1</v>
      </c>
      <c r="AP414" s="3" t="s">
        <v>58</v>
      </c>
      <c r="AQ414" s="3" t="s">
        <v>87</v>
      </c>
      <c r="AR414" s="6" t="str">
        <f>HYPERLINK("http://catalog.hathitrust.org/Record/000493661","HathiTrust Record")</f>
        <v>HathiTrust Record</v>
      </c>
      <c r="AS414" s="6" t="str">
        <f>HYPERLINK("https://creighton-primo.hosted.exlibrisgroup.com/primo-explore/search?tab=default_tab&amp;search_scope=EVERYTHING&amp;vid=01CRU&amp;lang=en_US&amp;offset=0&amp;query=any,contains,991000823489702656","Catalog Record")</f>
        <v>Catalog Record</v>
      </c>
      <c r="AT414" s="6" t="str">
        <f>HYPERLINK("http://www.worldcat.org/oclc/13397145","WorldCat Record")</f>
        <v>WorldCat Record</v>
      </c>
      <c r="AU414" s="3" t="s">
        <v>5597</v>
      </c>
      <c r="AV414" s="3" t="s">
        <v>5598</v>
      </c>
      <c r="AW414" s="3" t="s">
        <v>5599</v>
      </c>
      <c r="AX414" s="3" t="s">
        <v>5599</v>
      </c>
      <c r="AY414" s="3" t="s">
        <v>5600</v>
      </c>
      <c r="AZ414" s="3" t="s">
        <v>74</v>
      </c>
      <c r="BB414" s="3" t="s">
        <v>5601</v>
      </c>
      <c r="BC414" s="3" t="s">
        <v>5602</v>
      </c>
      <c r="BD414" s="3" t="s">
        <v>5603</v>
      </c>
    </row>
    <row r="415" spans="1:56" ht="45.75" customHeight="1" x14ac:dyDescent="0.25">
      <c r="A415" s="7" t="s">
        <v>58</v>
      </c>
      <c r="B415" s="2" t="s">
        <v>5604</v>
      </c>
      <c r="C415" s="2" t="s">
        <v>5605</v>
      </c>
      <c r="D415" s="2" t="s">
        <v>5606</v>
      </c>
      <c r="F415" s="3" t="s">
        <v>58</v>
      </c>
      <c r="G415" s="3" t="s">
        <v>59</v>
      </c>
      <c r="H415" s="3" t="s">
        <v>58</v>
      </c>
      <c r="I415" s="3" t="s">
        <v>58</v>
      </c>
      <c r="J415" s="3" t="s">
        <v>60</v>
      </c>
      <c r="K415" s="2" t="s">
        <v>5607</v>
      </c>
      <c r="L415" s="2" t="s">
        <v>5608</v>
      </c>
      <c r="M415" s="3" t="s">
        <v>867</v>
      </c>
      <c r="O415" s="3" t="s">
        <v>65</v>
      </c>
      <c r="P415" s="3" t="s">
        <v>175</v>
      </c>
      <c r="Q415" s="2" t="s">
        <v>5609</v>
      </c>
      <c r="R415" s="3" t="s">
        <v>67</v>
      </c>
      <c r="S415" s="4">
        <v>19</v>
      </c>
      <c r="T415" s="4">
        <v>19</v>
      </c>
      <c r="U415" s="5" t="s">
        <v>5583</v>
      </c>
      <c r="V415" s="5" t="s">
        <v>5583</v>
      </c>
      <c r="W415" s="5" t="s">
        <v>5610</v>
      </c>
      <c r="X415" s="5" t="s">
        <v>5610</v>
      </c>
      <c r="Y415" s="4">
        <v>602</v>
      </c>
      <c r="Z415" s="4">
        <v>518</v>
      </c>
      <c r="AA415" s="4">
        <v>538</v>
      </c>
      <c r="AB415" s="4">
        <v>4</v>
      </c>
      <c r="AC415" s="4">
        <v>4</v>
      </c>
      <c r="AD415" s="4">
        <v>31</v>
      </c>
      <c r="AE415" s="4">
        <v>32</v>
      </c>
      <c r="AF415" s="4">
        <v>8</v>
      </c>
      <c r="AG415" s="4">
        <v>8</v>
      </c>
      <c r="AH415" s="4">
        <v>3</v>
      </c>
      <c r="AI415" s="4">
        <v>4</v>
      </c>
      <c r="AJ415" s="4">
        <v>11</v>
      </c>
      <c r="AK415" s="4">
        <v>11</v>
      </c>
      <c r="AL415" s="4">
        <v>3</v>
      </c>
      <c r="AM415" s="4">
        <v>3</v>
      </c>
      <c r="AN415" s="4">
        <v>10</v>
      </c>
      <c r="AO415" s="4">
        <v>10</v>
      </c>
      <c r="AP415" s="3" t="s">
        <v>58</v>
      </c>
      <c r="AQ415" s="3" t="s">
        <v>58</v>
      </c>
      <c r="AS415" s="6" t="str">
        <f>HYPERLINK("https://creighton-primo.hosted.exlibrisgroup.com/primo-explore/search?tab=default_tab&amp;search_scope=EVERYTHING&amp;vid=01CRU&amp;lang=en_US&amp;offset=0&amp;query=any,contains,991001912649702656","Catalog Record")</f>
        <v>Catalog Record</v>
      </c>
      <c r="AT415" s="6" t="str">
        <f>HYPERLINK("http://www.worldcat.org/oclc/24144067","WorldCat Record")</f>
        <v>WorldCat Record</v>
      </c>
      <c r="AU415" s="3" t="s">
        <v>5611</v>
      </c>
      <c r="AV415" s="3" t="s">
        <v>5612</v>
      </c>
      <c r="AW415" s="3" t="s">
        <v>5613</v>
      </c>
      <c r="AX415" s="3" t="s">
        <v>5613</v>
      </c>
      <c r="AY415" s="3" t="s">
        <v>5614</v>
      </c>
      <c r="AZ415" s="3" t="s">
        <v>74</v>
      </c>
      <c r="BB415" s="3" t="s">
        <v>5615</v>
      </c>
      <c r="BC415" s="3" t="s">
        <v>5616</v>
      </c>
      <c r="BD415" s="3" t="s">
        <v>5617</v>
      </c>
    </row>
    <row r="416" spans="1:56" ht="45.75" customHeight="1" x14ac:dyDescent="0.25">
      <c r="A416" s="7" t="s">
        <v>58</v>
      </c>
      <c r="B416" s="2" t="s">
        <v>5618</v>
      </c>
      <c r="C416" s="2" t="s">
        <v>5619</v>
      </c>
      <c r="D416" s="2" t="s">
        <v>5620</v>
      </c>
      <c r="F416" s="3" t="s">
        <v>58</v>
      </c>
      <c r="G416" s="3" t="s">
        <v>59</v>
      </c>
      <c r="H416" s="3" t="s">
        <v>58</v>
      </c>
      <c r="I416" s="3" t="s">
        <v>58</v>
      </c>
      <c r="J416" s="3" t="s">
        <v>60</v>
      </c>
      <c r="K416" s="2" t="s">
        <v>5621</v>
      </c>
      <c r="L416" s="2" t="s">
        <v>1180</v>
      </c>
      <c r="M416" s="3" t="s">
        <v>1088</v>
      </c>
      <c r="O416" s="3" t="s">
        <v>65</v>
      </c>
      <c r="P416" s="3" t="s">
        <v>84</v>
      </c>
      <c r="R416" s="3" t="s">
        <v>67</v>
      </c>
      <c r="S416" s="4">
        <v>10</v>
      </c>
      <c r="T416" s="4">
        <v>10</v>
      </c>
      <c r="U416" s="5" t="s">
        <v>5622</v>
      </c>
      <c r="V416" s="5" t="s">
        <v>5622</v>
      </c>
      <c r="W416" s="5" t="s">
        <v>3283</v>
      </c>
      <c r="X416" s="5" t="s">
        <v>3283</v>
      </c>
      <c r="Y416" s="4">
        <v>546</v>
      </c>
      <c r="Z416" s="4">
        <v>469</v>
      </c>
      <c r="AA416" s="4">
        <v>603</v>
      </c>
      <c r="AB416" s="4">
        <v>3</v>
      </c>
      <c r="AC416" s="4">
        <v>5</v>
      </c>
      <c r="AD416" s="4">
        <v>23</v>
      </c>
      <c r="AE416" s="4">
        <v>28</v>
      </c>
      <c r="AF416" s="4">
        <v>14</v>
      </c>
      <c r="AG416" s="4">
        <v>15</v>
      </c>
      <c r="AH416" s="4">
        <v>5</v>
      </c>
      <c r="AI416" s="4">
        <v>6</v>
      </c>
      <c r="AJ416" s="4">
        <v>11</v>
      </c>
      <c r="AK416" s="4">
        <v>13</v>
      </c>
      <c r="AL416" s="4">
        <v>2</v>
      </c>
      <c r="AM416" s="4">
        <v>4</v>
      </c>
      <c r="AN416" s="4">
        <v>0</v>
      </c>
      <c r="AO416" s="4">
        <v>0</v>
      </c>
      <c r="AP416" s="3" t="s">
        <v>58</v>
      </c>
      <c r="AQ416" s="3" t="s">
        <v>58</v>
      </c>
      <c r="AS416" s="6" t="str">
        <f>HYPERLINK("https://creighton-primo.hosted.exlibrisgroup.com/primo-explore/search?tab=default_tab&amp;search_scope=EVERYTHING&amp;vid=01CRU&amp;lang=en_US&amp;offset=0&amp;query=any,contains,991000573809702656","Catalog Record")</f>
        <v>Catalog Record</v>
      </c>
      <c r="AT416" s="6" t="str">
        <f>HYPERLINK("http://www.worldcat.org/oclc/11676187","WorldCat Record")</f>
        <v>WorldCat Record</v>
      </c>
      <c r="AU416" s="3" t="s">
        <v>5623</v>
      </c>
      <c r="AV416" s="3" t="s">
        <v>5624</v>
      </c>
      <c r="AW416" s="3" t="s">
        <v>5625</v>
      </c>
      <c r="AX416" s="3" t="s">
        <v>5625</v>
      </c>
      <c r="AY416" s="3" t="s">
        <v>5626</v>
      </c>
      <c r="AZ416" s="3" t="s">
        <v>74</v>
      </c>
      <c r="BB416" s="3" t="s">
        <v>5627</v>
      </c>
      <c r="BC416" s="3" t="s">
        <v>5628</v>
      </c>
      <c r="BD416" s="3" t="s">
        <v>5629</v>
      </c>
    </row>
    <row r="417" spans="1:56" ht="45.75" customHeight="1" x14ac:dyDescent="0.25">
      <c r="A417" s="7" t="s">
        <v>58</v>
      </c>
      <c r="B417" s="2" t="s">
        <v>5630</v>
      </c>
      <c r="C417" s="2" t="s">
        <v>5631</v>
      </c>
      <c r="D417" s="2" t="s">
        <v>5632</v>
      </c>
      <c r="F417" s="3" t="s">
        <v>58</v>
      </c>
      <c r="G417" s="3" t="s">
        <v>59</v>
      </c>
      <c r="H417" s="3" t="s">
        <v>58</v>
      </c>
      <c r="I417" s="3" t="s">
        <v>58</v>
      </c>
      <c r="J417" s="3" t="s">
        <v>60</v>
      </c>
      <c r="K417" s="2" t="s">
        <v>5633</v>
      </c>
      <c r="L417" s="2" t="s">
        <v>5634</v>
      </c>
      <c r="M417" s="3" t="s">
        <v>116</v>
      </c>
      <c r="N417" s="2" t="s">
        <v>543</v>
      </c>
      <c r="O417" s="3" t="s">
        <v>65</v>
      </c>
      <c r="P417" s="3" t="s">
        <v>84</v>
      </c>
      <c r="R417" s="3" t="s">
        <v>67</v>
      </c>
      <c r="S417" s="4">
        <v>5</v>
      </c>
      <c r="T417" s="4">
        <v>5</v>
      </c>
      <c r="U417" s="5" t="s">
        <v>3917</v>
      </c>
      <c r="V417" s="5" t="s">
        <v>3917</v>
      </c>
      <c r="W417" s="5" t="s">
        <v>5635</v>
      </c>
      <c r="X417" s="5" t="s">
        <v>5635</v>
      </c>
      <c r="Y417" s="4">
        <v>738</v>
      </c>
      <c r="Z417" s="4">
        <v>702</v>
      </c>
      <c r="AA417" s="4">
        <v>708</v>
      </c>
      <c r="AB417" s="4">
        <v>4</v>
      </c>
      <c r="AC417" s="4">
        <v>4</v>
      </c>
      <c r="AD417" s="4">
        <v>24</v>
      </c>
      <c r="AE417" s="4">
        <v>24</v>
      </c>
      <c r="AF417" s="4">
        <v>8</v>
      </c>
      <c r="AG417" s="4">
        <v>8</v>
      </c>
      <c r="AH417" s="4">
        <v>5</v>
      </c>
      <c r="AI417" s="4">
        <v>5</v>
      </c>
      <c r="AJ417" s="4">
        <v>13</v>
      </c>
      <c r="AK417" s="4">
        <v>13</v>
      </c>
      <c r="AL417" s="4">
        <v>3</v>
      </c>
      <c r="AM417" s="4">
        <v>3</v>
      </c>
      <c r="AN417" s="4">
        <v>1</v>
      </c>
      <c r="AO417" s="4">
        <v>1</v>
      </c>
      <c r="AP417" s="3" t="s">
        <v>58</v>
      </c>
      <c r="AQ417" s="3" t="s">
        <v>58</v>
      </c>
      <c r="AS417" s="6" t="str">
        <f>HYPERLINK("https://creighton-primo.hosted.exlibrisgroup.com/primo-explore/search?tab=default_tab&amp;search_scope=EVERYTHING&amp;vid=01CRU&amp;lang=en_US&amp;offset=0&amp;query=any,contains,991002802239702656","Catalog Record")</f>
        <v>Catalog Record</v>
      </c>
      <c r="AT417" s="6" t="str">
        <f>HYPERLINK("http://www.worldcat.org/oclc/36807426","WorldCat Record")</f>
        <v>WorldCat Record</v>
      </c>
      <c r="AU417" s="3" t="s">
        <v>5636</v>
      </c>
      <c r="AV417" s="3" t="s">
        <v>5637</v>
      </c>
      <c r="AW417" s="3" t="s">
        <v>5638</v>
      </c>
      <c r="AX417" s="3" t="s">
        <v>5638</v>
      </c>
      <c r="AY417" s="3" t="s">
        <v>5639</v>
      </c>
      <c r="AZ417" s="3" t="s">
        <v>74</v>
      </c>
      <c r="BB417" s="3" t="s">
        <v>5640</v>
      </c>
      <c r="BC417" s="3" t="s">
        <v>5641</v>
      </c>
      <c r="BD417" s="3" t="s">
        <v>5642</v>
      </c>
    </row>
    <row r="418" spans="1:56" ht="45.75" customHeight="1" x14ac:dyDescent="0.25">
      <c r="A418" s="7" t="s">
        <v>58</v>
      </c>
      <c r="B418" s="2" t="s">
        <v>5643</v>
      </c>
      <c r="C418" s="2" t="s">
        <v>5644</v>
      </c>
      <c r="D418" s="2" t="s">
        <v>5645</v>
      </c>
      <c r="F418" s="3" t="s">
        <v>58</v>
      </c>
      <c r="G418" s="3" t="s">
        <v>59</v>
      </c>
      <c r="H418" s="3" t="s">
        <v>58</v>
      </c>
      <c r="I418" s="3" t="s">
        <v>58</v>
      </c>
      <c r="J418" s="3" t="s">
        <v>60</v>
      </c>
      <c r="K418" s="2" t="s">
        <v>5646</v>
      </c>
      <c r="L418" s="2" t="s">
        <v>5647</v>
      </c>
      <c r="M418" s="3" t="s">
        <v>63</v>
      </c>
      <c r="O418" s="3" t="s">
        <v>65</v>
      </c>
      <c r="P418" s="3" t="s">
        <v>204</v>
      </c>
      <c r="Q418" s="2" t="s">
        <v>5648</v>
      </c>
      <c r="R418" s="3" t="s">
        <v>67</v>
      </c>
      <c r="S418" s="4">
        <v>2</v>
      </c>
      <c r="T418" s="4">
        <v>2</v>
      </c>
      <c r="U418" s="5" t="s">
        <v>5649</v>
      </c>
      <c r="V418" s="5" t="s">
        <v>5649</v>
      </c>
      <c r="W418" s="5" t="s">
        <v>5650</v>
      </c>
      <c r="X418" s="5" t="s">
        <v>5650</v>
      </c>
      <c r="Y418" s="4">
        <v>207</v>
      </c>
      <c r="Z418" s="4">
        <v>180</v>
      </c>
      <c r="AA418" s="4">
        <v>405</v>
      </c>
      <c r="AB418" s="4">
        <v>2</v>
      </c>
      <c r="AC418" s="4">
        <v>3</v>
      </c>
      <c r="AD418" s="4">
        <v>10</v>
      </c>
      <c r="AE418" s="4">
        <v>21</v>
      </c>
      <c r="AF418" s="4">
        <v>3</v>
      </c>
      <c r="AG418" s="4">
        <v>9</v>
      </c>
      <c r="AH418" s="4">
        <v>3</v>
      </c>
      <c r="AI418" s="4">
        <v>6</v>
      </c>
      <c r="AJ418" s="4">
        <v>6</v>
      </c>
      <c r="AK418" s="4">
        <v>10</v>
      </c>
      <c r="AL418" s="4">
        <v>1</v>
      </c>
      <c r="AM418" s="4">
        <v>2</v>
      </c>
      <c r="AN418" s="4">
        <v>0</v>
      </c>
      <c r="AO418" s="4">
        <v>0</v>
      </c>
      <c r="AP418" s="3" t="s">
        <v>58</v>
      </c>
      <c r="AQ418" s="3" t="s">
        <v>58</v>
      </c>
      <c r="AS418" s="6" t="str">
        <f>HYPERLINK("https://creighton-primo.hosted.exlibrisgroup.com/primo-explore/search?tab=default_tab&amp;search_scope=EVERYTHING&amp;vid=01CRU&amp;lang=en_US&amp;offset=0&amp;query=any,contains,991004714419702656","Catalog Record")</f>
        <v>Catalog Record</v>
      </c>
      <c r="AT418" s="6" t="str">
        <f>HYPERLINK("http://www.worldcat.org/oclc/56825150","WorldCat Record")</f>
        <v>WorldCat Record</v>
      </c>
      <c r="AU418" s="3" t="s">
        <v>5651</v>
      </c>
      <c r="AV418" s="3" t="s">
        <v>5652</v>
      </c>
      <c r="AW418" s="3" t="s">
        <v>5653</v>
      </c>
      <c r="AX418" s="3" t="s">
        <v>5653</v>
      </c>
      <c r="AY418" s="3" t="s">
        <v>5654</v>
      </c>
      <c r="AZ418" s="3" t="s">
        <v>74</v>
      </c>
      <c r="BB418" s="3" t="s">
        <v>5655</v>
      </c>
      <c r="BC418" s="3" t="s">
        <v>5656</v>
      </c>
      <c r="BD418" s="3" t="s">
        <v>5657</v>
      </c>
    </row>
    <row r="419" spans="1:56" ht="45.75" customHeight="1" x14ac:dyDescent="0.25">
      <c r="A419" s="7" t="s">
        <v>58</v>
      </c>
      <c r="B419" s="2" t="s">
        <v>5658</v>
      </c>
      <c r="C419" s="2" t="s">
        <v>5659</v>
      </c>
      <c r="D419" s="2" t="s">
        <v>5660</v>
      </c>
      <c r="F419" s="3" t="s">
        <v>58</v>
      </c>
      <c r="G419" s="3" t="s">
        <v>59</v>
      </c>
      <c r="H419" s="3" t="s">
        <v>58</v>
      </c>
      <c r="I419" s="3" t="s">
        <v>58</v>
      </c>
      <c r="J419" s="3" t="s">
        <v>60</v>
      </c>
      <c r="K419" s="2" t="s">
        <v>5661</v>
      </c>
      <c r="L419" s="2" t="s">
        <v>5662</v>
      </c>
      <c r="M419" s="3" t="s">
        <v>1032</v>
      </c>
      <c r="O419" s="3" t="s">
        <v>65</v>
      </c>
      <c r="P419" s="3" t="s">
        <v>204</v>
      </c>
      <c r="R419" s="3" t="s">
        <v>67</v>
      </c>
      <c r="S419" s="4">
        <v>6</v>
      </c>
      <c r="T419" s="4">
        <v>6</v>
      </c>
      <c r="U419" s="5" t="s">
        <v>5663</v>
      </c>
      <c r="V419" s="5" t="s">
        <v>5663</v>
      </c>
      <c r="W419" s="5" t="s">
        <v>5664</v>
      </c>
      <c r="X419" s="5" t="s">
        <v>5664</v>
      </c>
      <c r="Y419" s="4">
        <v>371</v>
      </c>
      <c r="Z419" s="4">
        <v>312</v>
      </c>
      <c r="AA419" s="4">
        <v>317</v>
      </c>
      <c r="AB419" s="4">
        <v>2</v>
      </c>
      <c r="AC419" s="4">
        <v>2</v>
      </c>
      <c r="AD419" s="4">
        <v>13</v>
      </c>
      <c r="AE419" s="4">
        <v>13</v>
      </c>
      <c r="AF419" s="4">
        <v>4</v>
      </c>
      <c r="AG419" s="4">
        <v>4</v>
      </c>
      <c r="AH419" s="4">
        <v>5</v>
      </c>
      <c r="AI419" s="4">
        <v>5</v>
      </c>
      <c r="AJ419" s="4">
        <v>8</v>
      </c>
      <c r="AK419" s="4">
        <v>8</v>
      </c>
      <c r="AL419" s="4">
        <v>1</v>
      </c>
      <c r="AM419" s="4">
        <v>1</v>
      </c>
      <c r="AN419" s="4">
        <v>1</v>
      </c>
      <c r="AO419" s="4">
        <v>1</v>
      </c>
      <c r="AP419" s="3" t="s">
        <v>58</v>
      </c>
      <c r="AQ419" s="3" t="s">
        <v>87</v>
      </c>
      <c r="AR419" s="6" t="str">
        <f>HYPERLINK("http://catalog.hathitrust.org/Record/003943690","HathiTrust Record")</f>
        <v>HathiTrust Record</v>
      </c>
      <c r="AS419" s="6" t="str">
        <f>HYPERLINK("https://creighton-primo.hosted.exlibrisgroup.com/primo-explore/search?tab=default_tab&amp;search_scope=EVERYTHING&amp;vid=01CRU&amp;lang=en_US&amp;offset=0&amp;query=any,contains,991005425359702656","Catalog Record")</f>
        <v>Catalog Record</v>
      </c>
      <c r="AT419" s="6" t="str">
        <f>HYPERLINK("http://www.worldcat.org/oclc/36037841","WorldCat Record")</f>
        <v>WorldCat Record</v>
      </c>
      <c r="AU419" s="3" t="s">
        <v>5665</v>
      </c>
      <c r="AV419" s="3" t="s">
        <v>5666</v>
      </c>
      <c r="AW419" s="3" t="s">
        <v>5667</v>
      </c>
      <c r="AX419" s="3" t="s">
        <v>5667</v>
      </c>
      <c r="AY419" s="3" t="s">
        <v>5668</v>
      </c>
      <c r="AZ419" s="3" t="s">
        <v>74</v>
      </c>
      <c r="BB419" s="3" t="s">
        <v>5669</v>
      </c>
      <c r="BC419" s="3" t="s">
        <v>5670</v>
      </c>
      <c r="BD419" s="3" t="s">
        <v>5671</v>
      </c>
    </row>
    <row r="420" spans="1:56" ht="45.75" customHeight="1" x14ac:dyDescent="0.25">
      <c r="A420" s="7" t="s">
        <v>58</v>
      </c>
      <c r="B420" s="2" t="s">
        <v>5672</v>
      </c>
      <c r="C420" s="2" t="s">
        <v>5673</v>
      </c>
      <c r="D420" s="2" t="s">
        <v>5674</v>
      </c>
      <c r="F420" s="3" t="s">
        <v>58</v>
      </c>
      <c r="G420" s="3" t="s">
        <v>59</v>
      </c>
      <c r="H420" s="3" t="s">
        <v>58</v>
      </c>
      <c r="I420" s="3" t="s">
        <v>58</v>
      </c>
      <c r="J420" s="3" t="s">
        <v>60</v>
      </c>
      <c r="K420" s="2" t="s">
        <v>5675</v>
      </c>
      <c r="L420" s="2" t="s">
        <v>5676</v>
      </c>
      <c r="M420" s="3" t="s">
        <v>573</v>
      </c>
      <c r="N420" s="2" t="s">
        <v>5677</v>
      </c>
      <c r="O420" s="3" t="s">
        <v>65</v>
      </c>
      <c r="P420" s="3" t="s">
        <v>84</v>
      </c>
      <c r="R420" s="3" t="s">
        <v>67</v>
      </c>
      <c r="S420" s="4">
        <v>8</v>
      </c>
      <c r="T420" s="4">
        <v>8</v>
      </c>
      <c r="U420" s="5" t="s">
        <v>5678</v>
      </c>
      <c r="V420" s="5" t="s">
        <v>5678</v>
      </c>
      <c r="W420" s="5" t="s">
        <v>5679</v>
      </c>
      <c r="X420" s="5" t="s">
        <v>5679</v>
      </c>
      <c r="Y420" s="4">
        <v>484</v>
      </c>
      <c r="Z420" s="4">
        <v>417</v>
      </c>
      <c r="AA420" s="4">
        <v>524</v>
      </c>
      <c r="AB420" s="4">
        <v>3</v>
      </c>
      <c r="AC420" s="4">
        <v>3</v>
      </c>
      <c r="AD420" s="4">
        <v>21</v>
      </c>
      <c r="AE420" s="4">
        <v>24</v>
      </c>
      <c r="AF420" s="4">
        <v>9</v>
      </c>
      <c r="AG420" s="4">
        <v>11</v>
      </c>
      <c r="AH420" s="4">
        <v>5</v>
      </c>
      <c r="AI420" s="4">
        <v>6</v>
      </c>
      <c r="AJ420" s="4">
        <v>12</v>
      </c>
      <c r="AK420" s="4">
        <v>13</v>
      </c>
      <c r="AL420" s="4">
        <v>2</v>
      </c>
      <c r="AM420" s="4">
        <v>2</v>
      </c>
      <c r="AN420" s="4">
        <v>0</v>
      </c>
      <c r="AO420" s="4">
        <v>0</v>
      </c>
      <c r="AP420" s="3" t="s">
        <v>58</v>
      </c>
      <c r="AQ420" s="3" t="s">
        <v>58</v>
      </c>
      <c r="AS420" s="6" t="str">
        <f>HYPERLINK("https://creighton-primo.hosted.exlibrisgroup.com/primo-explore/search?tab=default_tab&amp;search_scope=EVERYTHING&amp;vid=01CRU&amp;lang=en_US&amp;offset=0&amp;query=any,contains,991004004649702656","Catalog Record")</f>
        <v>Catalog Record</v>
      </c>
      <c r="AT420" s="6" t="str">
        <f>HYPERLINK("http://www.worldcat.org/oclc/50773179","WorldCat Record")</f>
        <v>WorldCat Record</v>
      </c>
      <c r="AU420" s="3" t="s">
        <v>5680</v>
      </c>
      <c r="AV420" s="3" t="s">
        <v>5681</v>
      </c>
      <c r="AW420" s="3" t="s">
        <v>5682</v>
      </c>
      <c r="AX420" s="3" t="s">
        <v>5682</v>
      </c>
      <c r="AY420" s="3" t="s">
        <v>5683</v>
      </c>
      <c r="AZ420" s="3" t="s">
        <v>74</v>
      </c>
      <c r="BB420" s="3" t="s">
        <v>5684</v>
      </c>
      <c r="BC420" s="3" t="s">
        <v>5685</v>
      </c>
      <c r="BD420" s="3" t="s">
        <v>5686</v>
      </c>
    </row>
    <row r="421" spans="1:56" ht="45.75" customHeight="1" x14ac:dyDescent="0.25">
      <c r="A421" s="7" t="s">
        <v>58</v>
      </c>
      <c r="B421" s="2" t="s">
        <v>5687</v>
      </c>
      <c r="C421" s="2" t="s">
        <v>5688</v>
      </c>
      <c r="D421" s="2" t="s">
        <v>5689</v>
      </c>
      <c r="F421" s="3" t="s">
        <v>58</v>
      </c>
      <c r="G421" s="3" t="s">
        <v>59</v>
      </c>
      <c r="H421" s="3" t="s">
        <v>58</v>
      </c>
      <c r="I421" s="3" t="s">
        <v>58</v>
      </c>
      <c r="J421" s="3" t="s">
        <v>60</v>
      </c>
      <c r="K421" s="2" t="s">
        <v>5690</v>
      </c>
      <c r="L421" s="2" t="s">
        <v>5691</v>
      </c>
      <c r="M421" s="3" t="s">
        <v>147</v>
      </c>
      <c r="O421" s="3" t="s">
        <v>65</v>
      </c>
      <c r="P421" s="3" t="s">
        <v>84</v>
      </c>
      <c r="R421" s="3" t="s">
        <v>67</v>
      </c>
      <c r="S421" s="4">
        <v>5</v>
      </c>
      <c r="T421" s="4">
        <v>5</v>
      </c>
      <c r="U421" s="5" t="s">
        <v>5692</v>
      </c>
      <c r="V421" s="5" t="s">
        <v>5692</v>
      </c>
      <c r="W421" s="5" t="s">
        <v>5693</v>
      </c>
      <c r="X421" s="5" t="s">
        <v>5693</v>
      </c>
      <c r="Y421" s="4">
        <v>257</v>
      </c>
      <c r="Z421" s="4">
        <v>214</v>
      </c>
      <c r="AA421" s="4">
        <v>214</v>
      </c>
      <c r="AB421" s="4">
        <v>2</v>
      </c>
      <c r="AC421" s="4">
        <v>2</v>
      </c>
      <c r="AD421" s="4">
        <v>9</v>
      </c>
      <c r="AE421" s="4">
        <v>9</v>
      </c>
      <c r="AF421" s="4">
        <v>3</v>
      </c>
      <c r="AG421" s="4">
        <v>3</v>
      </c>
      <c r="AH421" s="4">
        <v>3</v>
      </c>
      <c r="AI421" s="4">
        <v>3</v>
      </c>
      <c r="AJ421" s="4">
        <v>7</v>
      </c>
      <c r="AK421" s="4">
        <v>7</v>
      </c>
      <c r="AL421" s="4">
        <v>1</v>
      </c>
      <c r="AM421" s="4">
        <v>1</v>
      </c>
      <c r="AN421" s="4">
        <v>0</v>
      </c>
      <c r="AO421" s="4">
        <v>0</v>
      </c>
      <c r="AP421" s="3" t="s">
        <v>58</v>
      </c>
      <c r="AQ421" s="3" t="s">
        <v>58</v>
      </c>
      <c r="AS421" s="6" t="str">
        <f>HYPERLINK("https://creighton-primo.hosted.exlibrisgroup.com/primo-explore/search?tab=default_tab&amp;search_scope=EVERYTHING&amp;vid=01CRU&amp;lang=en_US&amp;offset=0&amp;query=any,contains,991004290079702656","Catalog Record")</f>
        <v>Catalog Record</v>
      </c>
      <c r="AT421" s="6" t="str">
        <f>HYPERLINK("http://www.worldcat.org/oclc/52819956","WorldCat Record")</f>
        <v>WorldCat Record</v>
      </c>
      <c r="AU421" s="3" t="s">
        <v>5694</v>
      </c>
      <c r="AV421" s="3" t="s">
        <v>5695</v>
      </c>
      <c r="AW421" s="3" t="s">
        <v>5696</v>
      </c>
      <c r="AX421" s="3" t="s">
        <v>5696</v>
      </c>
      <c r="AY421" s="3" t="s">
        <v>5697</v>
      </c>
      <c r="AZ421" s="3" t="s">
        <v>74</v>
      </c>
      <c r="BB421" s="3" t="s">
        <v>5698</v>
      </c>
      <c r="BC421" s="3" t="s">
        <v>5699</v>
      </c>
      <c r="BD421" s="3" t="s">
        <v>5700</v>
      </c>
    </row>
    <row r="422" spans="1:56" ht="45.75" customHeight="1" x14ac:dyDescent="0.25">
      <c r="A422" s="7" t="s">
        <v>58</v>
      </c>
      <c r="B422" s="2" t="s">
        <v>5701</v>
      </c>
      <c r="C422" s="2" t="s">
        <v>5702</v>
      </c>
      <c r="D422" s="2" t="s">
        <v>5703</v>
      </c>
      <c r="F422" s="3" t="s">
        <v>58</v>
      </c>
      <c r="G422" s="3" t="s">
        <v>59</v>
      </c>
      <c r="H422" s="3" t="s">
        <v>58</v>
      </c>
      <c r="I422" s="3" t="s">
        <v>58</v>
      </c>
      <c r="J422" s="3" t="s">
        <v>60</v>
      </c>
      <c r="K422" s="2" t="s">
        <v>5704</v>
      </c>
      <c r="L422" s="2" t="s">
        <v>5705</v>
      </c>
      <c r="M422" s="3" t="s">
        <v>116</v>
      </c>
      <c r="N422" s="2" t="s">
        <v>5706</v>
      </c>
      <c r="O422" s="3" t="s">
        <v>1527</v>
      </c>
      <c r="P422" s="3" t="s">
        <v>5707</v>
      </c>
      <c r="R422" s="3" t="s">
        <v>67</v>
      </c>
      <c r="S422" s="4">
        <v>1</v>
      </c>
      <c r="T422" s="4">
        <v>1</v>
      </c>
      <c r="U422" s="5" t="s">
        <v>3602</v>
      </c>
      <c r="V422" s="5" t="s">
        <v>3602</v>
      </c>
      <c r="W422" s="5" t="s">
        <v>5708</v>
      </c>
      <c r="X422" s="5" t="s">
        <v>5708</v>
      </c>
      <c r="Y422" s="4">
        <v>29</v>
      </c>
      <c r="Z422" s="4">
        <v>29</v>
      </c>
      <c r="AA422" s="4">
        <v>32</v>
      </c>
      <c r="AB422" s="4">
        <v>1</v>
      </c>
      <c r="AC422" s="4">
        <v>1</v>
      </c>
      <c r="AD422" s="4">
        <v>2</v>
      </c>
      <c r="AE422" s="4">
        <v>2</v>
      </c>
      <c r="AF422" s="4">
        <v>0</v>
      </c>
      <c r="AG422" s="4">
        <v>0</v>
      </c>
      <c r="AH422" s="4">
        <v>1</v>
      </c>
      <c r="AI422" s="4">
        <v>1</v>
      </c>
      <c r="AJ422" s="4">
        <v>1</v>
      </c>
      <c r="AK422" s="4">
        <v>1</v>
      </c>
      <c r="AL422" s="4">
        <v>0</v>
      </c>
      <c r="AM422" s="4">
        <v>0</v>
      </c>
      <c r="AN422" s="4">
        <v>0</v>
      </c>
      <c r="AO422" s="4">
        <v>0</v>
      </c>
      <c r="AP422" s="3" t="s">
        <v>58</v>
      </c>
      <c r="AQ422" s="3" t="s">
        <v>58</v>
      </c>
      <c r="AS422" s="6" t="str">
        <f>HYPERLINK("https://creighton-primo.hosted.exlibrisgroup.com/primo-explore/search?tab=default_tab&amp;search_scope=EVERYTHING&amp;vid=01CRU&amp;lang=en_US&amp;offset=0&amp;query=any,contains,991002960589702656","Catalog Record")</f>
        <v>Catalog Record</v>
      </c>
      <c r="AT422" s="6" t="str">
        <f>HYPERLINK("http://www.worldcat.org/oclc/39556754","WorldCat Record")</f>
        <v>WorldCat Record</v>
      </c>
      <c r="AU422" s="3" t="s">
        <v>5709</v>
      </c>
      <c r="AV422" s="3" t="s">
        <v>5710</v>
      </c>
      <c r="AW422" s="3" t="s">
        <v>5711</v>
      </c>
      <c r="AX422" s="3" t="s">
        <v>5711</v>
      </c>
      <c r="AY422" s="3" t="s">
        <v>5712</v>
      </c>
      <c r="AZ422" s="3" t="s">
        <v>74</v>
      </c>
      <c r="BC422" s="3" t="s">
        <v>5713</v>
      </c>
      <c r="BD422" s="3" t="s">
        <v>5714</v>
      </c>
    </row>
    <row r="423" spans="1:56" ht="45.75" customHeight="1" x14ac:dyDescent="0.25">
      <c r="A423" s="7" t="s">
        <v>58</v>
      </c>
      <c r="B423" s="2" t="s">
        <v>5715</v>
      </c>
      <c r="C423" s="2" t="s">
        <v>5716</v>
      </c>
      <c r="D423" s="2" t="s">
        <v>5717</v>
      </c>
      <c r="F423" s="3" t="s">
        <v>58</v>
      </c>
      <c r="G423" s="3" t="s">
        <v>59</v>
      </c>
      <c r="H423" s="3" t="s">
        <v>58</v>
      </c>
      <c r="I423" s="3" t="s">
        <v>58</v>
      </c>
      <c r="J423" s="3" t="s">
        <v>60</v>
      </c>
      <c r="L423" s="2" t="s">
        <v>5718</v>
      </c>
      <c r="M423" s="3" t="s">
        <v>290</v>
      </c>
      <c r="O423" s="3" t="s">
        <v>5719</v>
      </c>
      <c r="P423" s="3" t="s">
        <v>5720</v>
      </c>
      <c r="Q423" s="2" t="s">
        <v>5721</v>
      </c>
      <c r="R423" s="3" t="s">
        <v>67</v>
      </c>
      <c r="S423" s="4">
        <v>1</v>
      </c>
      <c r="T423" s="4">
        <v>1</v>
      </c>
      <c r="U423" s="5" t="s">
        <v>759</v>
      </c>
      <c r="V423" s="5" t="s">
        <v>759</v>
      </c>
      <c r="W423" s="5" t="s">
        <v>5722</v>
      </c>
      <c r="X423" s="5" t="s">
        <v>5722</v>
      </c>
      <c r="Y423" s="4">
        <v>7</v>
      </c>
      <c r="Z423" s="4">
        <v>2</v>
      </c>
      <c r="AA423" s="4">
        <v>2</v>
      </c>
      <c r="AB423" s="4">
        <v>1</v>
      </c>
      <c r="AC423" s="4">
        <v>1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3" t="s">
        <v>58</v>
      </c>
      <c r="AQ423" s="3" t="s">
        <v>58</v>
      </c>
      <c r="AS423" s="6" t="str">
        <f>HYPERLINK("https://creighton-primo.hosted.exlibrisgroup.com/primo-explore/search?tab=default_tab&amp;search_scope=EVERYTHING&amp;vid=01CRU&amp;lang=en_US&amp;offset=0&amp;query=any,contains,991003783299702656","Catalog Record")</f>
        <v>Catalog Record</v>
      </c>
      <c r="AT423" s="6" t="str">
        <f>HYPERLINK("http://www.worldcat.org/oclc/49349023","WorldCat Record")</f>
        <v>WorldCat Record</v>
      </c>
      <c r="AU423" s="3" t="s">
        <v>5723</v>
      </c>
      <c r="AV423" s="3" t="s">
        <v>5724</v>
      </c>
      <c r="AW423" s="3" t="s">
        <v>5725</v>
      </c>
      <c r="AX423" s="3" t="s">
        <v>5725</v>
      </c>
      <c r="AY423" s="3" t="s">
        <v>5726</v>
      </c>
      <c r="AZ423" s="3" t="s">
        <v>74</v>
      </c>
      <c r="BB423" s="3" t="s">
        <v>5727</v>
      </c>
      <c r="BC423" s="3" t="s">
        <v>5728</v>
      </c>
      <c r="BD423" s="3" t="s">
        <v>5729</v>
      </c>
    </row>
    <row r="424" spans="1:56" ht="45.75" customHeight="1" x14ac:dyDescent="0.25">
      <c r="A424" s="7" t="s">
        <v>58</v>
      </c>
      <c r="B424" s="2" t="s">
        <v>5730</v>
      </c>
      <c r="C424" s="2" t="s">
        <v>5731</v>
      </c>
      <c r="D424" s="2" t="s">
        <v>5732</v>
      </c>
      <c r="F424" s="3" t="s">
        <v>58</v>
      </c>
      <c r="G424" s="3" t="s">
        <v>59</v>
      </c>
      <c r="H424" s="3" t="s">
        <v>58</v>
      </c>
      <c r="I424" s="3" t="s">
        <v>58</v>
      </c>
      <c r="J424" s="3" t="s">
        <v>60</v>
      </c>
      <c r="K424" s="2" t="s">
        <v>5733</v>
      </c>
      <c r="L424" s="2" t="s">
        <v>5734</v>
      </c>
      <c r="M424" s="3" t="s">
        <v>2324</v>
      </c>
      <c r="O424" s="3" t="s">
        <v>65</v>
      </c>
      <c r="P424" s="3" t="s">
        <v>175</v>
      </c>
      <c r="R424" s="3" t="s">
        <v>67</v>
      </c>
      <c r="S424" s="4">
        <v>8</v>
      </c>
      <c r="T424" s="4">
        <v>8</v>
      </c>
      <c r="U424" s="5" t="s">
        <v>5735</v>
      </c>
      <c r="V424" s="5" t="s">
        <v>5735</v>
      </c>
      <c r="W424" s="5" t="s">
        <v>4776</v>
      </c>
      <c r="X424" s="5" t="s">
        <v>4776</v>
      </c>
      <c r="Y424" s="4">
        <v>301</v>
      </c>
      <c r="Z424" s="4">
        <v>196</v>
      </c>
      <c r="AA424" s="4">
        <v>203</v>
      </c>
      <c r="AB424" s="4">
        <v>1</v>
      </c>
      <c r="AC424" s="4">
        <v>1</v>
      </c>
      <c r="AD424" s="4">
        <v>11</v>
      </c>
      <c r="AE424" s="4">
        <v>12</v>
      </c>
      <c r="AF424" s="4">
        <v>2</v>
      </c>
      <c r="AG424" s="4">
        <v>3</v>
      </c>
      <c r="AH424" s="4">
        <v>5</v>
      </c>
      <c r="AI424" s="4">
        <v>5</v>
      </c>
      <c r="AJ424" s="4">
        <v>6</v>
      </c>
      <c r="AK424" s="4">
        <v>7</v>
      </c>
      <c r="AL424" s="4">
        <v>0</v>
      </c>
      <c r="AM424" s="4">
        <v>0</v>
      </c>
      <c r="AN424" s="4">
        <v>0</v>
      </c>
      <c r="AO424" s="4">
        <v>0</v>
      </c>
      <c r="AP424" s="3" t="s">
        <v>58</v>
      </c>
      <c r="AQ424" s="3" t="s">
        <v>87</v>
      </c>
      <c r="AR424" s="6" t="str">
        <f>HYPERLINK("http://catalog.hathitrust.org/Record/002198507","HathiTrust Record")</f>
        <v>HathiTrust Record</v>
      </c>
      <c r="AS424" s="6" t="str">
        <f>HYPERLINK("https://creighton-primo.hosted.exlibrisgroup.com/primo-explore/search?tab=default_tab&amp;search_scope=EVERYTHING&amp;vid=01CRU&amp;lang=en_US&amp;offset=0&amp;query=any,contains,991000315539702656","Catalog Record")</f>
        <v>Catalog Record</v>
      </c>
      <c r="AT424" s="6" t="str">
        <f>HYPERLINK("http://www.worldcat.org/oclc/10118290","WorldCat Record")</f>
        <v>WorldCat Record</v>
      </c>
      <c r="AU424" s="3" t="s">
        <v>5736</v>
      </c>
      <c r="AV424" s="3" t="s">
        <v>5737</v>
      </c>
      <c r="AW424" s="3" t="s">
        <v>5738</v>
      </c>
      <c r="AX424" s="3" t="s">
        <v>5738</v>
      </c>
      <c r="AY424" s="3" t="s">
        <v>5739</v>
      </c>
      <c r="AZ424" s="3" t="s">
        <v>74</v>
      </c>
      <c r="BB424" s="3" t="s">
        <v>5740</v>
      </c>
      <c r="BC424" s="3" t="s">
        <v>5741</v>
      </c>
      <c r="BD424" s="3" t="s">
        <v>5742</v>
      </c>
    </row>
    <row r="425" spans="1:56" ht="45.75" customHeight="1" x14ac:dyDescent="0.25">
      <c r="A425" s="7" t="s">
        <v>58</v>
      </c>
      <c r="B425" s="2" t="s">
        <v>5743</v>
      </c>
      <c r="C425" s="2" t="s">
        <v>5744</v>
      </c>
      <c r="D425" s="2" t="s">
        <v>5745</v>
      </c>
      <c r="E425" s="3" t="s">
        <v>5746</v>
      </c>
      <c r="F425" s="3" t="s">
        <v>58</v>
      </c>
      <c r="G425" s="3" t="s">
        <v>59</v>
      </c>
      <c r="H425" s="3" t="s">
        <v>58</v>
      </c>
      <c r="I425" s="3" t="s">
        <v>58</v>
      </c>
      <c r="J425" s="3" t="s">
        <v>60</v>
      </c>
      <c r="L425" s="2" t="s">
        <v>5747</v>
      </c>
      <c r="M425" s="3" t="s">
        <v>220</v>
      </c>
      <c r="O425" s="3" t="s">
        <v>65</v>
      </c>
      <c r="P425" s="3" t="s">
        <v>336</v>
      </c>
      <c r="Q425" s="2" t="s">
        <v>5748</v>
      </c>
      <c r="R425" s="3" t="s">
        <v>67</v>
      </c>
      <c r="S425" s="4">
        <v>5</v>
      </c>
      <c r="T425" s="4">
        <v>5</v>
      </c>
      <c r="U425" s="5" t="s">
        <v>5749</v>
      </c>
      <c r="V425" s="5" t="s">
        <v>5749</v>
      </c>
      <c r="W425" s="5" t="s">
        <v>5750</v>
      </c>
      <c r="X425" s="5" t="s">
        <v>5750</v>
      </c>
      <c r="Y425" s="4">
        <v>271</v>
      </c>
      <c r="Z425" s="4">
        <v>219</v>
      </c>
      <c r="AA425" s="4">
        <v>252</v>
      </c>
      <c r="AB425" s="4">
        <v>2</v>
      </c>
      <c r="AC425" s="4">
        <v>2</v>
      </c>
      <c r="AD425" s="4">
        <v>17</v>
      </c>
      <c r="AE425" s="4">
        <v>17</v>
      </c>
      <c r="AF425" s="4">
        <v>2</v>
      </c>
      <c r="AG425" s="4">
        <v>2</v>
      </c>
      <c r="AH425" s="4">
        <v>2</v>
      </c>
      <c r="AI425" s="4">
        <v>2</v>
      </c>
      <c r="AJ425" s="4">
        <v>7</v>
      </c>
      <c r="AK425" s="4">
        <v>7</v>
      </c>
      <c r="AL425" s="4">
        <v>1</v>
      </c>
      <c r="AM425" s="4">
        <v>1</v>
      </c>
      <c r="AN425" s="4">
        <v>7</v>
      </c>
      <c r="AO425" s="4">
        <v>7</v>
      </c>
      <c r="AP425" s="3" t="s">
        <v>58</v>
      </c>
      <c r="AQ425" s="3" t="s">
        <v>58</v>
      </c>
      <c r="AS425" s="6" t="str">
        <f>HYPERLINK("https://creighton-primo.hosted.exlibrisgroup.com/primo-explore/search?tab=default_tab&amp;search_scope=EVERYTHING&amp;vid=01CRU&amp;lang=en_US&amp;offset=0&amp;query=any,contains,991003000539702656","Catalog Record")</f>
        <v>Catalog Record</v>
      </c>
      <c r="AT425" s="6" t="str">
        <f>HYPERLINK("http://www.worldcat.org/oclc/40644755","WorldCat Record")</f>
        <v>WorldCat Record</v>
      </c>
      <c r="AU425" s="3" t="s">
        <v>5751</v>
      </c>
      <c r="AV425" s="3" t="s">
        <v>5752</v>
      </c>
      <c r="AW425" s="3" t="s">
        <v>5753</v>
      </c>
      <c r="AX425" s="3" t="s">
        <v>5753</v>
      </c>
      <c r="AY425" s="3" t="s">
        <v>5754</v>
      </c>
      <c r="AZ425" s="3" t="s">
        <v>74</v>
      </c>
      <c r="BB425" s="3" t="s">
        <v>5755</v>
      </c>
      <c r="BC425" s="3" t="s">
        <v>5756</v>
      </c>
      <c r="BD425" s="3" t="s">
        <v>5757</v>
      </c>
    </row>
    <row r="426" spans="1:56" ht="45.75" customHeight="1" x14ac:dyDescent="0.25">
      <c r="A426" s="7" t="s">
        <v>58</v>
      </c>
      <c r="B426" s="2" t="s">
        <v>5758</v>
      </c>
      <c r="C426" s="2" t="s">
        <v>5759</v>
      </c>
      <c r="D426" s="2" t="s">
        <v>5760</v>
      </c>
      <c r="E426" s="3" t="s">
        <v>5761</v>
      </c>
      <c r="F426" s="3" t="s">
        <v>58</v>
      </c>
      <c r="G426" s="3" t="s">
        <v>59</v>
      </c>
      <c r="H426" s="3" t="s">
        <v>58</v>
      </c>
      <c r="I426" s="3" t="s">
        <v>58</v>
      </c>
      <c r="J426" s="3" t="s">
        <v>60</v>
      </c>
      <c r="L426" s="2" t="s">
        <v>5762</v>
      </c>
      <c r="M426" s="3" t="s">
        <v>1032</v>
      </c>
      <c r="O426" s="3" t="s">
        <v>65</v>
      </c>
      <c r="P426" s="3" t="s">
        <v>190</v>
      </c>
      <c r="Q426" s="2" t="s">
        <v>5763</v>
      </c>
      <c r="R426" s="3" t="s">
        <v>67</v>
      </c>
      <c r="S426" s="4">
        <v>3</v>
      </c>
      <c r="T426" s="4">
        <v>3</v>
      </c>
      <c r="U426" s="5" t="s">
        <v>5764</v>
      </c>
      <c r="V426" s="5" t="s">
        <v>5764</v>
      </c>
      <c r="W426" s="5" t="s">
        <v>5765</v>
      </c>
      <c r="X426" s="5" t="s">
        <v>5765</v>
      </c>
      <c r="Y426" s="4">
        <v>463</v>
      </c>
      <c r="Z426" s="4">
        <v>353</v>
      </c>
      <c r="AA426" s="4">
        <v>358</v>
      </c>
      <c r="AB426" s="4">
        <v>5</v>
      </c>
      <c r="AC426" s="4">
        <v>5</v>
      </c>
      <c r="AD426" s="4">
        <v>19</v>
      </c>
      <c r="AE426" s="4">
        <v>19</v>
      </c>
      <c r="AF426" s="4">
        <v>5</v>
      </c>
      <c r="AG426" s="4">
        <v>5</v>
      </c>
      <c r="AH426" s="4">
        <v>2</v>
      </c>
      <c r="AI426" s="4">
        <v>2</v>
      </c>
      <c r="AJ426" s="4">
        <v>7</v>
      </c>
      <c r="AK426" s="4">
        <v>7</v>
      </c>
      <c r="AL426" s="4">
        <v>2</v>
      </c>
      <c r="AM426" s="4">
        <v>2</v>
      </c>
      <c r="AN426" s="4">
        <v>7</v>
      </c>
      <c r="AO426" s="4">
        <v>7</v>
      </c>
      <c r="AP426" s="3" t="s">
        <v>58</v>
      </c>
      <c r="AQ426" s="3" t="s">
        <v>58</v>
      </c>
      <c r="AS426" s="6" t="str">
        <f>HYPERLINK("https://creighton-primo.hosted.exlibrisgroup.com/primo-explore/search?tab=default_tab&amp;search_scope=EVERYTHING&amp;vid=01CRU&amp;lang=en_US&amp;offset=0&amp;query=any,contains,991001672619702656","Catalog Record")</f>
        <v>Catalog Record</v>
      </c>
      <c r="AT426" s="6" t="str">
        <f>HYPERLINK("http://www.worldcat.org/oclc/35128068","WorldCat Record")</f>
        <v>WorldCat Record</v>
      </c>
      <c r="AU426" s="3" t="s">
        <v>5766</v>
      </c>
      <c r="AV426" s="3" t="s">
        <v>5767</v>
      </c>
      <c r="AW426" s="3" t="s">
        <v>5768</v>
      </c>
      <c r="AX426" s="3" t="s">
        <v>5768</v>
      </c>
      <c r="AY426" s="3" t="s">
        <v>5769</v>
      </c>
      <c r="AZ426" s="3" t="s">
        <v>74</v>
      </c>
      <c r="BB426" s="3" t="s">
        <v>5770</v>
      </c>
      <c r="BC426" s="3" t="s">
        <v>5771</v>
      </c>
      <c r="BD426" s="3" t="s">
        <v>5772</v>
      </c>
    </row>
    <row r="427" spans="1:56" ht="45.75" customHeight="1" x14ac:dyDescent="0.25">
      <c r="A427" s="7" t="s">
        <v>58</v>
      </c>
      <c r="B427" s="2" t="s">
        <v>5773</v>
      </c>
      <c r="C427" s="2" t="s">
        <v>5774</v>
      </c>
      <c r="D427" s="2" t="s">
        <v>5775</v>
      </c>
      <c r="F427" s="3" t="s">
        <v>58</v>
      </c>
      <c r="G427" s="3" t="s">
        <v>59</v>
      </c>
      <c r="H427" s="3" t="s">
        <v>58</v>
      </c>
      <c r="I427" s="3" t="s">
        <v>58</v>
      </c>
      <c r="J427" s="3" t="s">
        <v>60</v>
      </c>
      <c r="K427" s="2" t="s">
        <v>5776</v>
      </c>
      <c r="L427" s="2" t="s">
        <v>5777</v>
      </c>
      <c r="M427" s="3" t="s">
        <v>742</v>
      </c>
      <c r="O427" s="3" t="s">
        <v>65</v>
      </c>
      <c r="P427" s="3" t="s">
        <v>132</v>
      </c>
      <c r="Q427" s="2" t="s">
        <v>5778</v>
      </c>
      <c r="R427" s="3" t="s">
        <v>67</v>
      </c>
      <c r="S427" s="4">
        <v>2</v>
      </c>
      <c r="T427" s="4">
        <v>2</v>
      </c>
      <c r="U427" s="5" t="s">
        <v>5779</v>
      </c>
      <c r="V427" s="5" t="s">
        <v>5779</v>
      </c>
      <c r="W427" s="5" t="s">
        <v>5780</v>
      </c>
      <c r="X427" s="5" t="s">
        <v>5780</v>
      </c>
      <c r="Y427" s="4">
        <v>466</v>
      </c>
      <c r="Z427" s="4">
        <v>355</v>
      </c>
      <c r="AA427" s="4">
        <v>708</v>
      </c>
      <c r="AB427" s="4">
        <v>3</v>
      </c>
      <c r="AC427" s="4">
        <v>6</v>
      </c>
      <c r="AD427" s="4">
        <v>25</v>
      </c>
      <c r="AE427" s="4">
        <v>46</v>
      </c>
      <c r="AF427" s="4">
        <v>7</v>
      </c>
      <c r="AG427" s="4">
        <v>17</v>
      </c>
      <c r="AH427" s="4">
        <v>4</v>
      </c>
      <c r="AI427" s="4">
        <v>8</v>
      </c>
      <c r="AJ427" s="4">
        <v>9</v>
      </c>
      <c r="AK427" s="4">
        <v>15</v>
      </c>
      <c r="AL427" s="4">
        <v>3</v>
      </c>
      <c r="AM427" s="4">
        <v>6</v>
      </c>
      <c r="AN427" s="4">
        <v>6</v>
      </c>
      <c r="AO427" s="4">
        <v>8</v>
      </c>
      <c r="AP427" s="3" t="s">
        <v>58</v>
      </c>
      <c r="AQ427" s="3" t="s">
        <v>58</v>
      </c>
      <c r="AS427" s="6" t="str">
        <f>HYPERLINK("https://creighton-primo.hosted.exlibrisgroup.com/primo-explore/search?tab=default_tab&amp;search_scope=EVERYTHING&amp;vid=01CRU&amp;lang=en_US&amp;offset=0&amp;query=any,contains,991001392429702656","Catalog Record")</f>
        <v>Catalog Record</v>
      </c>
      <c r="AT427" s="6" t="str">
        <f>HYPERLINK("http://www.worldcat.org/oclc/18779024","WorldCat Record")</f>
        <v>WorldCat Record</v>
      </c>
      <c r="AU427" s="3" t="s">
        <v>5781</v>
      </c>
      <c r="AV427" s="3" t="s">
        <v>5782</v>
      </c>
      <c r="AW427" s="3" t="s">
        <v>5783</v>
      </c>
      <c r="AX427" s="3" t="s">
        <v>5783</v>
      </c>
      <c r="AY427" s="3" t="s">
        <v>5784</v>
      </c>
      <c r="AZ427" s="3" t="s">
        <v>74</v>
      </c>
      <c r="BB427" s="3" t="s">
        <v>5785</v>
      </c>
      <c r="BC427" s="3" t="s">
        <v>5786</v>
      </c>
      <c r="BD427" s="3" t="s">
        <v>5787</v>
      </c>
    </row>
    <row r="428" spans="1:56" ht="45.75" customHeight="1" x14ac:dyDescent="0.25">
      <c r="A428" s="7" t="s">
        <v>58</v>
      </c>
      <c r="B428" s="2" t="s">
        <v>5788</v>
      </c>
      <c r="C428" s="2" t="s">
        <v>5789</v>
      </c>
      <c r="D428" s="2" t="s">
        <v>5790</v>
      </c>
      <c r="F428" s="3" t="s">
        <v>58</v>
      </c>
      <c r="G428" s="3" t="s">
        <v>59</v>
      </c>
      <c r="H428" s="3" t="s">
        <v>58</v>
      </c>
      <c r="I428" s="3" t="s">
        <v>58</v>
      </c>
      <c r="J428" s="3" t="s">
        <v>60</v>
      </c>
      <c r="K428" s="2" t="s">
        <v>5791</v>
      </c>
      <c r="L428" s="2" t="s">
        <v>5792</v>
      </c>
      <c r="M428" s="3" t="s">
        <v>290</v>
      </c>
      <c r="N428" s="2" t="s">
        <v>5706</v>
      </c>
      <c r="O428" s="3" t="s">
        <v>1527</v>
      </c>
      <c r="P428" s="3" t="s">
        <v>5707</v>
      </c>
      <c r="Q428" s="2" t="s">
        <v>5793</v>
      </c>
      <c r="R428" s="3" t="s">
        <v>67</v>
      </c>
      <c r="S428" s="4">
        <v>1</v>
      </c>
      <c r="T428" s="4">
        <v>1</v>
      </c>
      <c r="U428" s="5" t="s">
        <v>5794</v>
      </c>
      <c r="V428" s="5" t="s">
        <v>5794</v>
      </c>
      <c r="W428" s="5" t="s">
        <v>5794</v>
      </c>
      <c r="X428" s="5" t="s">
        <v>5794</v>
      </c>
      <c r="Y428" s="4">
        <v>16</v>
      </c>
      <c r="Z428" s="4">
        <v>16</v>
      </c>
      <c r="AA428" s="4">
        <v>18</v>
      </c>
      <c r="AB428" s="4">
        <v>1</v>
      </c>
      <c r="AC428" s="4">
        <v>1</v>
      </c>
      <c r="AD428" s="4">
        <v>1</v>
      </c>
      <c r="AE428" s="4">
        <v>1</v>
      </c>
      <c r="AF428" s="4">
        <v>0</v>
      </c>
      <c r="AG428" s="4">
        <v>0</v>
      </c>
      <c r="AH428" s="4">
        <v>1</v>
      </c>
      <c r="AI428" s="4">
        <v>1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3" t="s">
        <v>58</v>
      </c>
      <c r="AQ428" s="3" t="s">
        <v>58</v>
      </c>
      <c r="AS428" s="6" t="str">
        <f>HYPERLINK("https://creighton-primo.hosted.exlibrisgroup.com/primo-explore/search?tab=default_tab&amp;search_scope=EVERYTHING&amp;vid=01CRU&amp;lang=en_US&amp;offset=0&amp;query=any,contains,991003744419702656","Catalog Record")</f>
        <v>Catalog Record</v>
      </c>
      <c r="AT428" s="6" t="str">
        <f>HYPERLINK("http://www.worldcat.org/oclc/48515389","WorldCat Record")</f>
        <v>WorldCat Record</v>
      </c>
      <c r="AU428" s="3" t="s">
        <v>5795</v>
      </c>
      <c r="AV428" s="3" t="s">
        <v>5796</v>
      </c>
      <c r="AW428" s="3" t="s">
        <v>5797</v>
      </c>
      <c r="AX428" s="3" t="s">
        <v>5797</v>
      </c>
      <c r="AY428" s="3" t="s">
        <v>5798</v>
      </c>
      <c r="AZ428" s="3" t="s">
        <v>74</v>
      </c>
      <c r="BB428" s="3" t="s">
        <v>5799</v>
      </c>
      <c r="BC428" s="3" t="s">
        <v>5800</v>
      </c>
      <c r="BD428" s="3" t="s">
        <v>5801</v>
      </c>
    </row>
    <row r="429" spans="1:56" ht="45.75" customHeight="1" x14ac:dyDescent="0.25">
      <c r="A429" s="7" t="s">
        <v>58</v>
      </c>
      <c r="B429" s="2" t="s">
        <v>5802</v>
      </c>
      <c r="C429" s="2" t="s">
        <v>5803</v>
      </c>
      <c r="D429" s="2" t="s">
        <v>5804</v>
      </c>
      <c r="F429" s="3" t="s">
        <v>58</v>
      </c>
      <c r="G429" s="3" t="s">
        <v>59</v>
      </c>
      <c r="H429" s="3" t="s">
        <v>58</v>
      </c>
      <c r="I429" s="3" t="s">
        <v>58</v>
      </c>
      <c r="J429" s="3" t="s">
        <v>60</v>
      </c>
      <c r="K429" s="2" t="s">
        <v>5805</v>
      </c>
      <c r="L429" s="2" t="s">
        <v>5806</v>
      </c>
      <c r="M429" s="3" t="s">
        <v>1032</v>
      </c>
      <c r="N429" s="2" t="s">
        <v>64</v>
      </c>
      <c r="O429" s="3" t="s">
        <v>65</v>
      </c>
      <c r="P429" s="3" t="s">
        <v>132</v>
      </c>
      <c r="R429" s="3" t="s">
        <v>67</v>
      </c>
      <c r="S429" s="4">
        <v>3</v>
      </c>
      <c r="T429" s="4">
        <v>3</v>
      </c>
      <c r="U429" s="5" t="s">
        <v>5807</v>
      </c>
      <c r="V429" s="5" t="s">
        <v>5807</v>
      </c>
      <c r="W429" s="5" t="s">
        <v>2040</v>
      </c>
      <c r="X429" s="5" t="s">
        <v>2040</v>
      </c>
      <c r="Y429" s="4">
        <v>252</v>
      </c>
      <c r="Z429" s="4">
        <v>215</v>
      </c>
      <c r="AA429" s="4">
        <v>604</v>
      </c>
      <c r="AB429" s="4">
        <v>3</v>
      </c>
      <c r="AC429" s="4">
        <v>5</v>
      </c>
      <c r="AD429" s="4">
        <v>11</v>
      </c>
      <c r="AE429" s="4">
        <v>30</v>
      </c>
      <c r="AF429" s="4">
        <v>4</v>
      </c>
      <c r="AG429" s="4">
        <v>13</v>
      </c>
      <c r="AH429" s="4">
        <v>2</v>
      </c>
      <c r="AI429" s="4">
        <v>7</v>
      </c>
      <c r="AJ429" s="4">
        <v>5</v>
      </c>
      <c r="AK429" s="4">
        <v>13</v>
      </c>
      <c r="AL429" s="4">
        <v>2</v>
      </c>
      <c r="AM429" s="4">
        <v>4</v>
      </c>
      <c r="AN429" s="4">
        <v>0</v>
      </c>
      <c r="AO429" s="4">
        <v>0</v>
      </c>
      <c r="AP429" s="3" t="s">
        <v>58</v>
      </c>
      <c r="AQ429" s="3" t="s">
        <v>87</v>
      </c>
      <c r="AR429" s="6" t="str">
        <f>HYPERLINK("http://catalog.hathitrust.org/Record/003165253","HathiTrust Record")</f>
        <v>HathiTrust Record</v>
      </c>
      <c r="AS429" s="6" t="str">
        <f>HYPERLINK("https://creighton-primo.hosted.exlibrisgroup.com/primo-explore/search?tab=default_tab&amp;search_scope=EVERYTHING&amp;vid=01CRU&amp;lang=en_US&amp;offset=0&amp;query=any,contains,991002695409702656","Catalog Record")</f>
        <v>Catalog Record</v>
      </c>
      <c r="AT429" s="6" t="str">
        <f>HYPERLINK("http://www.worldcat.org/oclc/35192364","WorldCat Record")</f>
        <v>WorldCat Record</v>
      </c>
      <c r="AU429" s="3" t="s">
        <v>5808</v>
      </c>
      <c r="AV429" s="3" t="s">
        <v>5809</v>
      </c>
      <c r="AW429" s="3" t="s">
        <v>5810</v>
      </c>
      <c r="AX429" s="3" t="s">
        <v>5810</v>
      </c>
      <c r="AY429" s="3" t="s">
        <v>5811</v>
      </c>
      <c r="AZ429" s="3" t="s">
        <v>74</v>
      </c>
      <c r="BB429" s="3" t="s">
        <v>5812</v>
      </c>
      <c r="BC429" s="3" t="s">
        <v>5813</v>
      </c>
      <c r="BD429" s="3" t="s">
        <v>5814</v>
      </c>
    </row>
    <row r="430" spans="1:56" ht="45.75" customHeight="1" x14ac:dyDescent="0.25">
      <c r="A430" s="7" t="s">
        <v>58</v>
      </c>
      <c r="B430" s="2" t="s">
        <v>5815</v>
      </c>
      <c r="C430" s="2" t="s">
        <v>5816</v>
      </c>
      <c r="D430" s="2" t="s">
        <v>5817</v>
      </c>
      <c r="F430" s="3" t="s">
        <v>58</v>
      </c>
      <c r="G430" s="3" t="s">
        <v>59</v>
      </c>
      <c r="H430" s="3" t="s">
        <v>87</v>
      </c>
      <c r="I430" s="3" t="s">
        <v>58</v>
      </c>
      <c r="J430" s="3" t="s">
        <v>60</v>
      </c>
      <c r="L430" s="2" t="s">
        <v>5818</v>
      </c>
      <c r="M430" s="3" t="s">
        <v>5819</v>
      </c>
      <c r="O430" s="3" t="s">
        <v>65</v>
      </c>
      <c r="P430" s="3" t="s">
        <v>190</v>
      </c>
      <c r="Q430" s="2" t="s">
        <v>5820</v>
      </c>
      <c r="R430" s="3" t="s">
        <v>67</v>
      </c>
      <c r="S430" s="4">
        <v>1</v>
      </c>
      <c r="T430" s="4">
        <v>1</v>
      </c>
      <c r="U430" s="5" t="s">
        <v>5821</v>
      </c>
      <c r="V430" s="5" t="s">
        <v>5821</v>
      </c>
      <c r="W430" s="5" t="s">
        <v>5822</v>
      </c>
      <c r="X430" s="5" t="s">
        <v>5823</v>
      </c>
      <c r="Y430" s="4">
        <v>295</v>
      </c>
      <c r="Z430" s="4">
        <v>283</v>
      </c>
      <c r="AA430" s="4">
        <v>794</v>
      </c>
      <c r="AB430" s="4">
        <v>3</v>
      </c>
      <c r="AC430" s="4">
        <v>8</v>
      </c>
      <c r="AD430" s="4">
        <v>20</v>
      </c>
      <c r="AE430" s="4">
        <v>46</v>
      </c>
      <c r="AF430" s="4">
        <v>6</v>
      </c>
      <c r="AG430" s="4">
        <v>16</v>
      </c>
      <c r="AH430" s="4">
        <v>4</v>
      </c>
      <c r="AI430" s="4">
        <v>9</v>
      </c>
      <c r="AJ430" s="4">
        <v>10</v>
      </c>
      <c r="AK430" s="4">
        <v>19</v>
      </c>
      <c r="AL430" s="4">
        <v>1</v>
      </c>
      <c r="AM430" s="4">
        <v>5</v>
      </c>
      <c r="AN430" s="4">
        <v>4</v>
      </c>
      <c r="AO430" s="4">
        <v>7</v>
      </c>
      <c r="AP430" s="3" t="s">
        <v>58</v>
      </c>
      <c r="AQ430" s="3" t="s">
        <v>58</v>
      </c>
      <c r="AS430" s="6" t="str">
        <f>HYPERLINK("https://creighton-primo.hosted.exlibrisgroup.com/primo-explore/search?tab=default_tab&amp;search_scope=EVERYTHING&amp;vid=01CRU&amp;lang=en_US&amp;offset=0&amp;query=any,contains,991001633339702656","Catalog Record")</f>
        <v>Catalog Record</v>
      </c>
      <c r="AT430" s="6" t="str">
        <f>HYPERLINK("http://www.worldcat.org/oclc/373513","WorldCat Record")</f>
        <v>WorldCat Record</v>
      </c>
      <c r="AU430" s="3" t="s">
        <v>5824</v>
      </c>
      <c r="AV430" s="3" t="s">
        <v>5825</v>
      </c>
      <c r="AW430" s="3" t="s">
        <v>5826</v>
      </c>
      <c r="AX430" s="3" t="s">
        <v>5826</v>
      </c>
      <c r="AY430" s="3" t="s">
        <v>5827</v>
      </c>
      <c r="AZ430" s="3" t="s">
        <v>74</v>
      </c>
      <c r="BB430" s="3" t="s">
        <v>5828</v>
      </c>
      <c r="BC430" s="3" t="s">
        <v>5829</v>
      </c>
      <c r="BD430" s="3" t="s">
        <v>5830</v>
      </c>
    </row>
    <row r="431" spans="1:56" ht="45.75" customHeight="1" x14ac:dyDescent="0.25">
      <c r="A431" s="7" t="s">
        <v>58</v>
      </c>
      <c r="B431" s="2" t="s">
        <v>5831</v>
      </c>
      <c r="C431" s="2" t="s">
        <v>5832</v>
      </c>
      <c r="D431" s="2" t="s">
        <v>5833</v>
      </c>
      <c r="F431" s="3" t="s">
        <v>58</v>
      </c>
      <c r="G431" s="3" t="s">
        <v>59</v>
      </c>
      <c r="H431" s="3" t="s">
        <v>58</v>
      </c>
      <c r="I431" s="3" t="s">
        <v>58</v>
      </c>
      <c r="J431" s="3" t="s">
        <v>60</v>
      </c>
      <c r="K431" s="2" t="s">
        <v>5834</v>
      </c>
      <c r="L431" s="2" t="s">
        <v>5835</v>
      </c>
      <c r="M431" s="3" t="s">
        <v>573</v>
      </c>
      <c r="N431" s="2" t="s">
        <v>64</v>
      </c>
      <c r="O431" s="3" t="s">
        <v>65</v>
      </c>
      <c r="P431" s="3" t="s">
        <v>132</v>
      </c>
      <c r="R431" s="3" t="s">
        <v>67</v>
      </c>
      <c r="S431" s="4">
        <v>4</v>
      </c>
      <c r="T431" s="4">
        <v>4</v>
      </c>
      <c r="U431" s="5" t="s">
        <v>5836</v>
      </c>
      <c r="V431" s="5" t="s">
        <v>5836</v>
      </c>
      <c r="W431" s="5" t="s">
        <v>5837</v>
      </c>
      <c r="X431" s="5" t="s">
        <v>5837</v>
      </c>
      <c r="Y431" s="4">
        <v>164</v>
      </c>
      <c r="Z431" s="4">
        <v>116</v>
      </c>
      <c r="AA431" s="4">
        <v>376</v>
      </c>
      <c r="AB431" s="4">
        <v>2</v>
      </c>
      <c r="AC431" s="4">
        <v>3</v>
      </c>
      <c r="AD431" s="4">
        <v>4</v>
      </c>
      <c r="AE431" s="4">
        <v>16</v>
      </c>
      <c r="AF431" s="4">
        <v>0</v>
      </c>
      <c r="AG431" s="4">
        <v>4</v>
      </c>
      <c r="AH431" s="4">
        <v>2</v>
      </c>
      <c r="AI431" s="4">
        <v>3</v>
      </c>
      <c r="AJ431" s="4">
        <v>3</v>
      </c>
      <c r="AK431" s="4">
        <v>8</v>
      </c>
      <c r="AL431" s="4">
        <v>1</v>
      </c>
      <c r="AM431" s="4">
        <v>2</v>
      </c>
      <c r="AN431" s="4">
        <v>0</v>
      </c>
      <c r="AO431" s="4">
        <v>2</v>
      </c>
      <c r="AP431" s="3" t="s">
        <v>58</v>
      </c>
      <c r="AQ431" s="3" t="s">
        <v>58</v>
      </c>
      <c r="AS431" s="6" t="str">
        <f>HYPERLINK("https://creighton-primo.hosted.exlibrisgroup.com/primo-explore/search?tab=default_tab&amp;search_scope=EVERYTHING&amp;vid=01CRU&amp;lang=en_US&amp;offset=0&amp;query=any,contains,991004478769702656","Catalog Record")</f>
        <v>Catalog Record</v>
      </c>
      <c r="AT431" s="6" t="str">
        <f>HYPERLINK("http://www.worldcat.org/oclc/51460871","WorldCat Record")</f>
        <v>WorldCat Record</v>
      </c>
      <c r="AU431" s="3" t="s">
        <v>5838</v>
      </c>
      <c r="AV431" s="3" t="s">
        <v>5839</v>
      </c>
      <c r="AW431" s="3" t="s">
        <v>5840</v>
      </c>
      <c r="AX431" s="3" t="s">
        <v>5840</v>
      </c>
      <c r="AY431" s="3" t="s">
        <v>5841</v>
      </c>
      <c r="AZ431" s="3" t="s">
        <v>74</v>
      </c>
      <c r="BB431" s="3" t="s">
        <v>5842</v>
      </c>
      <c r="BC431" s="3" t="s">
        <v>5843</v>
      </c>
      <c r="BD431" s="3" t="s">
        <v>5844</v>
      </c>
    </row>
    <row r="432" spans="1:56" ht="45.75" customHeight="1" x14ac:dyDescent="0.25">
      <c r="A432" s="7" t="s">
        <v>58</v>
      </c>
      <c r="B432" s="2" t="s">
        <v>5845</v>
      </c>
      <c r="C432" s="2" t="s">
        <v>5846</v>
      </c>
      <c r="D432" s="2" t="s">
        <v>5847</v>
      </c>
      <c r="F432" s="3" t="s">
        <v>58</v>
      </c>
      <c r="G432" s="3" t="s">
        <v>59</v>
      </c>
      <c r="H432" s="3" t="s">
        <v>58</v>
      </c>
      <c r="I432" s="3" t="s">
        <v>58</v>
      </c>
      <c r="J432" s="3" t="s">
        <v>60</v>
      </c>
      <c r="K432" s="2" t="s">
        <v>5848</v>
      </c>
      <c r="L432" s="2" t="s">
        <v>5849</v>
      </c>
      <c r="M432" s="3" t="s">
        <v>937</v>
      </c>
      <c r="O432" s="3" t="s">
        <v>65</v>
      </c>
      <c r="P432" s="3" t="s">
        <v>175</v>
      </c>
      <c r="R432" s="3" t="s">
        <v>67</v>
      </c>
      <c r="S432" s="4">
        <v>1</v>
      </c>
      <c r="T432" s="4">
        <v>1</v>
      </c>
      <c r="U432" s="5" t="s">
        <v>5850</v>
      </c>
      <c r="V432" s="5" t="s">
        <v>5850</v>
      </c>
      <c r="W432" s="5" t="s">
        <v>1487</v>
      </c>
      <c r="X432" s="5" t="s">
        <v>1487</v>
      </c>
      <c r="Y432" s="4">
        <v>557</v>
      </c>
      <c r="Z432" s="4">
        <v>395</v>
      </c>
      <c r="AA432" s="4">
        <v>408</v>
      </c>
      <c r="AB432" s="4">
        <v>2</v>
      </c>
      <c r="AC432" s="4">
        <v>2</v>
      </c>
      <c r="AD432" s="4">
        <v>18</v>
      </c>
      <c r="AE432" s="4">
        <v>19</v>
      </c>
      <c r="AF432" s="4">
        <v>6</v>
      </c>
      <c r="AG432" s="4">
        <v>6</v>
      </c>
      <c r="AH432" s="4">
        <v>6</v>
      </c>
      <c r="AI432" s="4">
        <v>6</v>
      </c>
      <c r="AJ432" s="4">
        <v>8</v>
      </c>
      <c r="AK432" s="4">
        <v>9</v>
      </c>
      <c r="AL432" s="4">
        <v>1</v>
      </c>
      <c r="AM432" s="4">
        <v>1</v>
      </c>
      <c r="AN432" s="4">
        <v>2</v>
      </c>
      <c r="AO432" s="4">
        <v>2</v>
      </c>
      <c r="AP432" s="3" t="s">
        <v>58</v>
      </c>
      <c r="AQ432" s="3" t="s">
        <v>58</v>
      </c>
      <c r="AS432" s="6" t="str">
        <f>HYPERLINK("https://creighton-primo.hosted.exlibrisgroup.com/primo-explore/search?tab=default_tab&amp;search_scope=EVERYTHING&amp;vid=01CRU&amp;lang=en_US&amp;offset=0&amp;query=any,contains,991004046339702656","Catalog Record")</f>
        <v>Catalog Record</v>
      </c>
      <c r="AT432" s="6" t="str">
        <f>HYPERLINK("http://www.worldcat.org/oclc/2202403","WorldCat Record")</f>
        <v>WorldCat Record</v>
      </c>
      <c r="AU432" s="3" t="s">
        <v>5851</v>
      </c>
      <c r="AV432" s="3" t="s">
        <v>5852</v>
      </c>
      <c r="AW432" s="3" t="s">
        <v>5853</v>
      </c>
      <c r="AX432" s="3" t="s">
        <v>5853</v>
      </c>
      <c r="AY432" s="3" t="s">
        <v>5854</v>
      </c>
      <c r="AZ432" s="3" t="s">
        <v>74</v>
      </c>
      <c r="BB432" s="3" t="s">
        <v>5855</v>
      </c>
      <c r="BC432" s="3" t="s">
        <v>5856</v>
      </c>
      <c r="BD432" s="3" t="s">
        <v>5857</v>
      </c>
    </row>
    <row r="433" spans="1:56" ht="45.75" customHeight="1" x14ac:dyDescent="0.25">
      <c r="A433" s="7" t="s">
        <v>58</v>
      </c>
      <c r="B433" s="2" t="s">
        <v>5858</v>
      </c>
      <c r="C433" s="2" t="s">
        <v>5859</v>
      </c>
      <c r="D433" s="2" t="s">
        <v>5860</v>
      </c>
      <c r="F433" s="3" t="s">
        <v>58</v>
      </c>
      <c r="G433" s="3" t="s">
        <v>59</v>
      </c>
      <c r="H433" s="3" t="s">
        <v>58</v>
      </c>
      <c r="I433" s="3" t="s">
        <v>58</v>
      </c>
      <c r="J433" s="3" t="s">
        <v>60</v>
      </c>
      <c r="L433" s="2" t="s">
        <v>5861</v>
      </c>
      <c r="M433" s="3" t="s">
        <v>867</v>
      </c>
      <c r="O433" s="3" t="s">
        <v>65</v>
      </c>
      <c r="P433" s="3" t="s">
        <v>101</v>
      </c>
      <c r="R433" s="3" t="s">
        <v>67</v>
      </c>
      <c r="S433" s="4">
        <v>7</v>
      </c>
      <c r="T433" s="4">
        <v>7</v>
      </c>
      <c r="U433" s="5" t="s">
        <v>5569</v>
      </c>
      <c r="V433" s="5" t="s">
        <v>5569</v>
      </c>
      <c r="W433" s="5" t="s">
        <v>2375</v>
      </c>
      <c r="X433" s="5" t="s">
        <v>2375</v>
      </c>
      <c r="Y433" s="4">
        <v>285</v>
      </c>
      <c r="Z433" s="4">
        <v>179</v>
      </c>
      <c r="AA433" s="4">
        <v>229</v>
      </c>
      <c r="AB433" s="4">
        <v>3</v>
      </c>
      <c r="AC433" s="4">
        <v>3</v>
      </c>
      <c r="AD433" s="4">
        <v>13</v>
      </c>
      <c r="AE433" s="4">
        <v>18</v>
      </c>
      <c r="AF433" s="4">
        <v>3</v>
      </c>
      <c r="AG433" s="4">
        <v>7</v>
      </c>
      <c r="AH433" s="4">
        <v>3</v>
      </c>
      <c r="AI433" s="4">
        <v>4</v>
      </c>
      <c r="AJ433" s="4">
        <v>6</v>
      </c>
      <c r="AK433" s="4">
        <v>7</v>
      </c>
      <c r="AL433" s="4">
        <v>2</v>
      </c>
      <c r="AM433" s="4">
        <v>2</v>
      </c>
      <c r="AN433" s="4">
        <v>2</v>
      </c>
      <c r="AO433" s="4">
        <v>2</v>
      </c>
      <c r="AP433" s="3" t="s">
        <v>58</v>
      </c>
      <c r="AQ433" s="3" t="s">
        <v>87</v>
      </c>
      <c r="AR433" s="6" t="str">
        <f>HYPERLINK("http://catalog.hathitrust.org/Record/002718105","HathiTrust Record")</f>
        <v>HathiTrust Record</v>
      </c>
      <c r="AS433" s="6" t="str">
        <f>HYPERLINK("https://creighton-primo.hosted.exlibrisgroup.com/primo-explore/search?tab=default_tab&amp;search_scope=EVERYTHING&amp;vid=01CRU&amp;lang=en_US&amp;offset=0&amp;query=any,contains,991002143959702656","Catalog Record")</f>
        <v>Catalog Record</v>
      </c>
      <c r="AT433" s="6" t="str">
        <f>HYPERLINK("http://www.worldcat.org/oclc/27520563","WorldCat Record")</f>
        <v>WorldCat Record</v>
      </c>
      <c r="AU433" s="3" t="s">
        <v>5862</v>
      </c>
      <c r="AV433" s="3" t="s">
        <v>5863</v>
      </c>
      <c r="AW433" s="3" t="s">
        <v>5864</v>
      </c>
      <c r="AX433" s="3" t="s">
        <v>5864</v>
      </c>
      <c r="AY433" s="3" t="s">
        <v>5865</v>
      </c>
      <c r="AZ433" s="3" t="s">
        <v>74</v>
      </c>
      <c r="BB433" s="3" t="s">
        <v>5866</v>
      </c>
      <c r="BC433" s="3" t="s">
        <v>5867</v>
      </c>
      <c r="BD433" s="3" t="s">
        <v>5868</v>
      </c>
    </row>
    <row r="434" spans="1:56" ht="45.75" customHeight="1" x14ac:dyDescent="0.25">
      <c r="A434" s="7" t="s">
        <v>58</v>
      </c>
      <c r="B434" s="2" t="s">
        <v>5869</v>
      </c>
      <c r="C434" s="2" t="s">
        <v>5870</v>
      </c>
      <c r="D434" s="2" t="s">
        <v>5871</v>
      </c>
      <c r="F434" s="3" t="s">
        <v>58</v>
      </c>
      <c r="G434" s="3" t="s">
        <v>59</v>
      </c>
      <c r="H434" s="3" t="s">
        <v>87</v>
      </c>
      <c r="I434" s="3" t="s">
        <v>58</v>
      </c>
      <c r="J434" s="3" t="s">
        <v>60</v>
      </c>
      <c r="K434" s="2" t="s">
        <v>5872</v>
      </c>
      <c r="L434" s="2" t="s">
        <v>5873</v>
      </c>
      <c r="M434" s="3" t="s">
        <v>1998</v>
      </c>
      <c r="N434" s="2" t="s">
        <v>5874</v>
      </c>
      <c r="O434" s="3" t="s">
        <v>65</v>
      </c>
      <c r="P434" s="3" t="s">
        <v>204</v>
      </c>
      <c r="R434" s="3" t="s">
        <v>67</v>
      </c>
      <c r="S434" s="4">
        <v>2</v>
      </c>
      <c r="T434" s="4">
        <v>2</v>
      </c>
      <c r="U434" s="5" t="s">
        <v>5875</v>
      </c>
      <c r="V434" s="5" t="s">
        <v>5875</v>
      </c>
      <c r="W434" s="5" t="s">
        <v>5876</v>
      </c>
      <c r="X434" s="5" t="s">
        <v>5877</v>
      </c>
      <c r="Y434" s="4">
        <v>454</v>
      </c>
      <c r="Z434" s="4">
        <v>367</v>
      </c>
      <c r="AA434" s="4">
        <v>834</v>
      </c>
      <c r="AB434" s="4">
        <v>5</v>
      </c>
      <c r="AC434" s="4">
        <v>11</v>
      </c>
      <c r="AD434" s="4">
        <v>14</v>
      </c>
      <c r="AE434" s="4">
        <v>36</v>
      </c>
      <c r="AF434" s="4">
        <v>3</v>
      </c>
      <c r="AG434" s="4">
        <v>8</v>
      </c>
      <c r="AH434" s="4">
        <v>3</v>
      </c>
      <c r="AI434" s="4">
        <v>7</v>
      </c>
      <c r="AJ434" s="4">
        <v>5</v>
      </c>
      <c r="AK434" s="4">
        <v>11</v>
      </c>
      <c r="AL434" s="4">
        <v>3</v>
      </c>
      <c r="AM434" s="4">
        <v>6</v>
      </c>
      <c r="AN434" s="4">
        <v>3</v>
      </c>
      <c r="AO434" s="4">
        <v>10</v>
      </c>
      <c r="AP434" s="3" t="s">
        <v>58</v>
      </c>
      <c r="AQ434" s="3" t="s">
        <v>87</v>
      </c>
      <c r="AR434" s="6" t="str">
        <f>HYPERLINK("http://catalog.hathitrust.org/Record/000014551","HathiTrust Record")</f>
        <v>HathiTrust Record</v>
      </c>
      <c r="AS434" s="6" t="str">
        <f>HYPERLINK("https://creighton-primo.hosted.exlibrisgroup.com/primo-explore/search?tab=default_tab&amp;search_scope=EVERYTHING&amp;vid=01CRU&amp;lang=en_US&amp;offset=0&amp;query=any,contains,991001687189702656","Catalog Record")</f>
        <v>Catalog Record</v>
      </c>
      <c r="AT434" s="6" t="str">
        <f>HYPERLINK("http://www.worldcat.org/oclc/914787","WorldCat Record")</f>
        <v>WorldCat Record</v>
      </c>
      <c r="AU434" s="3" t="s">
        <v>5878</v>
      </c>
      <c r="AV434" s="3" t="s">
        <v>5879</v>
      </c>
      <c r="AW434" s="3" t="s">
        <v>5880</v>
      </c>
      <c r="AX434" s="3" t="s">
        <v>5880</v>
      </c>
      <c r="AY434" s="3" t="s">
        <v>5881</v>
      </c>
      <c r="AZ434" s="3" t="s">
        <v>74</v>
      </c>
      <c r="BB434" s="3" t="s">
        <v>5882</v>
      </c>
      <c r="BC434" s="3" t="s">
        <v>5883</v>
      </c>
      <c r="BD434" s="3" t="s">
        <v>5884</v>
      </c>
    </row>
    <row r="435" spans="1:56" ht="45.75" customHeight="1" x14ac:dyDescent="0.25">
      <c r="A435" s="7" t="s">
        <v>58</v>
      </c>
      <c r="B435" s="2" t="s">
        <v>5885</v>
      </c>
      <c r="C435" s="2" t="s">
        <v>5886</v>
      </c>
      <c r="D435" s="2" t="s">
        <v>5887</v>
      </c>
      <c r="F435" s="3" t="s">
        <v>58</v>
      </c>
      <c r="G435" s="3" t="s">
        <v>59</v>
      </c>
      <c r="H435" s="3" t="s">
        <v>87</v>
      </c>
      <c r="I435" s="3" t="s">
        <v>58</v>
      </c>
      <c r="J435" s="3" t="s">
        <v>60</v>
      </c>
      <c r="L435" s="2" t="s">
        <v>5888</v>
      </c>
      <c r="M435" s="3" t="s">
        <v>1088</v>
      </c>
      <c r="O435" s="3" t="s">
        <v>65</v>
      </c>
      <c r="P435" s="3" t="s">
        <v>175</v>
      </c>
      <c r="Q435" s="2" t="s">
        <v>5889</v>
      </c>
      <c r="R435" s="3" t="s">
        <v>67</v>
      </c>
      <c r="S435" s="4">
        <v>3</v>
      </c>
      <c r="T435" s="4">
        <v>5</v>
      </c>
      <c r="U435" s="5" t="s">
        <v>5850</v>
      </c>
      <c r="V435" s="5" t="s">
        <v>5850</v>
      </c>
      <c r="W435" s="5" t="s">
        <v>5890</v>
      </c>
      <c r="X435" s="5" t="s">
        <v>5890</v>
      </c>
      <c r="Y435" s="4">
        <v>330</v>
      </c>
      <c r="Z435" s="4">
        <v>228</v>
      </c>
      <c r="AA435" s="4">
        <v>230</v>
      </c>
      <c r="AB435" s="4">
        <v>4</v>
      </c>
      <c r="AC435" s="4">
        <v>4</v>
      </c>
      <c r="AD435" s="4">
        <v>14</v>
      </c>
      <c r="AE435" s="4">
        <v>14</v>
      </c>
      <c r="AF435" s="4">
        <v>3</v>
      </c>
      <c r="AG435" s="4">
        <v>3</v>
      </c>
      <c r="AH435" s="4">
        <v>2</v>
      </c>
      <c r="AI435" s="4">
        <v>2</v>
      </c>
      <c r="AJ435" s="4">
        <v>7</v>
      </c>
      <c r="AK435" s="4">
        <v>7</v>
      </c>
      <c r="AL435" s="4">
        <v>2</v>
      </c>
      <c r="AM435" s="4">
        <v>2</v>
      </c>
      <c r="AN435" s="4">
        <v>4</v>
      </c>
      <c r="AO435" s="4">
        <v>4</v>
      </c>
      <c r="AP435" s="3" t="s">
        <v>58</v>
      </c>
      <c r="AQ435" s="3" t="s">
        <v>87</v>
      </c>
      <c r="AR435" s="6" t="str">
        <f>HYPERLINK("http://catalog.hathitrust.org/Record/000418075","HathiTrust Record")</f>
        <v>HathiTrust Record</v>
      </c>
      <c r="AS435" s="6" t="str">
        <f>HYPERLINK("https://creighton-primo.hosted.exlibrisgroup.com/primo-explore/search?tab=default_tab&amp;search_scope=EVERYTHING&amp;vid=01CRU&amp;lang=en_US&amp;offset=0&amp;query=any,contains,991001767139702656","Catalog Record")</f>
        <v>Catalog Record</v>
      </c>
      <c r="AT435" s="6" t="str">
        <f>HYPERLINK("http://www.worldcat.org/oclc/11069028","WorldCat Record")</f>
        <v>WorldCat Record</v>
      </c>
      <c r="AU435" s="3" t="s">
        <v>5891</v>
      </c>
      <c r="AV435" s="3" t="s">
        <v>5892</v>
      </c>
      <c r="AW435" s="3" t="s">
        <v>5893</v>
      </c>
      <c r="AX435" s="3" t="s">
        <v>5893</v>
      </c>
      <c r="AY435" s="3" t="s">
        <v>5894</v>
      </c>
      <c r="AZ435" s="3" t="s">
        <v>74</v>
      </c>
      <c r="BB435" s="3" t="s">
        <v>5895</v>
      </c>
      <c r="BC435" s="3" t="s">
        <v>5896</v>
      </c>
      <c r="BD435" s="3" t="s">
        <v>5897</v>
      </c>
    </row>
    <row r="436" spans="1:56" ht="45.75" customHeight="1" x14ac:dyDescent="0.25">
      <c r="A436" s="7" t="s">
        <v>58</v>
      </c>
      <c r="B436" s="2" t="s">
        <v>5898</v>
      </c>
      <c r="C436" s="2" t="s">
        <v>5899</v>
      </c>
      <c r="D436" s="2" t="s">
        <v>5900</v>
      </c>
      <c r="F436" s="3" t="s">
        <v>58</v>
      </c>
      <c r="G436" s="3" t="s">
        <v>59</v>
      </c>
      <c r="H436" s="3" t="s">
        <v>58</v>
      </c>
      <c r="I436" s="3" t="s">
        <v>58</v>
      </c>
      <c r="J436" s="3" t="s">
        <v>60</v>
      </c>
      <c r="L436" s="2" t="s">
        <v>5901</v>
      </c>
      <c r="M436" s="3" t="s">
        <v>1088</v>
      </c>
      <c r="O436" s="3" t="s">
        <v>65</v>
      </c>
      <c r="P436" s="3" t="s">
        <v>132</v>
      </c>
      <c r="R436" s="3" t="s">
        <v>67</v>
      </c>
      <c r="S436" s="4">
        <v>7</v>
      </c>
      <c r="T436" s="4">
        <v>7</v>
      </c>
      <c r="U436" s="5" t="s">
        <v>5902</v>
      </c>
      <c r="V436" s="5" t="s">
        <v>5902</v>
      </c>
      <c r="W436" s="5" t="s">
        <v>5517</v>
      </c>
      <c r="X436" s="5" t="s">
        <v>5517</v>
      </c>
      <c r="Y436" s="4">
        <v>421</v>
      </c>
      <c r="Z436" s="4">
        <v>308</v>
      </c>
      <c r="AA436" s="4">
        <v>313</v>
      </c>
      <c r="AB436" s="4">
        <v>4</v>
      </c>
      <c r="AC436" s="4">
        <v>4</v>
      </c>
      <c r="AD436" s="4">
        <v>21</v>
      </c>
      <c r="AE436" s="4">
        <v>22</v>
      </c>
      <c r="AF436" s="4">
        <v>10</v>
      </c>
      <c r="AG436" s="4">
        <v>11</v>
      </c>
      <c r="AH436" s="4">
        <v>8</v>
      </c>
      <c r="AI436" s="4">
        <v>8</v>
      </c>
      <c r="AJ436" s="4">
        <v>10</v>
      </c>
      <c r="AK436" s="4">
        <v>11</v>
      </c>
      <c r="AL436" s="4">
        <v>3</v>
      </c>
      <c r="AM436" s="4">
        <v>3</v>
      </c>
      <c r="AN436" s="4">
        <v>0</v>
      </c>
      <c r="AO436" s="4">
        <v>0</v>
      </c>
      <c r="AP436" s="3" t="s">
        <v>58</v>
      </c>
      <c r="AQ436" s="3" t="s">
        <v>87</v>
      </c>
      <c r="AR436" s="6" t="str">
        <f>HYPERLINK("http://catalog.hathitrust.org/Record/000352226","HathiTrust Record")</f>
        <v>HathiTrust Record</v>
      </c>
      <c r="AS436" s="6" t="str">
        <f>HYPERLINK("https://creighton-primo.hosted.exlibrisgroup.com/primo-explore/search?tab=default_tab&amp;search_scope=EVERYTHING&amp;vid=01CRU&amp;lang=en_US&amp;offset=0&amp;query=any,contains,991000558569702656","Catalog Record")</f>
        <v>Catalog Record</v>
      </c>
      <c r="AT436" s="6" t="str">
        <f>HYPERLINK("http://www.worldcat.org/oclc/11573910","WorldCat Record")</f>
        <v>WorldCat Record</v>
      </c>
      <c r="AU436" s="3" t="s">
        <v>5903</v>
      </c>
      <c r="AV436" s="3" t="s">
        <v>5904</v>
      </c>
      <c r="AW436" s="3" t="s">
        <v>5905</v>
      </c>
      <c r="AX436" s="3" t="s">
        <v>5905</v>
      </c>
      <c r="AY436" s="3" t="s">
        <v>5906</v>
      </c>
      <c r="AZ436" s="3" t="s">
        <v>74</v>
      </c>
      <c r="BB436" s="3" t="s">
        <v>5907</v>
      </c>
      <c r="BC436" s="3" t="s">
        <v>5908</v>
      </c>
      <c r="BD436" s="3" t="s">
        <v>5909</v>
      </c>
    </row>
    <row r="437" spans="1:56" ht="45.75" customHeight="1" x14ac:dyDescent="0.25">
      <c r="A437" s="7" t="s">
        <v>58</v>
      </c>
      <c r="B437" s="2" t="s">
        <v>5910</v>
      </c>
      <c r="C437" s="2" t="s">
        <v>5911</v>
      </c>
      <c r="D437" s="2" t="s">
        <v>5912</v>
      </c>
      <c r="F437" s="3" t="s">
        <v>58</v>
      </c>
      <c r="G437" s="3" t="s">
        <v>59</v>
      </c>
      <c r="H437" s="3" t="s">
        <v>58</v>
      </c>
      <c r="I437" s="3" t="s">
        <v>58</v>
      </c>
      <c r="J437" s="3" t="s">
        <v>60</v>
      </c>
      <c r="K437" s="2" t="s">
        <v>5913</v>
      </c>
      <c r="L437" s="2" t="s">
        <v>5914</v>
      </c>
      <c r="M437" s="3" t="s">
        <v>1254</v>
      </c>
      <c r="O437" s="3" t="s">
        <v>65</v>
      </c>
      <c r="P437" s="3" t="s">
        <v>587</v>
      </c>
      <c r="R437" s="3" t="s">
        <v>67</v>
      </c>
      <c r="S437" s="4">
        <v>7</v>
      </c>
      <c r="T437" s="4">
        <v>7</v>
      </c>
      <c r="U437" s="5" t="s">
        <v>3654</v>
      </c>
      <c r="V437" s="5" t="s">
        <v>3654</v>
      </c>
      <c r="W437" s="5" t="s">
        <v>5517</v>
      </c>
      <c r="X437" s="5" t="s">
        <v>5517</v>
      </c>
      <c r="Y437" s="4">
        <v>927</v>
      </c>
      <c r="Z437" s="4">
        <v>784</v>
      </c>
      <c r="AA437" s="4">
        <v>787</v>
      </c>
      <c r="AB437" s="4">
        <v>10</v>
      </c>
      <c r="AC437" s="4">
        <v>10</v>
      </c>
      <c r="AD437" s="4">
        <v>53</v>
      </c>
      <c r="AE437" s="4">
        <v>53</v>
      </c>
      <c r="AF437" s="4">
        <v>14</v>
      </c>
      <c r="AG437" s="4">
        <v>14</v>
      </c>
      <c r="AH437" s="4">
        <v>10</v>
      </c>
      <c r="AI437" s="4">
        <v>10</v>
      </c>
      <c r="AJ437" s="4">
        <v>19</v>
      </c>
      <c r="AK437" s="4">
        <v>19</v>
      </c>
      <c r="AL437" s="4">
        <v>8</v>
      </c>
      <c r="AM437" s="4">
        <v>8</v>
      </c>
      <c r="AN437" s="4">
        <v>13</v>
      </c>
      <c r="AO437" s="4">
        <v>13</v>
      </c>
      <c r="AP437" s="3" t="s">
        <v>58</v>
      </c>
      <c r="AQ437" s="3" t="s">
        <v>58</v>
      </c>
      <c r="AS437" s="6" t="str">
        <f>HYPERLINK("https://creighton-primo.hosted.exlibrisgroup.com/primo-explore/search?tab=default_tab&amp;search_scope=EVERYTHING&amp;vid=01CRU&amp;lang=en_US&amp;offset=0&amp;query=any,contains,991000298199702656","Catalog Record")</f>
        <v>Catalog Record</v>
      </c>
      <c r="AT437" s="6" t="str">
        <f>HYPERLINK("http://www.worldcat.org/oclc/10018993","WorldCat Record")</f>
        <v>WorldCat Record</v>
      </c>
      <c r="AU437" s="3" t="s">
        <v>5915</v>
      </c>
      <c r="AV437" s="3" t="s">
        <v>5916</v>
      </c>
      <c r="AW437" s="3" t="s">
        <v>5917</v>
      </c>
      <c r="AX437" s="3" t="s">
        <v>5917</v>
      </c>
      <c r="AY437" s="3" t="s">
        <v>5918</v>
      </c>
      <c r="AZ437" s="3" t="s">
        <v>74</v>
      </c>
      <c r="BB437" s="3" t="s">
        <v>5919</v>
      </c>
      <c r="BC437" s="3" t="s">
        <v>5920</v>
      </c>
      <c r="BD437" s="3" t="s">
        <v>5921</v>
      </c>
    </row>
    <row r="438" spans="1:56" ht="45.75" customHeight="1" x14ac:dyDescent="0.25">
      <c r="A438" s="7" t="s">
        <v>58</v>
      </c>
      <c r="B438" s="2" t="s">
        <v>5922</v>
      </c>
      <c r="C438" s="2" t="s">
        <v>5923</v>
      </c>
      <c r="D438" s="2" t="s">
        <v>5924</v>
      </c>
      <c r="F438" s="3" t="s">
        <v>58</v>
      </c>
      <c r="G438" s="3" t="s">
        <v>59</v>
      </c>
      <c r="H438" s="3" t="s">
        <v>58</v>
      </c>
      <c r="I438" s="3" t="s">
        <v>58</v>
      </c>
      <c r="J438" s="3" t="s">
        <v>60</v>
      </c>
      <c r="L438" s="2" t="s">
        <v>5925</v>
      </c>
      <c r="M438" s="3" t="s">
        <v>116</v>
      </c>
      <c r="O438" s="3" t="s">
        <v>65</v>
      </c>
      <c r="P438" s="3" t="s">
        <v>175</v>
      </c>
      <c r="Q438" s="2" t="s">
        <v>5926</v>
      </c>
      <c r="R438" s="3" t="s">
        <v>67</v>
      </c>
      <c r="S438" s="4">
        <v>1</v>
      </c>
      <c r="T438" s="4">
        <v>1</v>
      </c>
      <c r="U438" s="5" t="s">
        <v>5927</v>
      </c>
      <c r="V438" s="5" t="s">
        <v>5927</v>
      </c>
      <c r="W438" s="5" t="s">
        <v>545</v>
      </c>
      <c r="X438" s="5" t="s">
        <v>545</v>
      </c>
      <c r="Y438" s="4">
        <v>176</v>
      </c>
      <c r="Z438" s="4">
        <v>84</v>
      </c>
      <c r="AA438" s="4">
        <v>84</v>
      </c>
      <c r="AB438" s="4">
        <v>3</v>
      </c>
      <c r="AC438" s="4">
        <v>3</v>
      </c>
      <c r="AD438" s="4">
        <v>5</v>
      </c>
      <c r="AE438" s="4">
        <v>5</v>
      </c>
      <c r="AF438" s="4">
        <v>1</v>
      </c>
      <c r="AG438" s="4">
        <v>1</v>
      </c>
      <c r="AH438" s="4">
        <v>1</v>
      </c>
      <c r="AI438" s="4">
        <v>1</v>
      </c>
      <c r="AJ438" s="4">
        <v>2</v>
      </c>
      <c r="AK438" s="4">
        <v>2</v>
      </c>
      <c r="AL438" s="4">
        <v>2</v>
      </c>
      <c r="AM438" s="4">
        <v>2</v>
      </c>
      <c r="AN438" s="4">
        <v>0</v>
      </c>
      <c r="AO438" s="4">
        <v>0</v>
      </c>
      <c r="AP438" s="3" t="s">
        <v>58</v>
      </c>
      <c r="AQ438" s="3" t="s">
        <v>58</v>
      </c>
      <c r="AS438" s="6" t="str">
        <f>HYPERLINK("https://creighton-primo.hosted.exlibrisgroup.com/primo-explore/search?tab=default_tab&amp;search_scope=EVERYTHING&amp;vid=01CRU&amp;lang=en_US&amp;offset=0&amp;query=any,contains,991002900709702656","Catalog Record")</f>
        <v>Catalog Record</v>
      </c>
      <c r="AT438" s="6" t="str">
        <f>HYPERLINK("http://www.worldcat.org/oclc/38248970","WorldCat Record")</f>
        <v>WorldCat Record</v>
      </c>
      <c r="AU438" s="3" t="s">
        <v>5928</v>
      </c>
      <c r="AV438" s="3" t="s">
        <v>5929</v>
      </c>
      <c r="AW438" s="3" t="s">
        <v>5930</v>
      </c>
      <c r="AX438" s="3" t="s">
        <v>5930</v>
      </c>
      <c r="AY438" s="3" t="s">
        <v>5931</v>
      </c>
      <c r="AZ438" s="3" t="s">
        <v>74</v>
      </c>
      <c r="BB438" s="3" t="s">
        <v>5932</v>
      </c>
      <c r="BC438" s="3" t="s">
        <v>5933</v>
      </c>
      <c r="BD438" s="3" t="s">
        <v>5934</v>
      </c>
    </row>
    <row r="439" spans="1:56" ht="45.75" customHeight="1" x14ac:dyDescent="0.25">
      <c r="A439" s="7" t="s">
        <v>58</v>
      </c>
      <c r="B439" s="2" t="s">
        <v>5935</v>
      </c>
      <c r="C439" s="2" t="s">
        <v>5936</v>
      </c>
      <c r="D439" s="2" t="s">
        <v>5937</v>
      </c>
      <c r="F439" s="3" t="s">
        <v>58</v>
      </c>
      <c r="G439" s="3" t="s">
        <v>59</v>
      </c>
      <c r="H439" s="3" t="s">
        <v>58</v>
      </c>
      <c r="I439" s="3" t="s">
        <v>58</v>
      </c>
      <c r="J439" s="3" t="s">
        <v>60</v>
      </c>
      <c r="L439" s="2" t="s">
        <v>5938</v>
      </c>
      <c r="M439" s="3" t="s">
        <v>307</v>
      </c>
      <c r="O439" s="3" t="s">
        <v>65</v>
      </c>
      <c r="P439" s="3" t="s">
        <v>148</v>
      </c>
      <c r="R439" s="3" t="s">
        <v>67</v>
      </c>
      <c r="S439" s="4">
        <v>4</v>
      </c>
      <c r="T439" s="4">
        <v>4</v>
      </c>
      <c r="U439" s="5" t="s">
        <v>5836</v>
      </c>
      <c r="V439" s="5" t="s">
        <v>5836</v>
      </c>
      <c r="W439" s="5" t="s">
        <v>5939</v>
      </c>
      <c r="X439" s="5" t="s">
        <v>5939</v>
      </c>
      <c r="Y439" s="4">
        <v>595</v>
      </c>
      <c r="Z439" s="4">
        <v>485</v>
      </c>
      <c r="AA439" s="4">
        <v>491</v>
      </c>
      <c r="AB439" s="4">
        <v>3</v>
      </c>
      <c r="AC439" s="4">
        <v>3</v>
      </c>
      <c r="AD439" s="4">
        <v>32</v>
      </c>
      <c r="AE439" s="4">
        <v>32</v>
      </c>
      <c r="AF439" s="4">
        <v>12</v>
      </c>
      <c r="AG439" s="4">
        <v>12</v>
      </c>
      <c r="AH439" s="4">
        <v>5</v>
      </c>
      <c r="AI439" s="4">
        <v>5</v>
      </c>
      <c r="AJ439" s="4">
        <v>16</v>
      </c>
      <c r="AK439" s="4">
        <v>16</v>
      </c>
      <c r="AL439" s="4">
        <v>2</v>
      </c>
      <c r="AM439" s="4">
        <v>2</v>
      </c>
      <c r="AN439" s="4">
        <v>4</v>
      </c>
      <c r="AO439" s="4">
        <v>4</v>
      </c>
      <c r="AP439" s="3" t="s">
        <v>58</v>
      </c>
      <c r="AQ439" s="3" t="s">
        <v>87</v>
      </c>
      <c r="AR439" s="6" t="str">
        <f>HYPERLINK("http://catalog.hathitrust.org/Record/003016524","HathiTrust Record")</f>
        <v>HathiTrust Record</v>
      </c>
      <c r="AS439" s="6" t="str">
        <f>HYPERLINK("https://creighton-primo.hosted.exlibrisgroup.com/primo-explore/search?tab=default_tab&amp;search_scope=EVERYTHING&amp;vid=01CRU&amp;lang=en_US&amp;offset=0&amp;query=any,contains,991003680769702656","Catalog Record")</f>
        <v>Catalog Record</v>
      </c>
      <c r="AT439" s="6" t="str">
        <f>HYPERLINK("http://www.worldcat.org/oclc/32202676","WorldCat Record")</f>
        <v>WorldCat Record</v>
      </c>
      <c r="AU439" s="3" t="s">
        <v>5940</v>
      </c>
      <c r="AV439" s="3" t="s">
        <v>5941</v>
      </c>
      <c r="AW439" s="3" t="s">
        <v>5942</v>
      </c>
      <c r="AX439" s="3" t="s">
        <v>5942</v>
      </c>
      <c r="AY439" s="3" t="s">
        <v>5943</v>
      </c>
      <c r="AZ439" s="3" t="s">
        <v>74</v>
      </c>
      <c r="BB439" s="3" t="s">
        <v>5944</v>
      </c>
      <c r="BC439" s="3" t="s">
        <v>5945</v>
      </c>
      <c r="BD439" s="3" t="s">
        <v>5946</v>
      </c>
    </row>
    <row r="440" spans="1:56" ht="45.75" customHeight="1" x14ac:dyDescent="0.25">
      <c r="A440" s="7" t="s">
        <v>58</v>
      </c>
      <c r="B440" s="2" t="s">
        <v>5947</v>
      </c>
      <c r="C440" s="2" t="s">
        <v>5948</v>
      </c>
      <c r="D440" s="2" t="s">
        <v>5949</v>
      </c>
      <c r="E440" s="3" t="s">
        <v>5950</v>
      </c>
      <c r="F440" s="3" t="s">
        <v>58</v>
      </c>
      <c r="G440" s="3" t="s">
        <v>59</v>
      </c>
      <c r="H440" s="3" t="s">
        <v>58</v>
      </c>
      <c r="I440" s="3" t="s">
        <v>58</v>
      </c>
      <c r="J440" s="3" t="s">
        <v>60</v>
      </c>
      <c r="L440" s="2" t="s">
        <v>5951</v>
      </c>
      <c r="M440" s="3" t="s">
        <v>557</v>
      </c>
      <c r="O440" s="3" t="s">
        <v>65</v>
      </c>
      <c r="P440" s="3" t="s">
        <v>190</v>
      </c>
      <c r="Q440" s="2" t="s">
        <v>5952</v>
      </c>
      <c r="R440" s="3" t="s">
        <v>67</v>
      </c>
      <c r="S440" s="4">
        <v>1</v>
      </c>
      <c r="T440" s="4">
        <v>1</v>
      </c>
      <c r="U440" s="5" t="s">
        <v>5953</v>
      </c>
      <c r="V440" s="5" t="s">
        <v>5953</v>
      </c>
      <c r="W440" s="5" t="s">
        <v>5953</v>
      </c>
      <c r="X440" s="5" t="s">
        <v>5953</v>
      </c>
      <c r="Y440" s="4">
        <v>415</v>
      </c>
      <c r="Z440" s="4">
        <v>341</v>
      </c>
      <c r="AA440" s="4">
        <v>347</v>
      </c>
      <c r="AB440" s="4">
        <v>3</v>
      </c>
      <c r="AC440" s="4">
        <v>3</v>
      </c>
      <c r="AD440" s="4">
        <v>21</v>
      </c>
      <c r="AE440" s="4">
        <v>21</v>
      </c>
      <c r="AF440" s="4">
        <v>5</v>
      </c>
      <c r="AG440" s="4">
        <v>5</v>
      </c>
      <c r="AH440" s="4">
        <v>2</v>
      </c>
      <c r="AI440" s="4">
        <v>2</v>
      </c>
      <c r="AJ440" s="4">
        <v>7</v>
      </c>
      <c r="AK440" s="4">
        <v>7</v>
      </c>
      <c r="AL440" s="4">
        <v>2</v>
      </c>
      <c r="AM440" s="4">
        <v>2</v>
      </c>
      <c r="AN440" s="4">
        <v>7</v>
      </c>
      <c r="AO440" s="4">
        <v>7</v>
      </c>
      <c r="AP440" s="3" t="s">
        <v>58</v>
      </c>
      <c r="AQ440" s="3" t="s">
        <v>58</v>
      </c>
      <c r="AS440" s="6" t="str">
        <f>HYPERLINK("https://creighton-primo.hosted.exlibrisgroup.com/primo-explore/search?tab=default_tab&amp;search_scope=EVERYTHING&amp;vid=01CRU&amp;lang=en_US&amp;offset=0&amp;query=any,contains,991003272029702656","Catalog Record")</f>
        <v>Catalog Record</v>
      </c>
      <c r="AT440" s="6" t="str">
        <f>HYPERLINK("http://www.worldcat.org/oclc/29030970","WorldCat Record")</f>
        <v>WorldCat Record</v>
      </c>
      <c r="AU440" s="3" t="s">
        <v>5954</v>
      </c>
      <c r="AV440" s="3" t="s">
        <v>5955</v>
      </c>
      <c r="AW440" s="3" t="s">
        <v>5956</v>
      </c>
      <c r="AX440" s="3" t="s">
        <v>5956</v>
      </c>
      <c r="AY440" s="3" t="s">
        <v>5957</v>
      </c>
      <c r="AZ440" s="3" t="s">
        <v>74</v>
      </c>
      <c r="BB440" s="3" t="s">
        <v>5958</v>
      </c>
      <c r="BC440" s="3" t="s">
        <v>5959</v>
      </c>
      <c r="BD440" s="3" t="s">
        <v>5960</v>
      </c>
    </row>
    <row r="441" spans="1:56" ht="45.75" customHeight="1" x14ac:dyDescent="0.25">
      <c r="A441" s="7" t="s">
        <v>58</v>
      </c>
      <c r="B441" s="2" t="s">
        <v>5961</v>
      </c>
      <c r="C441" s="2" t="s">
        <v>5962</v>
      </c>
      <c r="D441" s="2" t="s">
        <v>5963</v>
      </c>
      <c r="F441" s="3" t="s">
        <v>58</v>
      </c>
      <c r="G441" s="3" t="s">
        <v>59</v>
      </c>
      <c r="H441" s="3" t="s">
        <v>58</v>
      </c>
      <c r="I441" s="3" t="s">
        <v>58</v>
      </c>
      <c r="J441" s="3" t="s">
        <v>60</v>
      </c>
      <c r="K441" s="2" t="s">
        <v>5964</v>
      </c>
      <c r="L441" s="2" t="s">
        <v>5965</v>
      </c>
      <c r="M441" s="3" t="s">
        <v>1419</v>
      </c>
      <c r="O441" s="3" t="s">
        <v>65</v>
      </c>
      <c r="P441" s="3" t="s">
        <v>148</v>
      </c>
      <c r="R441" s="3" t="s">
        <v>67</v>
      </c>
      <c r="S441" s="4">
        <v>10</v>
      </c>
      <c r="T441" s="4">
        <v>10</v>
      </c>
      <c r="U441" s="5" t="s">
        <v>5966</v>
      </c>
      <c r="V441" s="5" t="s">
        <v>5966</v>
      </c>
      <c r="W441" s="5" t="s">
        <v>4293</v>
      </c>
      <c r="X441" s="5" t="s">
        <v>4293</v>
      </c>
      <c r="Y441" s="4">
        <v>592</v>
      </c>
      <c r="Z441" s="4">
        <v>489</v>
      </c>
      <c r="AA441" s="4">
        <v>492</v>
      </c>
      <c r="AB441" s="4">
        <v>4</v>
      </c>
      <c r="AC441" s="4">
        <v>4</v>
      </c>
      <c r="AD441" s="4">
        <v>30</v>
      </c>
      <c r="AE441" s="4">
        <v>30</v>
      </c>
      <c r="AF441" s="4">
        <v>11</v>
      </c>
      <c r="AG441" s="4">
        <v>11</v>
      </c>
      <c r="AH441" s="4">
        <v>6</v>
      </c>
      <c r="AI441" s="4">
        <v>6</v>
      </c>
      <c r="AJ441" s="4">
        <v>9</v>
      </c>
      <c r="AK441" s="4">
        <v>9</v>
      </c>
      <c r="AL441" s="4">
        <v>3</v>
      </c>
      <c r="AM441" s="4">
        <v>3</v>
      </c>
      <c r="AN441" s="4">
        <v>8</v>
      </c>
      <c r="AO441" s="4">
        <v>8</v>
      </c>
      <c r="AP441" s="3" t="s">
        <v>58</v>
      </c>
      <c r="AQ441" s="3" t="s">
        <v>87</v>
      </c>
      <c r="AR441" s="6" t="str">
        <f>HYPERLINK("http://catalog.hathitrust.org/Record/000178311","HathiTrust Record")</f>
        <v>HathiTrust Record</v>
      </c>
      <c r="AS441" s="6" t="str">
        <f>HYPERLINK("https://creighton-primo.hosted.exlibrisgroup.com/primo-explore/search?tab=default_tab&amp;search_scope=EVERYTHING&amp;vid=01CRU&amp;lang=en_US&amp;offset=0&amp;query=any,contains,991004578409702656","Catalog Record")</f>
        <v>Catalog Record</v>
      </c>
      <c r="AT441" s="6" t="str">
        <f>HYPERLINK("http://www.worldcat.org/oclc/4055920","WorldCat Record")</f>
        <v>WorldCat Record</v>
      </c>
      <c r="AU441" s="3" t="s">
        <v>5967</v>
      </c>
      <c r="AV441" s="3" t="s">
        <v>5968</v>
      </c>
      <c r="AW441" s="3" t="s">
        <v>5969</v>
      </c>
      <c r="AX441" s="3" t="s">
        <v>5969</v>
      </c>
      <c r="AY441" s="3" t="s">
        <v>5970</v>
      </c>
      <c r="AZ441" s="3" t="s">
        <v>74</v>
      </c>
      <c r="BB441" s="3" t="s">
        <v>5971</v>
      </c>
      <c r="BC441" s="3" t="s">
        <v>5972</v>
      </c>
      <c r="BD441" s="3" t="s">
        <v>5973</v>
      </c>
    </row>
    <row r="442" spans="1:56" ht="45.75" customHeight="1" x14ac:dyDescent="0.25">
      <c r="A442" s="7" t="s">
        <v>58</v>
      </c>
      <c r="B442" s="2" t="s">
        <v>5974</v>
      </c>
      <c r="C442" s="2" t="s">
        <v>5975</v>
      </c>
      <c r="D442" s="2" t="s">
        <v>5976</v>
      </c>
      <c r="F442" s="3" t="s">
        <v>58</v>
      </c>
      <c r="G442" s="3" t="s">
        <v>59</v>
      </c>
      <c r="H442" s="3" t="s">
        <v>58</v>
      </c>
      <c r="I442" s="3" t="s">
        <v>58</v>
      </c>
      <c r="J442" s="3" t="s">
        <v>60</v>
      </c>
      <c r="L442" s="2" t="s">
        <v>5977</v>
      </c>
      <c r="M442" s="3" t="s">
        <v>189</v>
      </c>
      <c r="O442" s="3" t="s">
        <v>65</v>
      </c>
      <c r="P442" s="3" t="s">
        <v>204</v>
      </c>
      <c r="R442" s="3" t="s">
        <v>67</v>
      </c>
      <c r="S442" s="4">
        <v>3</v>
      </c>
      <c r="T442" s="4">
        <v>3</v>
      </c>
      <c r="U442" s="5" t="s">
        <v>5978</v>
      </c>
      <c r="V442" s="5" t="s">
        <v>5978</v>
      </c>
      <c r="W442" s="5" t="s">
        <v>448</v>
      </c>
      <c r="X442" s="5" t="s">
        <v>448</v>
      </c>
      <c r="Y442" s="4">
        <v>826</v>
      </c>
      <c r="Z442" s="4">
        <v>740</v>
      </c>
      <c r="AA442" s="4">
        <v>1361</v>
      </c>
      <c r="AB442" s="4">
        <v>3</v>
      </c>
      <c r="AC442" s="4">
        <v>24</v>
      </c>
      <c r="AD442" s="4">
        <v>29</v>
      </c>
      <c r="AE442" s="4">
        <v>54</v>
      </c>
      <c r="AF442" s="4">
        <v>13</v>
      </c>
      <c r="AG442" s="4">
        <v>20</v>
      </c>
      <c r="AH442" s="4">
        <v>5</v>
      </c>
      <c r="AI442" s="4">
        <v>9</v>
      </c>
      <c r="AJ442" s="4">
        <v>13</v>
      </c>
      <c r="AK442" s="4">
        <v>20</v>
      </c>
      <c r="AL442" s="4">
        <v>2</v>
      </c>
      <c r="AM442" s="4">
        <v>12</v>
      </c>
      <c r="AN442" s="4">
        <v>2</v>
      </c>
      <c r="AO442" s="4">
        <v>3</v>
      </c>
      <c r="AP442" s="3" t="s">
        <v>58</v>
      </c>
      <c r="AQ442" s="3" t="s">
        <v>58</v>
      </c>
      <c r="AS442" s="6" t="str">
        <f>HYPERLINK("https://creighton-primo.hosted.exlibrisgroup.com/primo-explore/search?tab=default_tab&amp;search_scope=EVERYTHING&amp;vid=01CRU&amp;lang=en_US&amp;offset=0&amp;query=any,contains,991005334579702656","Catalog Record")</f>
        <v>Catalog Record</v>
      </c>
      <c r="AT442" s="6" t="str">
        <f>HYPERLINK("http://www.worldcat.org/oclc/213765828","WorldCat Record")</f>
        <v>WorldCat Record</v>
      </c>
      <c r="AU442" s="3" t="s">
        <v>5979</v>
      </c>
      <c r="AV442" s="3" t="s">
        <v>5980</v>
      </c>
      <c r="AW442" s="3" t="s">
        <v>5981</v>
      </c>
      <c r="AX442" s="3" t="s">
        <v>5981</v>
      </c>
      <c r="AY442" s="3" t="s">
        <v>5982</v>
      </c>
      <c r="AZ442" s="3" t="s">
        <v>74</v>
      </c>
      <c r="BB442" s="3" t="s">
        <v>5983</v>
      </c>
      <c r="BC442" s="3" t="s">
        <v>5984</v>
      </c>
      <c r="BD442" s="3" t="s">
        <v>5985</v>
      </c>
    </row>
    <row r="443" spans="1:56" ht="45.75" customHeight="1" x14ac:dyDescent="0.25">
      <c r="A443" s="7" t="s">
        <v>58</v>
      </c>
      <c r="B443" s="2" t="s">
        <v>5986</v>
      </c>
      <c r="C443" s="2" t="s">
        <v>5987</v>
      </c>
      <c r="D443" s="2" t="s">
        <v>5988</v>
      </c>
      <c r="F443" s="3" t="s">
        <v>58</v>
      </c>
      <c r="G443" s="3" t="s">
        <v>59</v>
      </c>
      <c r="H443" s="3" t="s">
        <v>58</v>
      </c>
      <c r="I443" s="3" t="s">
        <v>58</v>
      </c>
      <c r="J443" s="3" t="s">
        <v>60</v>
      </c>
      <c r="K443" s="2" t="s">
        <v>5989</v>
      </c>
      <c r="L443" s="2" t="s">
        <v>5990</v>
      </c>
      <c r="M443" s="3" t="s">
        <v>307</v>
      </c>
      <c r="O443" s="3" t="s">
        <v>65</v>
      </c>
      <c r="P443" s="3" t="s">
        <v>4857</v>
      </c>
      <c r="R443" s="3" t="s">
        <v>67</v>
      </c>
      <c r="S443" s="4">
        <v>10</v>
      </c>
      <c r="T443" s="4">
        <v>10</v>
      </c>
      <c r="U443" s="5" t="s">
        <v>5978</v>
      </c>
      <c r="V443" s="5" t="s">
        <v>5978</v>
      </c>
      <c r="W443" s="5" t="s">
        <v>5991</v>
      </c>
      <c r="X443" s="5" t="s">
        <v>5991</v>
      </c>
      <c r="Y443" s="4">
        <v>455</v>
      </c>
      <c r="Z443" s="4">
        <v>398</v>
      </c>
      <c r="AA443" s="4">
        <v>431</v>
      </c>
      <c r="AB443" s="4">
        <v>4</v>
      </c>
      <c r="AC443" s="4">
        <v>4</v>
      </c>
      <c r="AD443" s="4">
        <v>21</v>
      </c>
      <c r="AE443" s="4">
        <v>22</v>
      </c>
      <c r="AF443" s="4">
        <v>7</v>
      </c>
      <c r="AG443" s="4">
        <v>8</v>
      </c>
      <c r="AH443" s="4">
        <v>4</v>
      </c>
      <c r="AI443" s="4">
        <v>4</v>
      </c>
      <c r="AJ443" s="4">
        <v>9</v>
      </c>
      <c r="AK443" s="4">
        <v>9</v>
      </c>
      <c r="AL443" s="4">
        <v>3</v>
      </c>
      <c r="AM443" s="4">
        <v>3</v>
      </c>
      <c r="AN443" s="4">
        <v>4</v>
      </c>
      <c r="AO443" s="4">
        <v>4</v>
      </c>
      <c r="AP443" s="3" t="s">
        <v>58</v>
      </c>
      <c r="AQ443" s="3" t="s">
        <v>87</v>
      </c>
      <c r="AR443" s="6" t="str">
        <f>HYPERLINK("http://catalog.hathitrust.org/Record/002994394","HathiTrust Record")</f>
        <v>HathiTrust Record</v>
      </c>
      <c r="AS443" s="6" t="str">
        <f>HYPERLINK("https://creighton-primo.hosted.exlibrisgroup.com/primo-explore/search?tab=default_tab&amp;search_scope=EVERYTHING&amp;vid=01CRU&amp;lang=en_US&amp;offset=0&amp;query=any,contains,991002462089702656","Catalog Record")</f>
        <v>Catalog Record</v>
      </c>
      <c r="AT443" s="6" t="str">
        <f>HYPERLINK("http://www.worldcat.org/oclc/32086794","WorldCat Record")</f>
        <v>WorldCat Record</v>
      </c>
      <c r="AU443" s="3" t="s">
        <v>5992</v>
      </c>
      <c r="AV443" s="3" t="s">
        <v>5993</v>
      </c>
      <c r="AW443" s="3" t="s">
        <v>5994</v>
      </c>
      <c r="AX443" s="3" t="s">
        <v>5994</v>
      </c>
      <c r="AY443" s="3" t="s">
        <v>5995</v>
      </c>
      <c r="AZ443" s="3" t="s">
        <v>74</v>
      </c>
      <c r="BB443" s="3" t="s">
        <v>5996</v>
      </c>
      <c r="BC443" s="3" t="s">
        <v>5997</v>
      </c>
      <c r="BD443" s="3" t="s">
        <v>5998</v>
      </c>
    </row>
    <row r="444" spans="1:56" ht="45.75" customHeight="1" x14ac:dyDescent="0.25">
      <c r="A444" s="7" t="s">
        <v>58</v>
      </c>
      <c r="B444" s="2" t="s">
        <v>5999</v>
      </c>
      <c r="C444" s="2" t="s">
        <v>6000</v>
      </c>
      <c r="D444" s="2" t="s">
        <v>6001</v>
      </c>
      <c r="F444" s="3" t="s">
        <v>58</v>
      </c>
      <c r="G444" s="3" t="s">
        <v>59</v>
      </c>
      <c r="H444" s="3" t="s">
        <v>58</v>
      </c>
      <c r="I444" s="3" t="s">
        <v>58</v>
      </c>
      <c r="J444" s="3" t="s">
        <v>60</v>
      </c>
      <c r="L444" s="2" t="s">
        <v>6002</v>
      </c>
      <c r="M444" s="3" t="s">
        <v>713</v>
      </c>
      <c r="O444" s="3" t="s">
        <v>65</v>
      </c>
      <c r="P444" s="3" t="s">
        <v>84</v>
      </c>
      <c r="R444" s="3" t="s">
        <v>67</v>
      </c>
      <c r="S444" s="4">
        <v>10</v>
      </c>
      <c r="T444" s="4">
        <v>10</v>
      </c>
      <c r="U444" s="5" t="s">
        <v>5966</v>
      </c>
      <c r="V444" s="5" t="s">
        <v>5966</v>
      </c>
      <c r="W444" s="5" t="s">
        <v>4293</v>
      </c>
      <c r="X444" s="5" t="s">
        <v>4293</v>
      </c>
      <c r="Y444" s="4">
        <v>651</v>
      </c>
      <c r="Z444" s="4">
        <v>553</v>
      </c>
      <c r="AA444" s="4">
        <v>584</v>
      </c>
      <c r="AB444" s="4">
        <v>6</v>
      </c>
      <c r="AC444" s="4">
        <v>6</v>
      </c>
      <c r="AD444" s="4">
        <v>35</v>
      </c>
      <c r="AE444" s="4">
        <v>38</v>
      </c>
      <c r="AF444" s="4">
        <v>8</v>
      </c>
      <c r="AG444" s="4">
        <v>9</v>
      </c>
      <c r="AH444" s="4">
        <v>9</v>
      </c>
      <c r="AI444" s="4">
        <v>9</v>
      </c>
      <c r="AJ444" s="4">
        <v>12</v>
      </c>
      <c r="AK444" s="4">
        <v>15</v>
      </c>
      <c r="AL444" s="4">
        <v>5</v>
      </c>
      <c r="AM444" s="4">
        <v>5</v>
      </c>
      <c r="AN444" s="4">
        <v>8</v>
      </c>
      <c r="AO444" s="4">
        <v>8</v>
      </c>
      <c r="AP444" s="3" t="s">
        <v>58</v>
      </c>
      <c r="AQ444" s="3" t="s">
        <v>58</v>
      </c>
      <c r="AS444" s="6" t="str">
        <f>HYPERLINK("https://creighton-primo.hosted.exlibrisgroup.com/primo-explore/search?tab=default_tab&amp;search_scope=EVERYTHING&amp;vid=01CRU&amp;lang=en_US&amp;offset=0&amp;query=any,contains,991005115329702656","Catalog Record")</f>
        <v>Catalog Record</v>
      </c>
      <c r="AT444" s="6" t="str">
        <f>HYPERLINK("http://www.worldcat.org/oclc/7461920","WorldCat Record")</f>
        <v>WorldCat Record</v>
      </c>
      <c r="AU444" s="3" t="s">
        <v>6003</v>
      </c>
      <c r="AV444" s="3" t="s">
        <v>6004</v>
      </c>
      <c r="AW444" s="3" t="s">
        <v>6005</v>
      </c>
      <c r="AX444" s="3" t="s">
        <v>6005</v>
      </c>
      <c r="AY444" s="3" t="s">
        <v>6006</v>
      </c>
      <c r="AZ444" s="3" t="s">
        <v>74</v>
      </c>
      <c r="BB444" s="3" t="s">
        <v>6007</v>
      </c>
      <c r="BC444" s="3" t="s">
        <v>6008</v>
      </c>
      <c r="BD444" s="3" t="s">
        <v>6009</v>
      </c>
    </row>
    <row r="445" spans="1:56" ht="45.75" customHeight="1" x14ac:dyDescent="0.25">
      <c r="A445" s="7" t="s">
        <v>58</v>
      </c>
      <c r="B445" s="2" t="s">
        <v>6010</v>
      </c>
      <c r="C445" s="2" t="s">
        <v>6011</v>
      </c>
      <c r="D445" s="2" t="s">
        <v>6012</v>
      </c>
      <c r="F445" s="3" t="s">
        <v>58</v>
      </c>
      <c r="G445" s="3" t="s">
        <v>59</v>
      </c>
      <c r="H445" s="3" t="s">
        <v>58</v>
      </c>
      <c r="I445" s="3" t="s">
        <v>58</v>
      </c>
      <c r="J445" s="3" t="s">
        <v>60</v>
      </c>
      <c r="L445" s="2" t="s">
        <v>6013</v>
      </c>
      <c r="M445" s="3" t="s">
        <v>557</v>
      </c>
      <c r="O445" s="3" t="s">
        <v>65</v>
      </c>
      <c r="P445" s="3" t="s">
        <v>336</v>
      </c>
      <c r="R445" s="3" t="s">
        <v>67</v>
      </c>
      <c r="S445" s="4">
        <v>11</v>
      </c>
      <c r="T445" s="4">
        <v>11</v>
      </c>
      <c r="U445" s="5" t="s">
        <v>6014</v>
      </c>
      <c r="V445" s="5" t="s">
        <v>6014</v>
      </c>
      <c r="W445" s="5" t="s">
        <v>3451</v>
      </c>
      <c r="X445" s="5" t="s">
        <v>3451</v>
      </c>
      <c r="Y445" s="4">
        <v>288</v>
      </c>
      <c r="Z445" s="4">
        <v>249</v>
      </c>
      <c r="AA445" s="4">
        <v>559</v>
      </c>
      <c r="AB445" s="4">
        <v>3</v>
      </c>
      <c r="AC445" s="4">
        <v>5</v>
      </c>
      <c r="AD445" s="4">
        <v>18</v>
      </c>
      <c r="AE445" s="4">
        <v>29</v>
      </c>
      <c r="AF445" s="4">
        <v>5</v>
      </c>
      <c r="AG445" s="4">
        <v>8</v>
      </c>
      <c r="AH445" s="4">
        <v>2</v>
      </c>
      <c r="AI445" s="4">
        <v>5</v>
      </c>
      <c r="AJ445" s="4">
        <v>8</v>
      </c>
      <c r="AK445" s="4">
        <v>12</v>
      </c>
      <c r="AL445" s="4">
        <v>2</v>
      </c>
      <c r="AM445" s="4">
        <v>4</v>
      </c>
      <c r="AN445" s="4">
        <v>6</v>
      </c>
      <c r="AO445" s="4">
        <v>8</v>
      </c>
      <c r="AP445" s="3" t="s">
        <v>58</v>
      </c>
      <c r="AQ445" s="3" t="s">
        <v>58</v>
      </c>
      <c r="AS445" s="6" t="str">
        <f>HYPERLINK("https://creighton-primo.hosted.exlibrisgroup.com/primo-explore/search?tab=default_tab&amp;search_scope=EVERYTHING&amp;vid=01CRU&amp;lang=en_US&amp;offset=0&amp;query=any,contains,991002092229702656","Catalog Record")</f>
        <v>Catalog Record</v>
      </c>
      <c r="AT445" s="6" t="str">
        <f>HYPERLINK("http://www.worldcat.org/oclc/26852344","WorldCat Record")</f>
        <v>WorldCat Record</v>
      </c>
      <c r="AU445" s="3" t="s">
        <v>6015</v>
      </c>
      <c r="AV445" s="3" t="s">
        <v>6016</v>
      </c>
      <c r="AW445" s="3" t="s">
        <v>6017</v>
      </c>
      <c r="AX445" s="3" t="s">
        <v>6017</v>
      </c>
      <c r="AY445" s="3" t="s">
        <v>6018</v>
      </c>
      <c r="AZ445" s="3" t="s">
        <v>74</v>
      </c>
      <c r="BB445" s="3" t="s">
        <v>6019</v>
      </c>
      <c r="BC445" s="3" t="s">
        <v>6020</v>
      </c>
      <c r="BD445" s="3" t="s">
        <v>6021</v>
      </c>
    </row>
    <row r="446" spans="1:56" ht="45.75" customHeight="1" x14ac:dyDescent="0.25">
      <c r="A446" s="7" t="s">
        <v>58</v>
      </c>
      <c r="B446" s="2" t="s">
        <v>6022</v>
      </c>
      <c r="C446" s="2" t="s">
        <v>6023</v>
      </c>
      <c r="D446" s="2" t="s">
        <v>6024</v>
      </c>
      <c r="F446" s="3" t="s">
        <v>58</v>
      </c>
      <c r="G446" s="3" t="s">
        <v>59</v>
      </c>
      <c r="H446" s="3" t="s">
        <v>58</v>
      </c>
      <c r="I446" s="3" t="s">
        <v>58</v>
      </c>
      <c r="J446" s="3" t="s">
        <v>60</v>
      </c>
      <c r="K446" s="2" t="s">
        <v>6025</v>
      </c>
      <c r="L446" s="2" t="s">
        <v>6026</v>
      </c>
      <c r="M446" s="3" t="s">
        <v>1485</v>
      </c>
      <c r="O446" s="3" t="s">
        <v>65</v>
      </c>
      <c r="P446" s="3" t="s">
        <v>175</v>
      </c>
      <c r="R446" s="3" t="s">
        <v>67</v>
      </c>
      <c r="S446" s="4">
        <v>6</v>
      </c>
      <c r="T446" s="4">
        <v>6</v>
      </c>
      <c r="U446" s="5" t="s">
        <v>5966</v>
      </c>
      <c r="V446" s="5" t="s">
        <v>5966</v>
      </c>
      <c r="W446" s="5" t="s">
        <v>3962</v>
      </c>
      <c r="X446" s="5" t="s">
        <v>3962</v>
      </c>
      <c r="Y446" s="4">
        <v>888</v>
      </c>
      <c r="Z446" s="4">
        <v>676</v>
      </c>
      <c r="AA446" s="4">
        <v>732</v>
      </c>
      <c r="AB446" s="4">
        <v>5</v>
      </c>
      <c r="AC446" s="4">
        <v>5</v>
      </c>
      <c r="AD446" s="4">
        <v>33</v>
      </c>
      <c r="AE446" s="4">
        <v>34</v>
      </c>
      <c r="AF446" s="4">
        <v>13</v>
      </c>
      <c r="AG446" s="4">
        <v>14</v>
      </c>
      <c r="AH446" s="4">
        <v>7</v>
      </c>
      <c r="AI446" s="4">
        <v>7</v>
      </c>
      <c r="AJ446" s="4">
        <v>13</v>
      </c>
      <c r="AK446" s="4">
        <v>13</v>
      </c>
      <c r="AL446" s="4">
        <v>4</v>
      </c>
      <c r="AM446" s="4">
        <v>4</v>
      </c>
      <c r="AN446" s="4">
        <v>4</v>
      </c>
      <c r="AO446" s="4">
        <v>4</v>
      </c>
      <c r="AP446" s="3" t="s">
        <v>58</v>
      </c>
      <c r="AQ446" s="3" t="s">
        <v>87</v>
      </c>
      <c r="AR446" s="6" t="str">
        <f>HYPERLINK("http://catalog.hathitrust.org/Record/000170619","HathiTrust Record")</f>
        <v>HathiTrust Record</v>
      </c>
      <c r="AS446" s="6" t="str">
        <f>HYPERLINK("https://creighton-primo.hosted.exlibrisgroup.com/primo-explore/search?tab=default_tab&amp;search_scope=EVERYTHING&amp;vid=01CRU&amp;lang=en_US&amp;offset=0&amp;query=any,contains,991004212219702656","Catalog Record")</f>
        <v>Catalog Record</v>
      </c>
      <c r="AT446" s="6" t="str">
        <f>HYPERLINK("http://www.worldcat.org/oclc/2686753","WorldCat Record")</f>
        <v>WorldCat Record</v>
      </c>
      <c r="AU446" s="3" t="s">
        <v>6027</v>
      </c>
      <c r="AV446" s="3" t="s">
        <v>6028</v>
      </c>
      <c r="AW446" s="3" t="s">
        <v>6029</v>
      </c>
      <c r="AX446" s="3" t="s">
        <v>6029</v>
      </c>
      <c r="AY446" s="3" t="s">
        <v>6030</v>
      </c>
      <c r="AZ446" s="3" t="s">
        <v>74</v>
      </c>
      <c r="BB446" s="3" t="s">
        <v>6031</v>
      </c>
      <c r="BC446" s="3" t="s">
        <v>6032</v>
      </c>
      <c r="BD446" s="3" t="s">
        <v>6033</v>
      </c>
    </row>
    <row r="447" spans="1:56" ht="45.75" customHeight="1" x14ac:dyDescent="0.25">
      <c r="A447" s="7" t="s">
        <v>58</v>
      </c>
      <c r="B447" s="2" t="s">
        <v>6034</v>
      </c>
      <c r="C447" s="2" t="s">
        <v>6035</v>
      </c>
      <c r="D447" s="2" t="s">
        <v>6036</v>
      </c>
      <c r="F447" s="3" t="s">
        <v>58</v>
      </c>
      <c r="G447" s="3" t="s">
        <v>59</v>
      </c>
      <c r="H447" s="3" t="s">
        <v>87</v>
      </c>
      <c r="I447" s="3" t="s">
        <v>58</v>
      </c>
      <c r="J447" s="3" t="s">
        <v>60</v>
      </c>
      <c r="L447" s="2" t="s">
        <v>6037</v>
      </c>
      <c r="M447" s="3" t="s">
        <v>1500</v>
      </c>
      <c r="O447" s="3" t="s">
        <v>65</v>
      </c>
      <c r="P447" s="3" t="s">
        <v>84</v>
      </c>
      <c r="R447" s="3" t="s">
        <v>67</v>
      </c>
      <c r="S447" s="4">
        <v>12</v>
      </c>
      <c r="T447" s="4">
        <v>12</v>
      </c>
      <c r="U447" s="5" t="s">
        <v>1675</v>
      </c>
      <c r="V447" s="5" t="s">
        <v>1675</v>
      </c>
      <c r="W447" s="5" t="s">
        <v>4293</v>
      </c>
      <c r="X447" s="5" t="s">
        <v>6038</v>
      </c>
      <c r="Y447" s="4">
        <v>672</v>
      </c>
      <c r="Z447" s="4">
        <v>547</v>
      </c>
      <c r="AA447" s="4">
        <v>553</v>
      </c>
      <c r="AB447" s="4">
        <v>8</v>
      </c>
      <c r="AC447" s="4">
        <v>8</v>
      </c>
      <c r="AD447" s="4">
        <v>36</v>
      </c>
      <c r="AE447" s="4">
        <v>36</v>
      </c>
      <c r="AF447" s="4">
        <v>9</v>
      </c>
      <c r="AG447" s="4">
        <v>9</v>
      </c>
      <c r="AH447" s="4">
        <v>5</v>
      </c>
      <c r="AI447" s="4">
        <v>5</v>
      </c>
      <c r="AJ447" s="4">
        <v>9</v>
      </c>
      <c r="AK447" s="4">
        <v>9</v>
      </c>
      <c r="AL447" s="4">
        <v>6</v>
      </c>
      <c r="AM447" s="4">
        <v>6</v>
      </c>
      <c r="AN447" s="4">
        <v>11</v>
      </c>
      <c r="AO447" s="4">
        <v>11</v>
      </c>
      <c r="AP447" s="3" t="s">
        <v>58</v>
      </c>
      <c r="AQ447" s="3" t="s">
        <v>87</v>
      </c>
      <c r="AR447" s="6" t="str">
        <f>HYPERLINK("http://catalog.hathitrust.org/Record/000682349","HathiTrust Record")</f>
        <v>HathiTrust Record</v>
      </c>
      <c r="AS447" s="6" t="str">
        <f>HYPERLINK("https://creighton-primo.hosted.exlibrisgroup.com/primo-explore/search?tab=default_tab&amp;search_scope=EVERYTHING&amp;vid=01CRU&amp;lang=en_US&amp;offset=0&amp;query=any,contains,991001809369702656","Catalog Record")</f>
        <v>Catalog Record</v>
      </c>
      <c r="AT447" s="6" t="str">
        <f>HYPERLINK("http://www.worldcat.org/oclc/5264302","WorldCat Record")</f>
        <v>WorldCat Record</v>
      </c>
      <c r="AU447" s="3" t="s">
        <v>6039</v>
      </c>
      <c r="AV447" s="3" t="s">
        <v>6040</v>
      </c>
      <c r="AW447" s="3" t="s">
        <v>6041</v>
      </c>
      <c r="AX447" s="3" t="s">
        <v>6041</v>
      </c>
      <c r="AY447" s="3" t="s">
        <v>6042</v>
      </c>
      <c r="AZ447" s="3" t="s">
        <v>74</v>
      </c>
      <c r="BB447" s="3" t="s">
        <v>6043</v>
      </c>
      <c r="BC447" s="3" t="s">
        <v>6044</v>
      </c>
      <c r="BD447" s="3" t="s">
        <v>6045</v>
      </c>
    </row>
    <row r="448" spans="1:56" ht="45.75" customHeight="1" x14ac:dyDescent="0.25">
      <c r="A448" s="7" t="s">
        <v>58</v>
      </c>
      <c r="B448" s="2" t="s">
        <v>6046</v>
      </c>
      <c r="C448" s="2" t="s">
        <v>6047</v>
      </c>
      <c r="D448" s="2" t="s">
        <v>6048</v>
      </c>
      <c r="F448" s="3" t="s">
        <v>58</v>
      </c>
      <c r="G448" s="3" t="s">
        <v>59</v>
      </c>
      <c r="H448" s="3" t="s">
        <v>58</v>
      </c>
      <c r="I448" s="3" t="s">
        <v>58</v>
      </c>
      <c r="J448" s="3" t="s">
        <v>60</v>
      </c>
      <c r="K448" s="2" t="s">
        <v>6049</v>
      </c>
      <c r="L448" s="2" t="s">
        <v>6050</v>
      </c>
      <c r="M448" s="3" t="s">
        <v>1032</v>
      </c>
      <c r="O448" s="3" t="s">
        <v>65</v>
      </c>
      <c r="P448" s="3" t="s">
        <v>175</v>
      </c>
      <c r="Q448" s="2" t="s">
        <v>6051</v>
      </c>
      <c r="R448" s="3" t="s">
        <v>67</v>
      </c>
      <c r="S448" s="4">
        <v>2</v>
      </c>
      <c r="T448" s="4">
        <v>2</v>
      </c>
      <c r="U448" s="5" t="s">
        <v>6052</v>
      </c>
      <c r="V448" s="5" t="s">
        <v>6052</v>
      </c>
      <c r="W448" s="5" t="s">
        <v>6053</v>
      </c>
      <c r="X448" s="5" t="s">
        <v>6053</v>
      </c>
      <c r="Y448" s="4">
        <v>465</v>
      </c>
      <c r="Z448" s="4">
        <v>351</v>
      </c>
      <c r="AA448" s="4">
        <v>415</v>
      </c>
      <c r="AB448" s="4">
        <v>3</v>
      </c>
      <c r="AC448" s="4">
        <v>3</v>
      </c>
      <c r="AD448" s="4">
        <v>24</v>
      </c>
      <c r="AE448" s="4">
        <v>26</v>
      </c>
      <c r="AF448" s="4">
        <v>9</v>
      </c>
      <c r="AG448" s="4">
        <v>10</v>
      </c>
      <c r="AH448" s="4">
        <v>5</v>
      </c>
      <c r="AI448" s="4">
        <v>6</v>
      </c>
      <c r="AJ448" s="4">
        <v>9</v>
      </c>
      <c r="AK448" s="4">
        <v>9</v>
      </c>
      <c r="AL448" s="4">
        <v>2</v>
      </c>
      <c r="AM448" s="4">
        <v>2</v>
      </c>
      <c r="AN448" s="4">
        <v>4</v>
      </c>
      <c r="AO448" s="4">
        <v>4</v>
      </c>
      <c r="AP448" s="3" t="s">
        <v>58</v>
      </c>
      <c r="AQ448" s="3" t="s">
        <v>58</v>
      </c>
      <c r="AS448" s="6" t="str">
        <f>HYPERLINK("https://creighton-primo.hosted.exlibrisgroup.com/primo-explore/search?tab=default_tab&amp;search_scope=EVERYTHING&amp;vid=01CRU&amp;lang=en_US&amp;offset=0&amp;query=any,contains,991002781179702656","Catalog Record")</f>
        <v>Catalog Record</v>
      </c>
      <c r="AT448" s="6" t="str">
        <f>HYPERLINK("http://www.worldcat.org/oclc/36510431","WorldCat Record")</f>
        <v>WorldCat Record</v>
      </c>
      <c r="AU448" s="3" t="s">
        <v>6054</v>
      </c>
      <c r="AV448" s="3" t="s">
        <v>6055</v>
      </c>
      <c r="AW448" s="3" t="s">
        <v>6056</v>
      </c>
      <c r="AX448" s="3" t="s">
        <v>6056</v>
      </c>
      <c r="AY448" s="3" t="s">
        <v>6057</v>
      </c>
      <c r="AZ448" s="3" t="s">
        <v>74</v>
      </c>
      <c r="BB448" s="3" t="s">
        <v>6058</v>
      </c>
      <c r="BC448" s="3" t="s">
        <v>6059</v>
      </c>
      <c r="BD448" s="3" t="s">
        <v>6060</v>
      </c>
    </row>
    <row r="449" spans="1:56" ht="45.75" customHeight="1" x14ac:dyDescent="0.25">
      <c r="A449" s="7" t="s">
        <v>58</v>
      </c>
      <c r="B449" s="2" t="s">
        <v>6061</v>
      </c>
      <c r="C449" s="2" t="s">
        <v>6062</v>
      </c>
      <c r="D449" s="2" t="s">
        <v>6063</v>
      </c>
      <c r="F449" s="3" t="s">
        <v>58</v>
      </c>
      <c r="G449" s="3" t="s">
        <v>59</v>
      </c>
      <c r="H449" s="3" t="s">
        <v>87</v>
      </c>
      <c r="I449" s="3" t="s">
        <v>58</v>
      </c>
      <c r="J449" s="3" t="s">
        <v>60</v>
      </c>
      <c r="K449" s="2" t="s">
        <v>6064</v>
      </c>
      <c r="L449" s="2" t="s">
        <v>6065</v>
      </c>
      <c r="M449" s="3" t="s">
        <v>5819</v>
      </c>
      <c r="O449" s="3" t="s">
        <v>65</v>
      </c>
      <c r="P449" s="3" t="s">
        <v>84</v>
      </c>
      <c r="R449" s="3" t="s">
        <v>67</v>
      </c>
      <c r="S449" s="4">
        <v>5</v>
      </c>
      <c r="T449" s="4">
        <v>5</v>
      </c>
      <c r="U449" s="5" t="s">
        <v>6066</v>
      </c>
      <c r="V449" s="5" t="s">
        <v>6066</v>
      </c>
      <c r="W449" s="5" t="s">
        <v>1487</v>
      </c>
      <c r="X449" s="5" t="s">
        <v>1487</v>
      </c>
      <c r="Y449" s="4">
        <v>892</v>
      </c>
      <c r="Z449" s="4">
        <v>768</v>
      </c>
      <c r="AA449" s="4">
        <v>832</v>
      </c>
      <c r="AB449" s="4">
        <v>6</v>
      </c>
      <c r="AC449" s="4">
        <v>7</v>
      </c>
      <c r="AD449" s="4">
        <v>42</v>
      </c>
      <c r="AE449" s="4">
        <v>46</v>
      </c>
      <c r="AF449" s="4">
        <v>14</v>
      </c>
      <c r="AG449" s="4">
        <v>14</v>
      </c>
      <c r="AH449" s="4">
        <v>4</v>
      </c>
      <c r="AI449" s="4">
        <v>4</v>
      </c>
      <c r="AJ449" s="4">
        <v>16</v>
      </c>
      <c r="AK449" s="4">
        <v>17</v>
      </c>
      <c r="AL449" s="4">
        <v>4</v>
      </c>
      <c r="AM449" s="4">
        <v>4</v>
      </c>
      <c r="AN449" s="4">
        <v>11</v>
      </c>
      <c r="AO449" s="4">
        <v>14</v>
      </c>
      <c r="AP449" s="3" t="s">
        <v>58</v>
      </c>
      <c r="AQ449" s="3" t="s">
        <v>87</v>
      </c>
      <c r="AR449" s="6" t="str">
        <f>HYPERLINK("http://catalog.hathitrust.org/Record/001134045","HathiTrust Record")</f>
        <v>HathiTrust Record</v>
      </c>
      <c r="AS449" s="6" t="str">
        <f>HYPERLINK("https://creighton-primo.hosted.exlibrisgroup.com/primo-explore/search?tab=default_tab&amp;search_scope=EVERYTHING&amp;vid=01CRU&amp;lang=en_US&amp;offset=0&amp;query=any,contains,991001632309702656","Catalog Record")</f>
        <v>Catalog Record</v>
      </c>
      <c r="AT449" s="6" t="str">
        <f>HYPERLINK("http://www.worldcat.org/oclc/374614","WorldCat Record")</f>
        <v>WorldCat Record</v>
      </c>
      <c r="AU449" s="3" t="s">
        <v>6067</v>
      </c>
      <c r="AV449" s="3" t="s">
        <v>6068</v>
      </c>
      <c r="AW449" s="3" t="s">
        <v>6069</v>
      </c>
      <c r="AX449" s="3" t="s">
        <v>6069</v>
      </c>
      <c r="AY449" s="3" t="s">
        <v>6070</v>
      </c>
      <c r="AZ449" s="3" t="s">
        <v>74</v>
      </c>
      <c r="BC449" s="3" t="s">
        <v>6071</v>
      </c>
      <c r="BD449" s="3" t="s">
        <v>6072</v>
      </c>
    </row>
    <row r="450" spans="1:56" ht="45.75" customHeight="1" x14ac:dyDescent="0.25">
      <c r="A450" s="7" t="s">
        <v>58</v>
      </c>
      <c r="B450" s="2" t="s">
        <v>6073</v>
      </c>
      <c r="C450" s="2" t="s">
        <v>6074</v>
      </c>
      <c r="D450" s="2" t="s">
        <v>6075</v>
      </c>
      <c r="F450" s="3" t="s">
        <v>58</v>
      </c>
      <c r="G450" s="3" t="s">
        <v>59</v>
      </c>
      <c r="H450" s="3" t="s">
        <v>58</v>
      </c>
      <c r="I450" s="3" t="s">
        <v>58</v>
      </c>
      <c r="J450" s="3" t="s">
        <v>60</v>
      </c>
      <c r="K450" s="2" t="s">
        <v>6076</v>
      </c>
      <c r="L450" s="2" t="s">
        <v>6077</v>
      </c>
      <c r="M450" s="3" t="s">
        <v>557</v>
      </c>
      <c r="O450" s="3" t="s">
        <v>65</v>
      </c>
      <c r="P450" s="3" t="s">
        <v>175</v>
      </c>
      <c r="Q450" s="2" t="s">
        <v>6078</v>
      </c>
      <c r="R450" s="3" t="s">
        <v>67</v>
      </c>
      <c r="S450" s="4">
        <v>22</v>
      </c>
      <c r="T450" s="4">
        <v>22</v>
      </c>
      <c r="U450" s="5" t="s">
        <v>6079</v>
      </c>
      <c r="V450" s="5" t="s">
        <v>6079</v>
      </c>
      <c r="W450" s="5" t="s">
        <v>6080</v>
      </c>
      <c r="X450" s="5" t="s">
        <v>6080</v>
      </c>
      <c r="Y450" s="4">
        <v>398</v>
      </c>
      <c r="Z450" s="4">
        <v>237</v>
      </c>
      <c r="AA450" s="4">
        <v>239</v>
      </c>
      <c r="AB450" s="4">
        <v>2</v>
      </c>
      <c r="AC450" s="4">
        <v>2</v>
      </c>
      <c r="AD450" s="4">
        <v>18</v>
      </c>
      <c r="AE450" s="4">
        <v>18</v>
      </c>
      <c r="AF450" s="4">
        <v>5</v>
      </c>
      <c r="AG450" s="4">
        <v>5</v>
      </c>
      <c r="AH450" s="4">
        <v>4</v>
      </c>
      <c r="AI450" s="4">
        <v>4</v>
      </c>
      <c r="AJ450" s="4">
        <v>8</v>
      </c>
      <c r="AK450" s="4">
        <v>8</v>
      </c>
      <c r="AL450" s="4">
        <v>1</v>
      </c>
      <c r="AM450" s="4">
        <v>1</v>
      </c>
      <c r="AN450" s="4">
        <v>3</v>
      </c>
      <c r="AO450" s="4">
        <v>3</v>
      </c>
      <c r="AP450" s="3" t="s">
        <v>58</v>
      </c>
      <c r="AQ450" s="3" t="s">
        <v>87</v>
      </c>
      <c r="AR450" s="6" t="str">
        <f>HYPERLINK("http://catalog.hathitrust.org/Record/002640562","HathiTrust Record")</f>
        <v>HathiTrust Record</v>
      </c>
      <c r="AS450" s="6" t="str">
        <f>HYPERLINK("https://creighton-primo.hosted.exlibrisgroup.com/primo-explore/search?tab=default_tab&amp;search_scope=EVERYTHING&amp;vid=01CRU&amp;lang=en_US&amp;offset=0&amp;query=any,contains,991002052749702656","Catalog Record")</f>
        <v>Catalog Record</v>
      </c>
      <c r="AT450" s="6" t="str">
        <f>HYPERLINK("http://www.worldcat.org/oclc/26216799","WorldCat Record")</f>
        <v>WorldCat Record</v>
      </c>
      <c r="AU450" s="3" t="s">
        <v>6081</v>
      </c>
      <c r="AV450" s="3" t="s">
        <v>6082</v>
      </c>
      <c r="AW450" s="3" t="s">
        <v>6083</v>
      </c>
      <c r="AX450" s="3" t="s">
        <v>6083</v>
      </c>
      <c r="AY450" s="3" t="s">
        <v>6084</v>
      </c>
      <c r="AZ450" s="3" t="s">
        <v>74</v>
      </c>
      <c r="BB450" s="3" t="s">
        <v>6085</v>
      </c>
      <c r="BC450" s="3" t="s">
        <v>6086</v>
      </c>
      <c r="BD450" s="3" t="s">
        <v>6087</v>
      </c>
    </row>
    <row r="451" spans="1:56" ht="45.75" customHeight="1" x14ac:dyDescent="0.25">
      <c r="A451" s="7" t="s">
        <v>58</v>
      </c>
      <c r="B451" s="2" t="s">
        <v>6088</v>
      </c>
      <c r="C451" s="2" t="s">
        <v>6089</v>
      </c>
      <c r="D451" s="2" t="s">
        <v>6090</v>
      </c>
      <c r="F451" s="3" t="s">
        <v>58</v>
      </c>
      <c r="G451" s="3" t="s">
        <v>59</v>
      </c>
      <c r="H451" s="3" t="s">
        <v>58</v>
      </c>
      <c r="I451" s="3" t="s">
        <v>58</v>
      </c>
      <c r="J451" s="3" t="s">
        <v>60</v>
      </c>
      <c r="K451" s="2" t="s">
        <v>6091</v>
      </c>
      <c r="L451" s="2" t="s">
        <v>6092</v>
      </c>
      <c r="M451" s="3" t="s">
        <v>1623</v>
      </c>
      <c r="O451" s="3" t="s">
        <v>65</v>
      </c>
      <c r="P451" s="3" t="s">
        <v>148</v>
      </c>
      <c r="Q451" s="2" t="s">
        <v>6093</v>
      </c>
      <c r="R451" s="3" t="s">
        <v>67</v>
      </c>
      <c r="S451" s="4">
        <v>3</v>
      </c>
      <c r="T451" s="4">
        <v>3</v>
      </c>
      <c r="U451" s="5" t="s">
        <v>6094</v>
      </c>
      <c r="V451" s="5" t="s">
        <v>6094</v>
      </c>
      <c r="W451" s="5" t="s">
        <v>1487</v>
      </c>
      <c r="X451" s="5" t="s">
        <v>1487</v>
      </c>
      <c r="Y451" s="4">
        <v>608</v>
      </c>
      <c r="Z451" s="4">
        <v>534</v>
      </c>
      <c r="AA451" s="4">
        <v>874</v>
      </c>
      <c r="AB451" s="4">
        <v>6</v>
      </c>
      <c r="AC451" s="4">
        <v>7</v>
      </c>
      <c r="AD451" s="4">
        <v>27</v>
      </c>
      <c r="AE451" s="4">
        <v>45</v>
      </c>
      <c r="AF451" s="4">
        <v>6</v>
      </c>
      <c r="AG451" s="4">
        <v>15</v>
      </c>
      <c r="AH451" s="4">
        <v>6</v>
      </c>
      <c r="AI451" s="4">
        <v>7</v>
      </c>
      <c r="AJ451" s="4">
        <v>11</v>
      </c>
      <c r="AK451" s="4">
        <v>18</v>
      </c>
      <c r="AL451" s="4">
        <v>5</v>
      </c>
      <c r="AM451" s="4">
        <v>5</v>
      </c>
      <c r="AN451" s="4">
        <v>4</v>
      </c>
      <c r="AO451" s="4">
        <v>8</v>
      </c>
      <c r="AP451" s="3" t="s">
        <v>58</v>
      </c>
      <c r="AQ451" s="3" t="s">
        <v>87</v>
      </c>
      <c r="AR451" s="6" t="str">
        <f>HYPERLINK("http://catalog.hathitrust.org/Record/001744293","HathiTrust Record")</f>
        <v>HathiTrust Record</v>
      </c>
      <c r="AS451" s="6" t="str">
        <f>HYPERLINK("https://creighton-primo.hosted.exlibrisgroup.com/primo-explore/search?tab=default_tab&amp;search_scope=EVERYTHING&amp;vid=01CRU&amp;lang=en_US&amp;offset=0&amp;query=any,contains,991002084599702656","Catalog Record")</f>
        <v>Catalog Record</v>
      </c>
      <c r="AT451" s="6" t="str">
        <f>HYPERLINK("http://www.worldcat.org/oclc/265062","WorldCat Record")</f>
        <v>WorldCat Record</v>
      </c>
      <c r="AU451" s="3" t="s">
        <v>6095</v>
      </c>
      <c r="AV451" s="3" t="s">
        <v>6096</v>
      </c>
      <c r="AW451" s="3" t="s">
        <v>6097</v>
      </c>
      <c r="AX451" s="3" t="s">
        <v>6097</v>
      </c>
      <c r="AY451" s="3" t="s">
        <v>6098</v>
      </c>
      <c r="AZ451" s="3" t="s">
        <v>74</v>
      </c>
      <c r="BC451" s="3" t="s">
        <v>6099</v>
      </c>
      <c r="BD451" s="3" t="s">
        <v>6100</v>
      </c>
    </row>
    <row r="452" spans="1:56" ht="45.75" customHeight="1" x14ac:dyDescent="0.25">
      <c r="A452" s="7" t="s">
        <v>58</v>
      </c>
      <c r="B452" s="2" t="s">
        <v>6101</v>
      </c>
      <c r="C452" s="2" t="s">
        <v>6102</v>
      </c>
      <c r="D452" s="2" t="s">
        <v>6103</v>
      </c>
      <c r="F452" s="3" t="s">
        <v>58</v>
      </c>
      <c r="G452" s="3" t="s">
        <v>59</v>
      </c>
      <c r="H452" s="3" t="s">
        <v>58</v>
      </c>
      <c r="I452" s="3" t="s">
        <v>58</v>
      </c>
      <c r="J452" s="3" t="s">
        <v>60</v>
      </c>
      <c r="K452" s="2" t="s">
        <v>6104</v>
      </c>
      <c r="L452" s="2" t="s">
        <v>6105</v>
      </c>
      <c r="M452" s="3" t="s">
        <v>713</v>
      </c>
      <c r="O452" s="3" t="s">
        <v>65</v>
      </c>
      <c r="P452" s="3" t="s">
        <v>175</v>
      </c>
      <c r="R452" s="3" t="s">
        <v>67</v>
      </c>
      <c r="S452" s="4">
        <v>12</v>
      </c>
      <c r="T452" s="4">
        <v>12</v>
      </c>
      <c r="U452" s="5" t="s">
        <v>6106</v>
      </c>
      <c r="V452" s="5" t="s">
        <v>6106</v>
      </c>
      <c r="W452" s="5" t="s">
        <v>4293</v>
      </c>
      <c r="X452" s="5" t="s">
        <v>4293</v>
      </c>
      <c r="Y452" s="4">
        <v>195</v>
      </c>
      <c r="Z452" s="4">
        <v>102</v>
      </c>
      <c r="AA452" s="4">
        <v>107</v>
      </c>
      <c r="AB452" s="4">
        <v>4</v>
      </c>
      <c r="AC452" s="4">
        <v>4</v>
      </c>
      <c r="AD452" s="4">
        <v>7</v>
      </c>
      <c r="AE452" s="4">
        <v>7</v>
      </c>
      <c r="AF452" s="4">
        <v>0</v>
      </c>
      <c r="AG452" s="4">
        <v>0</v>
      </c>
      <c r="AH452" s="4">
        <v>0</v>
      </c>
      <c r="AI452" s="4">
        <v>0</v>
      </c>
      <c r="AJ452" s="4">
        <v>1</v>
      </c>
      <c r="AK452" s="4">
        <v>1</v>
      </c>
      <c r="AL452" s="4">
        <v>3</v>
      </c>
      <c r="AM452" s="4">
        <v>3</v>
      </c>
      <c r="AN452" s="4">
        <v>3</v>
      </c>
      <c r="AO452" s="4">
        <v>3</v>
      </c>
      <c r="AP452" s="3" t="s">
        <v>58</v>
      </c>
      <c r="AQ452" s="3" t="s">
        <v>58</v>
      </c>
      <c r="AS452" s="6" t="str">
        <f>HYPERLINK("https://creighton-primo.hosted.exlibrisgroup.com/primo-explore/search?tab=default_tab&amp;search_scope=EVERYTHING&amp;vid=01CRU&amp;lang=en_US&amp;offset=0&amp;query=any,contains,991005160189702656","Catalog Record")</f>
        <v>Catalog Record</v>
      </c>
      <c r="AT452" s="6" t="str">
        <f>HYPERLINK("http://www.worldcat.org/oclc/8728066","WorldCat Record")</f>
        <v>WorldCat Record</v>
      </c>
      <c r="AU452" s="3" t="s">
        <v>6107</v>
      </c>
      <c r="AV452" s="3" t="s">
        <v>6108</v>
      </c>
      <c r="AW452" s="3" t="s">
        <v>6109</v>
      </c>
      <c r="AX452" s="3" t="s">
        <v>6109</v>
      </c>
      <c r="AY452" s="3" t="s">
        <v>6110</v>
      </c>
      <c r="AZ452" s="3" t="s">
        <v>74</v>
      </c>
      <c r="BB452" s="3" t="s">
        <v>6111</v>
      </c>
      <c r="BC452" s="3" t="s">
        <v>6112</v>
      </c>
      <c r="BD452" s="3" t="s">
        <v>6113</v>
      </c>
    </row>
    <row r="453" spans="1:56" ht="45.75" customHeight="1" x14ac:dyDescent="0.25">
      <c r="A453" s="7" t="s">
        <v>58</v>
      </c>
      <c r="B453" s="2" t="s">
        <v>6114</v>
      </c>
      <c r="C453" s="2" t="s">
        <v>6115</v>
      </c>
      <c r="D453" s="2" t="s">
        <v>6116</v>
      </c>
      <c r="F453" s="3" t="s">
        <v>58</v>
      </c>
      <c r="G453" s="3" t="s">
        <v>59</v>
      </c>
      <c r="H453" s="3" t="s">
        <v>58</v>
      </c>
      <c r="I453" s="3" t="s">
        <v>58</v>
      </c>
      <c r="J453" s="3" t="s">
        <v>60</v>
      </c>
      <c r="K453" s="2" t="s">
        <v>6117</v>
      </c>
      <c r="L453" s="2" t="s">
        <v>6118</v>
      </c>
      <c r="M453" s="3" t="s">
        <v>4710</v>
      </c>
      <c r="O453" s="3" t="s">
        <v>65</v>
      </c>
      <c r="P453" s="3" t="s">
        <v>84</v>
      </c>
      <c r="R453" s="3" t="s">
        <v>67</v>
      </c>
      <c r="S453" s="4">
        <v>20</v>
      </c>
      <c r="T453" s="4">
        <v>20</v>
      </c>
      <c r="U453" s="5" t="s">
        <v>6119</v>
      </c>
      <c r="V453" s="5" t="s">
        <v>6119</v>
      </c>
      <c r="W453" s="5" t="s">
        <v>5489</v>
      </c>
      <c r="X453" s="5" t="s">
        <v>5489</v>
      </c>
      <c r="Y453" s="4">
        <v>292</v>
      </c>
      <c r="Z453" s="4">
        <v>261</v>
      </c>
      <c r="AA453" s="4">
        <v>269</v>
      </c>
      <c r="AB453" s="4">
        <v>2</v>
      </c>
      <c r="AC453" s="4">
        <v>2</v>
      </c>
      <c r="AD453" s="4">
        <v>18</v>
      </c>
      <c r="AE453" s="4">
        <v>18</v>
      </c>
      <c r="AF453" s="4">
        <v>3</v>
      </c>
      <c r="AG453" s="4">
        <v>3</v>
      </c>
      <c r="AH453" s="4">
        <v>3</v>
      </c>
      <c r="AI453" s="4">
        <v>3</v>
      </c>
      <c r="AJ453" s="4">
        <v>7</v>
      </c>
      <c r="AK453" s="4">
        <v>7</v>
      </c>
      <c r="AL453" s="4">
        <v>1</v>
      </c>
      <c r="AM453" s="4">
        <v>1</v>
      </c>
      <c r="AN453" s="4">
        <v>6</v>
      </c>
      <c r="AO453" s="4">
        <v>6</v>
      </c>
      <c r="AP453" s="3" t="s">
        <v>58</v>
      </c>
      <c r="AQ453" s="3" t="s">
        <v>58</v>
      </c>
      <c r="AR453" s="6" t="str">
        <f>HYPERLINK("http://catalog.hathitrust.org/Record/001134064","HathiTrust Record")</f>
        <v>HathiTrust Record</v>
      </c>
      <c r="AS453" s="6" t="str">
        <f>HYPERLINK("https://creighton-primo.hosted.exlibrisgroup.com/primo-explore/search?tab=default_tab&amp;search_scope=EVERYTHING&amp;vid=01CRU&amp;lang=en_US&amp;offset=0&amp;query=any,contains,991001070329702656","Catalog Record")</f>
        <v>Catalog Record</v>
      </c>
      <c r="AT453" s="6" t="str">
        <f>HYPERLINK("http://www.worldcat.org/oclc/178673","WorldCat Record")</f>
        <v>WorldCat Record</v>
      </c>
      <c r="AU453" s="3" t="s">
        <v>6120</v>
      </c>
      <c r="AV453" s="3" t="s">
        <v>6121</v>
      </c>
      <c r="AW453" s="3" t="s">
        <v>6122</v>
      </c>
      <c r="AX453" s="3" t="s">
        <v>6122</v>
      </c>
      <c r="AY453" s="3" t="s">
        <v>6123</v>
      </c>
      <c r="AZ453" s="3" t="s">
        <v>74</v>
      </c>
      <c r="BC453" s="3" t="s">
        <v>6124</v>
      </c>
      <c r="BD453" s="3" t="s">
        <v>6125</v>
      </c>
    </row>
    <row r="454" spans="1:56" ht="45.75" customHeight="1" x14ac:dyDescent="0.25">
      <c r="A454" s="7" t="s">
        <v>58</v>
      </c>
      <c r="B454" s="2" t="s">
        <v>6126</v>
      </c>
      <c r="C454" s="2" t="s">
        <v>6127</v>
      </c>
      <c r="D454" s="2" t="s">
        <v>6128</v>
      </c>
      <c r="F454" s="3" t="s">
        <v>58</v>
      </c>
      <c r="G454" s="3" t="s">
        <v>59</v>
      </c>
      <c r="H454" s="3" t="s">
        <v>58</v>
      </c>
      <c r="I454" s="3" t="s">
        <v>58</v>
      </c>
      <c r="J454" s="3" t="s">
        <v>60</v>
      </c>
      <c r="K454" s="2" t="s">
        <v>6129</v>
      </c>
      <c r="L454" s="2" t="s">
        <v>6130</v>
      </c>
      <c r="M454" s="3" t="s">
        <v>629</v>
      </c>
      <c r="N454" s="2" t="s">
        <v>2892</v>
      </c>
      <c r="O454" s="3" t="s">
        <v>65</v>
      </c>
      <c r="P454" s="3" t="s">
        <v>336</v>
      </c>
      <c r="R454" s="3" t="s">
        <v>67</v>
      </c>
      <c r="S454" s="4">
        <v>9</v>
      </c>
      <c r="T454" s="4">
        <v>9</v>
      </c>
      <c r="U454" s="5" t="s">
        <v>6131</v>
      </c>
      <c r="V454" s="5" t="s">
        <v>6131</v>
      </c>
      <c r="W454" s="5" t="s">
        <v>6132</v>
      </c>
      <c r="X454" s="5" t="s">
        <v>6132</v>
      </c>
      <c r="Y454" s="4">
        <v>52</v>
      </c>
      <c r="Z454" s="4">
        <v>44</v>
      </c>
      <c r="AA454" s="4">
        <v>255</v>
      </c>
      <c r="AB454" s="4">
        <v>1</v>
      </c>
      <c r="AC454" s="4">
        <v>2</v>
      </c>
      <c r="AD454" s="4">
        <v>3</v>
      </c>
      <c r="AE454" s="4">
        <v>15</v>
      </c>
      <c r="AF454" s="4">
        <v>0</v>
      </c>
      <c r="AG454" s="4">
        <v>4</v>
      </c>
      <c r="AH454" s="4">
        <v>1</v>
      </c>
      <c r="AI454" s="4">
        <v>5</v>
      </c>
      <c r="AJ454" s="4">
        <v>2</v>
      </c>
      <c r="AK454" s="4">
        <v>9</v>
      </c>
      <c r="AL454" s="4">
        <v>0</v>
      </c>
      <c r="AM454" s="4">
        <v>1</v>
      </c>
      <c r="AN454" s="4">
        <v>0</v>
      </c>
      <c r="AO454" s="4">
        <v>1</v>
      </c>
      <c r="AP454" s="3" t="s">
        <v>58</v>
      </c>
      <c r="AQ454" s="3" t="s">
        <v>58</v>
      </c>
      <c r="AS454" s="6" t="str">
        <f>HYPERLINK("https://creighton-primo.hosted.exlibrisgroup.com/primo-explore/search?tab=default_tab&amp;search_scope=EVERYTHING&amp;vid=01CRU&amp;lang=en_US&amp;offset=0&amp;query=any,contains,991002444479702656","Catalog Record")</f>
        <v>Catalog Record</v>
      </c>
      <c r="AT454" s="6" t="str">
        <f>HYPERLINK("http://www.worldcat.org/oclc/31872804","WorldCat Record")</f>
        <v>WorldCat Record</v>
      </c>
      <c r="AU454" s="3" t="s">
        <v>6133</v>
      </c>
      <c r="AV454" s="3" t="s">
        <v>6134</v>
      </c>
      <c r="AW454" s="3" t="s">
        <v>6135</v>
      </c>
      <c r="AX454" s="3" t="s">
        <v>6135</v>
      </c>
      <c r="AY454" s="3" t="s">
        <v>6136</v>
      </c>
      <c r="AZ454" s="3" t="s">
        <v>74</v>
      </c>
      <c r="BB454" s="3" t="s">
        <v>6137</v>
      </c>
      <c r="BC454" s="3" t="s">
        <v>6138</v>
      </c>
      <c r="BD454" s="3" t="s">
        <v>6139</v>
      </c>
    </row>
    <row r="455" spans="1:56" ht="45.75" customHeight="1" x14ac:dyDescent="0.25">
      <c r="A455" s="7" t="s">
        <v>58</v>
      </c>
      <c r="B455" s="2" t="s">
        <v>6140</v>
      </c>
      <c r="C455" s="2" t="s">
        <v>6141</v>
      </c>
      <c r="D455" s="2" t="s">
        <v>6142</v>
      </c>
      <c r="F455" s="3" t="s">
        <v>58</v>
      </c>
      <c r="G455" s="3" t="s">
        <v>59</v>
      </c>
      <c r="H455" s="3" t="s">
        <v>58</v>
      </c>
      <c r="I455" s="3" t="s">
        <v>58</v>
      </c>
      <c r="J455" s="3" t="s">
        <v>60</v>
      </c>
      <c r="K455" s="2" t="s">
        <v>6143</v>
      </c>
      <c r="L455" s="2" t="s">
        <v>6144</v>
      </c>
      <c r="M455" s="3" t="s">
        <v>419</v>
      </c>
      <c r="O455" s="3" t="s">
        <v>65</v>
      </c>
      <c r="P455" s="3" t="s">
        <v>1238</v>
      </c>
      <c r="R455" s="3" t="s">
        <v>67</v>
      </c>
      <c r="S455" s="4">
        <v>2</v>
      </c>
      <c r="T455" s="4">
        <v>2</v>
      </c>
      <c r="U455" s="5" t="s">
        <v>6145</v>
      </c>
      <c r="V455" s="5" t="s">
        <v>6145</v>
      </c>
      <c r="W455" s="5" t="s">
        <v>6146</v>
      </c>
      <c r="X455" s="5" t="s">
        <v>6146</v>
      </c>
      <c r="Y455" s="4">
        <v>311</v>
      </c>
      <c r="Z455" s="4">
        <v>233</v>
      </c>
      <c r="AA455" s="4">
        <v>266</v>
      </c>
      <c r="AB455" s="4">
        <v>5</v>
      </c>
      <c r="AC455" s="4">
        <v>5</v>
      </c>
      <c r="AD455" s="4">
        <v>11</v>
      </c>
      <c r="AE455" s="4">
        <v>12</v>
      </c>
      <c r="AF455" s="4">
        <v>4</v>
      </c>
      <c r="AG455" s="4">
        <v>4</v>
      </c>
      <c r="AH455" s="4">
        <v>1</v>
      </c>
      <c r="AI455" s="4">
        <v>1</v>
      </c>
      <c r="AJ455" s="4">
        <v>4</v>
      </c>
      <c r="AK455" s="4">
        <v>5</v>
      </c>
      <c r="AL455" s="4">
        <v>4</v>
      </c>
      <c r="AM455" s="4">
        <v>4</v>
      </c>
      <c r="AN455" s="4">
        <v>0</v>
      </c>
      <c r="AO455" s="4">
        <v>0</v>
      </c>
      <c r="AP455" s="3" t="s">
        <v>58</v>
      </c>
      <c r="AQ455" s="3" t="s">
        <v>58</v>
      </c>
      <c r="AS455" s="6" t="str">
        <f>HYPERLINK("https://creighton-primo.hosted.exlibrisgroup.com/primo-explore/search?tab=default_tab&amp;search_scope=EVERYTHING&amp;vid=01CRU&amp;lang=en_US&amp;offset=0&amp;query=any,contains,991003653689702656","Catalog Record")</f>
        <v>Catalog Record</v>
      </c>
      <c r="AT455" s="6" t="str">
        <f>HYPERLINK("http://www.worldcat.org/oclc/42692068","WorldCat Record")</f>
        <v>WorldCat Record</v>
      </c>
      <c r="AU455" s="3" t="s">
        <v>6147</v>
      </c>
      <c r="AV455" s="3" t="s">
        <v>6148</v>
      </c>
      <c r="AW455" s="3" t="s">
        <v>6149</v>
      </c>
      <c r="AX455" s="3" t="s">
        <v>6149</v>
      </c>
      <c r="AY455" s="3" t="s">
        <v>6150</v>
      </c>
      <c r="AZ455" s="3" t="s">
        <v>74</v>
      </c>
      <c r="BB455" s="3" t="s">
        <v>6151</v>
      </c>
      <c r="BC455" s="3" t="s">
        <v>6152</v>
      </c>
      <c r="BD455" s="3" t="s">
        <v>6153</v>
      </c>
    </row>
    <row r="456" spans="1:56" ht="45.75" customHeight="1" x14ac:dyDescent="0.25">
      <c r="A456" s="7" t="s">
        <v>58</v>
      </c>
      <c r="B456" s="2" t="s">
        <v>6154</v>
      </c>
      <c r="C456" s="2" t="s">
        <v>6155</v>
      </c>
      <c r="D456" s="2" t="s">
        <v>6156</v>
      </c>
      <c r="F456" s="3" t="s">
        <v>58</v>
      </c>
      <c r="G456" s="3" t="s">
        <v>59</v>
      </c>
      <c r="H456" s="3" t="s">
        <v>58</v>
      </c>
      <c r="I456" s="3" t="s">
        <v>58</v>
      </c>
      <c r="J456" s="3" t="s">
        <v>60</v>
      </c>
      <c r="K456" s="2" t="s">
        <v>6157</v>
      </c>
      <c r="L456" s="2" t="s">
        <v>6158</v>
      </c>
      <c r="M456" s="3" t="s">
        <v>147</v>
      </c>
      <c r="N456" s="2" t="s">
        <v>6159</v>
      </c>
      <c r="O456" s="3" t="s">
        <v>65</v>
      </c>
      <c r="P456" s="3" t="s">
        <v>84</v>
      </c>
      <c r="R456" s="3" t="s">
        <v>67</v>
      </c>
      <c r="S456" s="4">
        <v>8</v>
      </c>
      <c r="T456" s="4">
        <v>8</v>
      </c>
      <c r="U456" s="5" t="s">
        <v>6160</v>
      </c>
      <c r="V456" s="5" t="s">
        <v>6160</v>
      </c>
      <c r="W456" s="5" t="s">
        <v>6161</v>
      </c>
      <c r="X456" s="5" t="s">
        <v>6161</v>
      </c>
      <c r="Y456" s="4">
        <v>592</v>
      </c>
      <c r="Z456" s="4">
        <v>534</v>
      </c>
      <c r="AA456" s="4">
        <v>1724</v>
      </c>
      <c r="AB456" s="4">
        <v>4</v>
      </c>
      <c r="AC456" s="4">
        <v>11</v>
      </c>
      <c r="AD456" s="4">
        <v>21</v>
      </c>
      <c r="AE456" s="4">
        <v>56</v>
      </c>
      <c r="AF456" s="4">
        <v>8</v>
      </c>
      <c r="AG456" s="4">
        <v>22</v>
      </c>
      <c r="AH456" s="4">
        <v>5</v>
      </c>
      <c r="AI456" s="4">
        <v>7</v>
      </c>
      <c r="AJ456" s="4">
        <v>6</v>
      </c>
      <c r="AK456" s="4">
        <v>20</v>
      </c>
      <c r="AL456" s="4">
        <v>3</v>
      </c>
      <c r="AM456" s="4">
        <v>7</v>
      </c>
      <c r="AN456" s="4">
        <v>3</v>
      </c>
      <c r="AO456" s="4">
        <v>9</v>
      </c>
      <c r="AP456" s="3" t="s">
        <v>58</v>
      </c>
      <c r="AQ456" s="3" t="s">
        <v>58</v>
      </c>
      <c r="AS456" s="6" t="str">
        <f>HYPERLINK("https://creighton-primo.hosted.exlibrisgroup.com/primo-explore/search?tab=default_tab&amp;search_scope=EVERYTHING&amp;vid=01CRU&amp;lang=en_US&amp;offset=0&amp;query=any,contains,991004293329702656","Catalog Record")</f>
        <v>Catalog Record</v>
      </c>
      <c r="AT456" s="6" t="str">
        <f>HYPERLINK("http://www.worldcat.org/oclc/52980600","WorldCat Record")</f>
        <v>WorldCat Record</v>
      </c>
      <c r="AU456" s="3" t="s">
        <v>6162</v>
      </c>
      <c r="AV456" s="3" t="s">
        <v>6163</v>
      </c>
      <c r="AW456" s="3" t="s">
        <v>6164</v>
      </c>
      <c r="AX456" s="3" t="s">
        <v>6164</v>
      </c>
      <c r="AY456" s="3" t="s">
        <v>6165</v>
      </c>
      <c r="AZ456" s="3" t="s">
        <v>74</v>
      </c>
      <c r="BB456" s="3" t="s">
        <v>6166</v>
      </c>
      <c r="BC456" s="3" t="s">
        <v>6167</v>
      </c>
      <c r="BD456" s="3" t="s">
        <v>6168</v>
      </c>
    </row>
    <row r="457" spans="1:56" ht="45.75" customHeight="1" x14ac:dyDescent="0.25">
      <c r="A457" s="7" t="s">
        <v>58</v>
      </c>
      <c r="B457" s="2" t="s">
        <v>6169</v>
      </c>
      <c r="C457" s="2" t="s">
        <v>6170</v>
      </c>
      <c r="D457" s="2" t="s">
        <v>6171</v>
      </c>
      <c r="F457" s="3" t="s">
        <v>58</v>
      </c>
      <c r="G457" s="3" t="s">
        <v>59</v>
      </c>
      <c r="H457" s="3" t="s">
        <v>58</v>
      </c>
      <c r="I457" s="3" t="s">
        <v>58</v>
      </c>
      <c r="J457" s="3" t="s">
        <v>60</v>
      </c>
      <c r="K457" s="2" t="s">
        <v>6172</v>
      </c>
      <c r="L457" s="2" t="s">
        <v>6173</v>
      </c>
      <c r="M457" s="3" t="s">
        <v>203</v>
      </c>
      <c r="O457" s="3" t="s">
        <v>65</v>
      </c>
      <c r="P457" s="3" t="s">
        <v>175</v>
      </c>
      <c r="Q457" s="2" t="s">
        <v>6174</v>
      </c>
      <c r="R457" s="3" t="s">
        <v>67</v>
      </c>
      <c r="S457" s="4">
        <v>5</v>
      </c>
      <c r="T457" s="4">
        <v>5</v>
      </c>
      <c r="U457" s="5" t="s">
        <v>5199</v>
      </c>
      <c r="V457" s="5" t="s">
        <v>5199</v>
      </c>
      <c r="W457" s="5" t="s">
        <v>6175</v>
      </c>
      <c r="X457" s="5" t="s">
        <v>6175</v>
      </c>
      <c r="Y457" s="4">
        <v>789</v>
      </c>
      <c r="Z457" s="4">
        <v>650</v>
      </c>
      <c r="AA457" s="4">
        <v>667</v>
      </c>
      <c r="AB457" s="4">
        <v>5</v>
      </c>
      <c r="AC457" s="4">
        <v>5</v>
      </c>
      <c r="AD457" s="4">
        <v>31</v>
      </c>
      <c r="AE457" s="4">
        <v>31</v>
      </c>
      <c r="AF457" s="4">
        <v>11</v>
      </c>
      <c r="AG457" s="4">
        <v>11</v>
      </c>
      <c r="AH457" s="4">
        <v>7</v>
      </c>
      <c r="AI457" s="4">
        <v>7</v>
      </c>
      <c r="AJ457" s="4">
        <v>13</v>
      </c>
      <c r="AK457" s="4">
        <v>13</v>
      </c>
      <c r="AL457" s="4">
        <v>4</v>
      </c>
      <c r="AM457" s="4">
        <v>4</v>
      </c>
      <c r="AN457" s="4">
        <v>1</v>
      </c>
      <c r="AO457" s="4">
        <v>1</v>
      </c>
      <c r="AP457" s="3" t="s">
        <v>58</v>
      </c>
      <c r="AQ457" s="3" t="s">
        <v>58</v>
      </c>
      <c r="AS457" s="6" t="str">
        <f>HYPERLINK("https://creighton-primo.hosted.exlibrisgroup.com/primo-explore/search?tab=default_tab&amp;search_scope=EVERYTHING&amp;vid=01CRU&amp;lang=en_US&amp;offset=0&amp;query=any,contains,991003955009702656","Catalog Record")</f>
        <v>Catalog Record</v>
      </c>
      <c r="AT457" s="6" t="str">
        <f>HYPERLINK("http://www.worldcat.org/oclc/47120364","WorldCat Record")</f>
        <v>WorldCat Record</v>
      </c>
      <c r="AU457" s="3" t="s">
        <v>6176</v>
      </c>
      <c r="AV457" s="3" t="s">
        <v>6177</v>
      </c>
      <c r="AW457" s="3" t="s">
        <v>6178</v>
      </c>
      <c r="AX457" s="3" t="s">
        <v>6178</v>
      </c>
      <c r="AY457" s="3" t="s">
        <v>6179</v>
      </c>
      <c r="AZ457" s="3" t="s">
        <v>74</v>
      </c>
      <c r="BB457" s="3" t="s">
        <v>6180</v>
      </c>
      <c r="BC457" s="3" t="s">
        <v>6181</v>
      </c>
      <c r="BD457" s="3" t="s">
        <v>6182</v>
      </c>
    </row>
    <row r="458" spans="1:56" ht="45.75" customHeight="1" x14ac:dyDescent="0.25">
      <c r="A458" s="7" t="s">
        <v>58</v>
      </c>
      <c r="B458" s="2" t="s">
        <v>6183</v>
      </c>
      <c r="C458" s="2" t="s">
        <v>6184</v>
      </c>
      <c r="D458" s="2" t="s">
        <v>6185</v>
      </c>
      <c r="F458" s="3" t="s">
        <v>58</v>
      </c>
      <c r="G458" s="3" t="s">
        <v>59</v>
      </c>
      <c r="H458" s="3" t="s">
        <v>58</v>
      </c>
      <c r="I458" s="3" t="s">
        <v>58</v>
      </c>
      <c r="J458" s="3" t="s">
        <v>60</v>
      </c>
      <c r="K458" s="2" t="s">
        <v>6186</v>
      </c>
      <c r="L458" s="2" t="s">
        <v>6187</v>
      </c>
      <c r="M458" s="3" t="s">
        <v>937</v>
      </c>
      <c r="O458" s="3" t="s">
        <v>65</v>
      </c>
      <c r="P458" s="3" t="s">
        <v>84</v>
      </c>
      <c r="R458" s="3" t="s">
        <v>67</v>
      </c>
      <c r="S458" s="4">
        <v>5</v>
      </c>
      <c r="T458" s="4">
        <v>5</v>
      </c>
      <c r="U458" s="5" t="s">
        <v>6188</v>
      </c>
      <c r="V458" s="5" t="s">
        <v>6188</v>
      </c>
      <c r="W458" s="5" t="s">
        <v>6189</v>
      </c>
      <c r="X458" s="5" t="s">
        <v>6189</v>
      </c>
      <c r="Y458" s="4">
        <v>611</v>
      </c>
      <c r="Z458" s="4">
        <v>549</v>
      </c>
      <c r="AA458" s="4">
        <v>575</v>
      </c>
      <c r="AB458" s="4">
        <v>3</v>
      </c>
      <c r="AC458" s="4">
        <v>3</v>
      </c>
      <c r="AD458" s="4">
        <v>33</v>
      </c>
      <c r="AE458" s="4">
        <v>34</v>
      </c>
      <c r="AF458" s="4">
        <v>9</v>
      </c>
      <c r="AG458" s="4">
        <v>9</v>
      </c>
      <c r="AH458" s="4">
        <v>6</v>
      </c>
      <c r="AI458" s="4">
        <v>6</v>
      </c>
      <c r="AJ458" s="4">
        <v>13</v>
      </c>
      <c r="AK458" s="4">
        <v>14</v>
      </c>
      <c r="AL458" s="4">
        <v>2</v>
      </c>
      <c r="AM458" s="4">
        <v>2</v>
      </c>
      <c r="AN458" s="4">
        <v>10</v>
      </c>
      <c r="AO458" s="4">
        <v>10</v>
      </c>
      <c r="AP458" s="3" t="s">
        <v>58</v>
      </c>
      <c r="AQ458" s="3" t="s">
        <v>58</v>
      </c>
      <c r="AS458" s="6" t="str">
        <f>HYPERLINK("https://creighton-primo.hosted.exlibrisgroup.com/primo-explore/search?tab=default_tab&amp;search_scope=EVERYTHING&amp;vid=01CRU&amp;lang=en_US&amp;offset=0&amp;query=any,contains,991004280519702656","Catalog Record")</f>
        <v>Catalog Record</v>
      </c>
      <c r="AT458" s="6" t="str">
        <f>HYPERLINK("http://www.worldcat.org/oclc/2909472","WorldCat Record")</f>
        <v>WorldCat Record</v>
      </c>
      <c r="AU458" s="3" t="s">
        <v>6190</v>
      </c>
      <c r="AV458" s="3" t="s">
        <v>6191</v>
      </c>
      <c r="AW458" s="3" t="s">
        <v>6192</v>
      </c>
      <c r="AX458" s="3" t="s">
        <v>6192</v>
      </c>
      <c r="AY458" s="3" t="s">
        <v>6193</v>
      </c>
      <c r="AZ458" s="3" t="s">
        <v>74</v>
      </c>
      <c r="BB458" s="3" t="s">
        <v>6194</v>
      </c>
      <c r="BC458" s="3" t="s">
        <v>6195</v>
      </c>
      <c r="BD458" s="3" t="s">
        <v>6196</v>
      </c>
    </row>
    <row r="459" spans="1:56" ht="45.75" customHeight="1" x14ac:dyDescent="0.25">
      <c r="A459" s="7" t="s">
        <v>58</v>
      </c>
      <c r="B459" s="2" t="s">
        <v>6197</v>
      </c>
      <c r="C459" s="2" t="s">
        <v>6198</v>
      </c>
      <c r="D459" s="2" t="s">
        <v>6199</v>
      </c>
      <c r="F459" s="3" t="s">
        <v>58</v>
      </c>
      <c r="G459" s="3" t="s">
        <v>59</v>
      </c>
      <c r="H459" s="3" t="s">
        <v>58</v>
      </c>
      <c r="I459" s="3" t="s">
        <v>58</v>
      </c>
      <c r="J459" s="3" t="s">
        <v>60</v>
      </c>
      <c r="K459" s="2" t="s">
        <v>6200</v>
      </c>
      <c r="L459" s="2" t="s">
        <v>6201</v>
      </c>
      <c r="M459" s="3" t="s">
        <v>867</v>
      </c>
      <c r="O459" s="3" t="s">
        <v>65</v>
      </c>
      <c r="P459" s="3" t="s">
        <v>336</v>
      </c>
      <c r="R459" s="3" t="s">
        <v>67</v>
      </c>
      <c r="S459" s="4">
        <v>16</v>
      </c>
      <c r="T459" s="4">
        <v>16</v>
      </c>
      <c r="U459" s="5" t="s">
        <v>6202</v>
      </c>
      <c r="V459" s="5" t="s">
        <v>6202</v>
      </c>
      <c r="W459" s="5" t="s">
        <v>6203</v>
      </c>
      <c r="X459" s="5" t="s">
        <v>6203</v>
      </c>
      <c r="Y459" s="4">
        <v>510</v>
      </c>
      <c r="Z459" s="4">
        <v>455</v>
      </c>
      <c r="AA459" s="4">
        <v>530</v>
      </c>
      <c r="AB459" s="4">
        <v>6</v>
      </c>
      <c r="AC459" s="4">
        <v>6</v>
      </c>
      <c r="AD459" s="4">
        <v>24</v>
      </c>
      <c r="AE459" s="4">
        <v>26</v>
      </c>
      <c r="AF459" s="4">
        <v>7</v>
      </c>
      <c r="AG459" s="4">
        <v>9</v>
      </c>
      <c r="AH459" s="4">
        <v>8</v>
      </c>
      <c r="AI459" s="4">
        <v>8</v>
      </c>
      <c r="AJ459" s="4">
        <v>10</v>
      </c>
      <c r="AK459" s="4">
        <v>11</v>
      </c>
      <c r="AL459" s="4">
        <v>5</v>
      </c>
      <c r="AM459" s="4">
        <v>5</v>
      </c>
      <c r="AN459" s="4">
        <v>0</v>
      </c>
      <c r="AO459" s="4">
        <v>0</v>
      </c>
      <c r="AP459" s="3" t="s">
        <v>58</v>
      </c>
      <c r="AQ459" s="3" t="s">
        <v>58</v>
      </c>
      <c r="AS459" s="6" t="str">
        <f>HYPERLINK("https://creighton-primo.hosted.exlibrisgroup.com/primo-explore/search?tab=default_tab&amp;search_scope=EVERYTHING&amp;vid=01CRU&amp;lang=en_US&amp;offset=0&amp;query=any,contains,991001926439702656","Catalog Record")</f>
        <v>Catalog Record</v>
      </c>
      <c r="AT459" s="6" t="str">
        <f>HYPERLINK("http://www.worldcat.org/oclc/24320135","WorldCat Record")</f>
        <v>WorldCat Record</v>
      </c>
      <c r="AU459" s="3" t="s">
        <v>6204</v>
      </c>
      <c r="AV459" s="3" t="s">
        <v>6205</v>
      </c>
      <c r="AW459" s="3" t="s">
        <v>6206</v>
      </c>
      <c r="AX459" s="3" t="s">
        <v>6206</v>
      </c>
      <c r="AY459" s="3" t="s">
        <v>6207</v>
      </c>
      <c r="AZ459" s="3" t="s">
        <v>74</v>
      </c>
      <c r="BB459" s="3" t="s">
        <v>6208</v>
      </c>
      <c r="BC459" s="3" t="s">
        <v>6209</v>
      </c>
      <c r="BD459" s="3" t="s">
        <v>6210</v>
      </c>
    </row>
    <row r="460" spans="1:56" ht="45.75" customHeight="1" x14ac:dyDescent="0.25">
      <c r="A460" s="7" t="s">
        <v>58</v>
      </c>
      <c r="B460" s="2" t="s">
        <v>6211</v>
      </c>
      <c r="C460" s="2" t="s">
        <v>6212</v>
      </c>
      <c r="D460" s="2" t="s">
        <v>6213</v>
      </c>
      <c r="F460" s="3" t="s">
        <v>58</v>
      </c>
      <c r="G460" s="3" t="s">
        <v>59</v>
      </c>
      <c r="H460" s="3" t="s">
        <v>58</v>
      </c>
      <c r="I460" s="3" t="s">
        <v>58</v>
      </c>
      <c r="J460" s="3" t="s">
        <v>60</v>
      </c>
      <c r="L460" s="2" t="s">
        <v>6214</v>
      </c>
      <c r="M460" s="3" t="s">
        <v>419</v>
      </c>
      <c r="O460" s="3" t="s">
        <v>65</v>
      </c>
      <c r="P460" s="3" t="s">
        <v>84</v>
      </c>
      <c r="Q460" s="2" t="s">
        <v>6215</v>
      </c>
      <c r="R460" s="3" t="s">
        <v>67</v>
      </c>
      <c r="S460" s="4">
        <v>5</v>
      </c>
      <c r="T460" s="4">
        <v>5</v>
      </c>
      <c r="U460" s="5" t="s">
        <v>2176</v>
      </c>
      <c r="V460" s="5" t="s">
        <v>2176</v>
      </c>
      <c r="W460" s="5" t="s">
        <v>6216</v>
      </c>
      <c r="X460" s="5" t="s">
        <v>6216</v>
      </c>
      <c r="Y460" s="4">
        <v>13</v>
      </c>
      <c r="Z460" s="4">
        <v>11</v>
      </c>
      <c r="AA460" s="4">
        <v>11</v>
      </c>
      <c r="AB460" s="4">
        <v>1</v>
      </c>
      <c r="AC460" s="4">
        <v>1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3" t="s">
        <v>58</v>
      </c>
      <c r="AQ460" s="3" t="s">
        <v>58</v>
      </c>
      <c r="AS460" s="6" t="str">
        <f>HYPERLINK("https://creighton-primo.hosted.exlibrisgroup.com/primo-explore/search?tab=default_tab&amp;search_scope=EVERYTHING&amp;vid=01CRU&amp;lang=en_US&amp;offset=0&amp;query=any,contains,991003203949702656","Catalog Record")</f>
        <v>Catalog Record</v>
      </c>
      <c r="AT460" s="6" t="str">
        <f>HYPERLINK("http://www.worldcat.org/oclc/43031460","WorldCat Record")</f>
        <v>WorldCat Record</v>
      </c>
      <c r="AU460" s="3" t="s">
        <v>6217</v>
      </c>
      <c r="AV460" s="3" t="s">
        <v>6218</v>
      </c>
      <c r="AW460" s="3" t="s">
        <v>6219</v>
      </c>
      <c r="AX460" s="3" t="s">
        <v>6219</v>
      </c>
      <c r="AY460" s="3" t="s">
        <v>6220</v>
      </c>
      <c r="AZ460" s="3" t="s">
        <v>74</v>
      </c>
      <c r="BB460" s="3" t="s">
        <v>6221</v>
      </c>
      <c r="BC460" s="3" t="s">
        <v>6222</v>
      </c>
      <c r="BD460" s="3" t="s">
        <v>6223</v>
      </c>
    </row>
    <row r="461" spans="1:56" ht="45.75" customHeight="1" x14ac:dyDescent="0.25">
      <c r="A461" s="7" t="s">
        <v>58</v>
      </c>
      <c r="B461" s="2" t="s">
        <v>6224</v>
      </c>
      <c r="C461" s="2" t="s">
        <v>6225</v>
      </c>
      <c r="D461" s="2" t="s">
        <v>6226</v>
      </c>
      <c r="F461" s="3" t="s">
        <v>58</v>
      </c>
      <c r="G461" s="3" t="s">
        <v>59</v>
      </c>
      <c r="H461" s="3" t="s">
        <v>58</v>
      </c>
      <c r="I461" s="3" t="s">
        <v>58</v>
      </c>
      <c r="J461" s="3" t="s">
        <v>60</v>
      </c>
      <c r="L461" s="2" t="s">
        <v>6227</v>
      </c>
      <c r="M461" s="3" t="s">
        <v>419</v>
      </c>
      <c r="O461" s="3" t="s">
        <v>65</v>
      </c>
      <c r="P461" s="3" t="s">
        <v>587</v>
      </c>
      <c r="R461" s="3" t="s">
        <v>67</v>
      </c>
      <c r="S461" s="4">
        <v>11</v>
      </c>
      <c r="T461" s="4">
        <v>11</v>
      </c>
      <c r="U461" s="5" t="s">
        <v>2176</v>
      </c>
      <c r="V461" s="5" t="s">
        <v>2176</v>
      </c>
      <c r="W461" s="5" t="s">
        <v>6228</v>
      </c>
      <c r="X461" s="5" t="s">
        <v>6228</v>
      </c>
      <c r="Y461" s="4">
        <v>638</v>
      </c>
      <c r="Z461" s="4">
        <v>580</v>
      </c>
      <c r="AA461" s="4">
        <v>920</v>
      </c>
      <c r="AB461" s="4">
        <v>5</v>
      </c>
      <c r="AC461" s="4">
        <v>7</v>
      </c>
      <c r="AD461" s="4">
        <v>35</v>
      </c>
      <c r="AE461" s="4">
        <v>39</v>
      </c>
      <c r="AF461" s="4">
        <v>14</v>
      </c>
      <c r="AG461" s="4">
        <v>16</v>
      </c>
      <c r="AH461" s="4">
        <v>6</v>
      </c>
      <c r="AI461" s="4">
        <v>6</v>
      </c>
      <c r="AJ461" s="4">
        <v>11</v>
      </c>
      <c r="AK461" s="4">
        <v>12</v>
      </c>
      <c r="AL461" s="4">
        <v>4</v>
      </c>
      <c r="AM461" s="4">
        <v>6</v>
      </c>
      <c r="AN461" s="4">
        <v>5</v>
      </c>
      <c r="AO461" s="4">
        <v>5</v>
      </c>
      <c r="AP461" s="3" t="s">
        <v>58</v>
      </c>
      <c r="AQ461" s="3" t="s">
        <v>58</v>
      </c>
      <c r="AS461" s="6" t="str">
        <f>HYPERLINK("https://creighton-primo.hosted.exlibrisgroup.com/primo-explore/search?tab=default_tab&amp;search_scope=EVERYTHING&amp;vid=01CRU&amp;lang=en_US&amp;offset=0&amp;query=any,contains,991003515619702656","Catalog Record")</f>
        <v>Catalog Record</v>
      </c>
      <c r="AT461" s="6" t="str">
        <f>HYPERLINK("http://www.worldcat.org/oclc/40444527","WorldCat Record")</f>
        <v>WorldCat Record</v>
      </c>
      <c r="AU461" s="3" t="s">
        <v>6229</v>
      </c>
      <c r="AV461" s="3" t="s">
        <v>6230</v>
      </c>
      <c r="AW461" s="3" t="s">
        <v>6231</v>
      </c>
      <c r="AX461" s="3" t="s">
        <v>6231</v>
      </c>
      <c r="AY461" s="3" t="s">
        <v>6232</v>
      </c>
      <c r="AZ461" s="3" t="s">
        <v>74</v>
      </c>
      <c r="BB461" s="3" t="s">
        <v>6233</v>
      </c>
      <c r="BC461" s="3" t="s">
        <v>6234</v>
      </c>
      <c r="BD461" s="3" t="s">
        <v>6235</v>
      </c>
    </row>
    <row r="462" spans="1:56" ht="45.75" customHeight="1" x14ac:dyDescent="0.25">
      <c r="A462" s="7" t="s">
        <v>58</v>
      </c>
      <c r="B462" s="2" t="s">
        <v>6236</v>
      </c>
      <c r="C462" s="2" t="s">
        <v>6237</v>
      </c>
      <c r="D462" s="2" t="s">
        <v>6238</v>
      </c>
      <c r="F462" s="3" t="s">
        <v>58</v>
      </c>
      <c r="G462" s="3" t="s">
        <v>59</v>
      </c>
      <c r="H462" s="3" t="s">
        <v>58</v>
      </c>
      <c r="I462" s="3" t="s">
        <v>58</v>
      </c>
      <c r="J462" s="3" t="s">
        <v>60</v>
      </c>
      <c r="K462" s="2" t="s">
        <v>6239</v>
      </c>
      <c r="L462" s="2" t="s">
        <v>6240</v>
      </c>
      <c r="M462" s="3" t="s">
        <v>6241</v>
      </c>
      <c r="O462" s="3" t="s">
        <v>65</v>
      </c>
      <c r="P462" s="3" t="s">
        <v>1340</v>
      </c>
      <c r="R462" s="3" t="s">
        <v>67</v>
      </c>
      <c r="S462" s="4">
        <v>1</v>
      </c>
      <c r="T462" s="4">
        <v>1</v>
      </c>
      <c r="U462" s="5" t="s">
        <v>6242</v>
      </c>
      <c r="V462" s="5" t="s">
        <v>6242</v>
      </c>
      <c r="W462" s="5" t="s">
        <v>6189</v>
      </c>
      <c r="X462" s="5" t="s">
        <v>6189</v>
      </c>
      <c r="Y462" s="4">
        <v>64</v>
      </c>
      <c r="Z462" s="4">
        <v>57</v>
      </c>
      <c r="AA462" s="4">
        <v>59</v>
      </c>
      <c r="AB462" s="4">
        <v>1</v>
      </c>
      <c r="AC462" s="4">
        <v>1</v>
      </c>
      <c r="AD462" s="4">
        <v>5</v>
      </c>
      <c r="AE462" s="4">
        <v>5</v>
      </c>
      <c r="AF462" s="4">
        <v>2</v>
      </c>
      <c r="AG462" s="4">
        <v>2</v>
      </c>
      <c r="AH462" s="4">
        <v>1</v>
      </c>
      <c r="AI462" s="4">
        <v>1</v>
      </c>
      <c r="AJ462" s="4">
        <v>0</v>
      </c>
      <c r="AK462" s="4">
        <v>0</v>
      </c>
      <c r="AL462" s="4">
        <v>0</v>
      </c>
      <c r="AM462" s="4">
        <v>0</v>
      </c>
      <c r="AN462" s="4">
        <v>2</v>
      </c>
      <c r="AO462" s="4">
        <v>2</v>
      </c>
      <c r="AP462" s="3" t="s">
        <v>58</v>
      </c>
      <c r="AQ462" s="3" t="s">
        <v>87</v>
      </c>
      <c r="AR462" s="6" t="str">
        <f>HYPERLINK("http://catalog.hathitrust.org/Record/006750587","HathiTrust Record")</f>
        <v>HathiTrust Record</v>
      </c>
      <c r="AS462" s="6" t="str">
        <f>HYPERLINK("https://creighton-primo.hosted.exlibrisgroup.com/primo-explore/search?tab=default_tab&amp;search_scope=EVERYTHING&amp;vid=01CRU&amp;lang=en_US&amp;offset=0&amp;query=any,contains,991003819299702656","Catalog Record")</f>
        <v>Catalog Record</v>
      </c>
      <c r="AT462" s="6" t="str">
        <f>HYPERLINK("http://www.worldcat.org/oclc/1555689","WorldCat Record")</f>
        <v>WorldCat Record</v>
      </c>
      <c r="AU462" s="3" t="s">
        <v>6243</v>
      </c>
      <c r="AV462" s="3" t="s">
        <v>6244</v>
      </c>
      <c r="AW462" s="3" t="s">
        <v>6245</v>
      </c>
      <c r="AX462" s="3" t="s">
        <v>6245</v>
      </c>
      <c r="AY462" s="3" t="s">
        <v>6246</v>
      </c>
      <c r="AZ462" s="3" t="s">
        <v>74</v>
      </c>
      <c r="BC462" s="3" t="s">
        <v>6247</v>
      </c>
      <c r="BD462" s="3" t="s">
        <v>6248</v>
      </c>
    </row>
    <row r="463" spans="1:56" ht="45.75" customHeight="1" x14ac:dyDescent="0.25">
      <c r="A463" s="7" t="s">
        <v>58</v>
      </c>
      <c r="B463" s="2" t="s">
        <v>6249</v>
      </c>
      <c r="C463" s="2" t="s">
        <v>6250</v>
      </c>
      <c r="D463" s="2" t="s">
        <v>6251</v>
      </c>
      <c r="F463" s="3" t="s">
        <v>58</v>
      </c>
      <c r="G463" s="3" t="s">
        <v>59</v>
      </c>
      <c r="H463" s="3" t="s">
        <v>58</v>
      </c>
      <c r="I463" s="3" t="s">
        <v>58</v>
      </c>
      <c r="J463" s="3" t="s">
        <v>60</v>
      </c>
      <c r="K463" s="2" t="s">
        <v>6252</v>
      </c>
      <c r="L463" s="2" t="s">
        <v>6253</v>
      </c>
      <c r="M463" s="3" t="s">
        <v>573</v>
      </c>
      <c r="N463" s="2" t="s">
        <v>543</v>
      </c>
      <c r="O463" s="3" t="s">
        <v>65</v>
      </c>
      <c r="P463" s="3" t="s">
        <v>84</v>
      </c>
      <c r="R463" s="3" t="s">
        <v>67</v>
      </c>
      <c r="S463" s="4">
        <v>2</v>
      </c>
      <c r="T463" s="4">
        <v>2</v>
      </c>
      <c r="U463" s="5" t="s">
        <v>6254</v>
      </c>
      <c r="V463" s="5" t="s">
        <v>6254</v>
      </c>
      <c r="W463" s="5" t="s">
        <v>6255</v>
      </c>
      <c r="X463" s="5" t="s">
        <v>6255</v>
      </c>
      <c r="Y463" s="4">
        <v>753</v>
      </c>
      <c r="Z463" s="4">
        <v>723</v>
      </c>
      <c r="AA463" s="4">
        <v>817</v>
      </c>
      <c r="AB463" s="4">
        <v>6</v>
      </c>
      <c r="AC463" s="4">
        <v>6</v>
      </c>
      <c r="AD463" s="4">
        <v>6</v>
      </c>
      <c r="AE463" s="4">
        <v>6</v>
      </c>
      <c r="AF463" s="4">
        <v>0</v>
      </c>
      <c r="AG463" s="4">
        <v>0</v>
      </c>
      <c r="AH463" s="4">
        <v>2</v>
      </c>
      <c r="AI463" s="4">
        <v>2</v>
      </c>
      <c r="AJ463" s="4">
        <v>3</v>
      </c>
      <c r="AK463" s="4">
        <v>3</v>
      </c>
      <c r="AL463" s="4">
        <v>2</v>
      </c>
      <c r="AM463" s="4">
        <v>2</v>
      </c>
      <c r="AN463" s="4">
        <v>0</v>
      </c>
      <c r="AO463" s="4">
        <v>0</v>
      </c>
      <c r="AP463" s="3" t="s">
        <v>58</v>
      </c>
      <c r="AQ463" s="3" t="s">
        <v>58</v>
      </c>
      <c r="AS463" s="6" t="str">
        <f>HYPERLINK("https://creighton-primo.hosted.exlibrisgroup.com/primo-explore/search?tab=default_tab&amp;search_scope=EVERYTHING&amp;vid=01CRU&amp;lang=en_US&amp;offset=0&amp;query=any,contains,991004074669702656","Catalog Record")</f>
        <v>Catalog Record</v>
      </c>
      <c r="AT463" s="6" t="str">
        <f>HYPERLINK("http://www.worldcat.org/oclc/51689295","WorldCat Record")</f>
        <v>WorldCat Record</v>
      </c>
      <c r="AU463" s="3" t="s">
        <v>6256</v>
      </c>
      <c r="AV463" s="3" t="s">
        <v>6257</v>
      </c>
      <c r="AW463" s="3" t="s">
        <v>6258</v>
      </c>
      <c r="AX463" s="3" t="s">
        <v>6258</v>
      </c>
      <c r="AY463" s="3" t="s">
        <v>6259</v>
      </c>
      <c r="AZ463" s="3" t="s">
        <v>74</v>
      </c>
      <c r="BB463" s="3" t="s">
        <v>6260</v>
      </c>
      <c r="BC463" s="3" t="s">
        <v>6261</v>
      </c>
      <c r="BD463" s="3" t="s">
        <v>6262</v>
      </c>
    </row>
    <row r="464" spans="1:56" ht="45.75" customHeight="1" x14ac:dyDescent="0.25">
      <c r="A464" s="7" t="s">
        <v>58</v>
      </c>
      <c r="B464" s="2" t="s">
        <v>6263</v>
      </c>
      <c r="C464" s="2" t="s">
        <v>6264</v>
      </c>
      <c r="D464" s="2" t="s">
        <v>6265</v>
      </c>
      <c r="F464" s="3" t="s">
        <v>58</v>
      </c>
      <c r="G464" s="3" t="s">
        <v>59</v>
      </c>
      <c r="H464" s="3" t="s">
        <v>58</v>
      </c>
      <c r="I464" s="3" t="s">
        <v>58</v>
      </c>
      <c r="J464" s="3" t="s">
        <v>60</v>
      </c>
      <c r="K464" s="2" t="s">
        <v>6266</v>
      </c>
      <c r="L464" s="2" t="s">
        <v>6267</v>
      </c>
      <c r="M464" s="3" t="s">
        <v>83</v>
      </c>
      <c r="N464" s="2" t="s">
        <v>543</v>
      </c>
      <c r="O464" s="3" t="s">
        <v>65</v>
      </c>
      <c r="P464" s="3" t="s">
        <v>84</v>
      </c>
      <c r="R464" s="3" t="s">
        <v>67</v>
      </c>
      <c r="S464" s="4">
        <v>4</v>
      </c>
      <c r="T464" s="4">
        <v>4</v>
      </c>
      <c r="U464" s="5" t="s">
        <v>6268</v>
      </c>
      <c r="V464" s="5" t="s">
        <v>6268</v>
      </c>
      <c r="W464" s="5" t="s">
        <v>2814</v>
      </c>
      <c r="X464" s="5" t="s">
        <v>2814</v>
      </c>
      <c r="Y464" s="4">
        <v>432</v>
      </c>
      <c r="Z464" s="4">
        <v>421</v>
      </c>
      <c r="AA464" s="4">
        <v>423</v>
      </c>
      <c r="AB464" s="4">
        <v>2</v>
      </c>
      <c r="AC464" s="4">
        <v>2</v>
      </c>
      <c r="AD464" s="4">
        <v>8</v>
      </c>
      <c r="AE464" s="4">
        <v>8</v>
      </c>
      <c r="AF464" s="4">
        <v>3</v>
      </c>
      <c r="AG464" s="4">
        <v>3</v>
      </c>
      <c r="AH464" s="4">
        <v>1</v>
      </c>
      <c r="AI464" s="4">
        <v>1</v>
      </c>
      <c r="AJ464" s="4">
        <v>7</v>
      </c>
      <c r="AK464" s="4">
        <v>7</v>
      </c>
      <c r="AL464" s="4">
        <v>0</v>
      </c>
      <c r="AM464" s="4">
        <v>0</v>
      </c>
      <c r="AN464" s="4">
        <v>1</v>
      </c>
      <c r="AO464" s="4">
        <v>1</v>
      </c>
      <c r="AP464" s="3" t="s">
        <v>58</v>
      </c>
      <c r="AQ464" s="3" t="s">
        <v>58</v>
      </c>
      <c r="AS464" s="6" t="str">
        <f>HYPERLINK("https://creighton-primo.hosted.exlibrisgroup.com/primo-explore/search?tab=default_tab&amp;search_scope=EVERYTHING&amp;vid=01CRU&amp;lang=en_US&amp;offset=0&amp;query=any,contains,991005067029702656","Catalog Record")</f>
        <v>Catalog Record</v>
      </c>
      <c r="AT464" s="6" t="str">
        <f>HYPERLINK("http://www.worldcat.org/oclc/12669487","WorldCat Record")</f>
        <v>WorldCat Record</v>
      </c>
      <c r="AU464" s="3" t="s">
        <v>6269</v>
      </c>
      <c r="AV464" s="3" t="s">
        <v>6270</v>
      </c>
      <c r="AW464" s="3" t="s">
        <v>6271</v>
      </c>
      <c r="AX464" s="3" t="s">
        <v>6271</v>
      </c>
      <c r="AY464" s="3" t="s">
        <v>6272</v>
      </c>
      <c r="AZ464" s="3" t="s">
        <v>74</v>
      </c>
      <c r="BB464" s="3" t="s">
        <v>6273</v>
      </c>
      <c r="BC464" s="3" t="s">
        <v>6274</v>
      </c>
      <c r="BD464" s="3" t="s">
        <v>6275</v>
      </c>
    </row>
    <row r="465" spans="1:56" ht="45.75" customHeight="1" x14ac:dyDescent="0.25">
      <c r="A465" s="7" t="s">
        <v>58</v>
      </c>
      <c r="B465" s="2" t="s">
        <v>6276</v>
      </c>
      <c r="C465" s="2" t="s">
        <v>6277</v>
      </c>
      <c r="D465" s="2" t="s">
        <v>6278</v>
      </c>
      <c r="F465" s="3" t="s">
        <v>58</v>
      </c>
      <c r="G465" s="3" t="s">
        <v>59</v>
      </c>
      <c r="H465" s="3" t="s">
        <v>58</v>
      </c>
      <c r="I465" s="3" t="s">
        <v>58</v>
      </c>
      <c r="J465" s="3" t="s">
        <v>60</v>
      </c>
      <c r="K465" s="2" t="s">
        <v>6279</v>
      </c>
      <c r="L465" s="2" t="s">
        <v>6280</v>
      </c>
      <c r="M465" s="3" t="s">
        <v>713</v>
      </c>
      <c r="O465" s="3" t="s">
        <v>65</v>
      </c>
      <c r="P465" s="3" t="s">
        <v>84</v>
      </c>
      <c r="R465" s="3" t="s">
        <v>67</v>
      </c>
      <c r="S465" s="4">
        <v>14</v>
      </c>
      <c r="T465" s="4">
        <v>14</v>
      </c>
      <c r="U465" s="5" t="s">
        <v>6281</v>
      </c>
      <c r="V465" s="5" t="s">
        <v>6281</v>
      </c>
      <c r="W465" s="5" t="s">
        <v>6282</v>
      </c>
      <c r="X465" s="5" t="s">
        <v>6282</v>
      </c>
      <c r="Y465" s="4">
        <v>86</v>
      </c>
      <c r="Z465" s="4">
        <v>82</v>
      </c>
      <c r="AA465" s="4">
        <v>2306</v>
      </c>
      <c r="AB465" s="4">
        <v>2</v>
      </c>
      <c r="AC465" s="4">
        <v>30</v>
      </c>
      <c r="AD465" s="4">
        <v>1</v>
      </c>
      <c r="AE465" s="4">
        <v>18</v>
      </c>
      <c r="AF465" s="4">
        <v>0</v>
      </c>
      <c r="AG465" s="4">
        <v>5</v>
      </c>
      <c r="AH465" s="4">
        <v>0</v>
      </c>
      <c r="AI465" s="4">
        <v>1</v>
      </c>
      <c r="AJ465" s="4">
        <v>0</v>
      </c>
      <c r="AK465" s="4">
        <v>5</v>
      </c>
      <c r="AL465" s="4">
        <v>1</v>
      </c>
      <c r="AM465" s="4">
        <v>6</v>
      </c>
      <c r="AN465" s="4">
        <v>0</v>
      </c>
      <c r="AO465" s="4">
        <v>2</v>
      </c>
      <c r="AP465" s="3" t="s">
        <v>58</v>
      </c>
      <c r="AQ465" s="3" t="s">
        <v>58</v>
      </c>
      <c r="AS465" s="6" t="str">
        <f>HYPERLINK("https://creighton-primo.hosted.exlibrisgroup.com/primo-explore/search?tab=default_tab&amp;search_scope=EVERYTHING&amp;vid=01CRU&amp;lang=en_US&amp;offset=0&amp;query=any,contains,991005138089702656","Catalog Record")</f>
        <v>Catalog Record</v>
      </c>
      <c r="AT465" s="6" t="str">
        <f>HYPERLINK("http://www.worldcat.org/oclc/7591515","WorldCat Record")</f>
        <v>WorldCat Record</v>
      </c>
      <c r="AU465" s="3" t="s">
        <v>6283</v>
      </c>
      <c r="AV465" s="3" t="s">
        <v>6284</v>
      </c>
      <c r="AW465" s="3" t="s">
        <v>6285</v>
      </c>
      <c r="AX465" s="3" t="s">
        <v>6285</v>
      </c>
      <c r="AY465" s="3" t="s">
        <v>6286</v>
      </c>
      <c r="AZ465" s="3" t="s">
        <v>74</v>
      </c>
      <c r="BB465" s="3" t="s">
        <v>6287</v>
      </c>
      <c r="BC465" s="3" t="s">
        <v>6288</v>
      </c>
      <c r="BD465" s="3" t="s">
        <v>6289</v>
      </c>
    </row>
    <row r="466" spans="1:56" ht="45.75" customHeight="1" x14ac:dyDescent="0.25">
      <c r="A466" s="7" t="s">
        <v>58</v>
      </c>
      <c r="B466" s="2" t="s">
        <v>6290</v>
      </c>
      <c r="C466" s="2" t="s">
        <v>6291</v>
      </c>
      <c r="D466" s="2" t="s">
        <v>6292</v>
      </c>
      <c r="F466" s="3" t="s">
        <v>58</v>
      </c>
      <c r="G466" s="3" t="s">
        <v>59</v>
      </c>
      <c r="H466" s="3" t="s">
        <v>58</v>
      </c>
      <c r="I466" s="3" t="s">
        <v>58</v>
      </c>
      <c r="J466" s="3" t="s">
        <v>60</v>
      </c>
      <c r="K466" s="2" t="s">
        <v>6293</v>
      </c>
      <c r="L466" s="2" t="s">
        <v>6294</v>
      </c>
      <c r="M466" s="3" t="s">
        <v>203</v>
      </c>
      <c r="O466" s="3" t="s">
        <v>65</v>
      </c>
      <c r="P466" s="3" t="s">
        <v>84</v>
      </c>
      <c r="R466" s="3" t="s">
        <v>67</v>
      </c>
      <c r="S466" s="4">
        <v>2</v>
      </c>
      <c r="T466" s="4">
        <v>2</v>
      </c>
      <c r="U466" s="5" t="s">
        <v>6295</v>
      </c>
      <c r="V466" s="5" t="s">
        <v>6295</v>
      </c>
      <c r="W466" s="5" t="s">
        <v>6295</v>
      </c>
      <c r="X466" s="5" t="s">
        <v>6295</v>
      </c>
      <c r="Y466" s="4">
        <v>559</v>
      </c>
      <c r="Z466" s="4">
        <v>552</v>
      </c>
      <c r="AA466" s="4">
        <v>565</v>
      </c>
      <c r="AB466" s="4">
        <v>2</v>
      </c>
      <c r="AC466" s="4">
        <v>2</v>
      </c>
      <c r="AD466" s="4">
        <v>3</v>
      </c>
      <c r="AE466" s="4">
        <v>3</v>
      </c>
      <c r="AF466" s="4">
        <v>2</v>
      </c>
      <c r="AG466" s="4">
        <v>2</v>
      </c>
      <c r="AH466" s="4">
        <v>0</v>
      </c>
      <c r="AI466" s="4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1</v>
      </c>
      <c r="AO466" s="4">
        <v>1</v>
      </c>
      <c r="AP466" s="3" t="s">
        <v>58</v>
      </c>
      <c r="AQ466" s="3" t="s">
        <v>87</v>
      </c>
      <c r="AR466" s="6" t="str">
        <f>HYPERLINK("http://catalog.hathitrust.org/Record/102023325","HathiTrust Record")</f>
        <v>HathiTrust Record</v>
      </c>
      <c r="AS466" s="6" t="str">
        <f>HYPERLINK("https://creighton-primo.hosted.exlibrisgroup.com/primo-explore/search?tab=default_tab&amp;search_scope=EVERYTHING&amp;vid=01CRU&amp;lang=en_US&amp;offset=0&amp;query=any,contains,991003844249702656","Catalog Record")</f>
        <v>Catalog Record</v>
      </c>
      <c r="AT466" s="6" t="str">
        <f>HYPERLINK("http://www.worldcat.org/oclc/48383277","WorldCat Record")</f>
        <v>WorldCat Record</v>
      </c>
      <c r="AU466" s="3" t="s">
        <v>6296</v>
      </c>
      <c r="AV466" s="3" t="s">
        <v>6297</v>
      </c>
      <c r="AW466" s="3" t="s">
        <v>6298</v>
      </c>
      <c r="AX466" s="3" t="s">
        <v>6298</v>
      </c>
      <c r="AY466" s="3" t="s">
        <v>6299</v>
      </c>
      <c r="AZ466" s="3" t="s">
        <v>74</v>
      </c>
      <c r="BB466" s="3" t="s">
        <v>6300</v>
      </c>
      <c r="BC466" s="3" t="s">
        <v>6301</v>
      </c>
      <c r="BD466" s="3" t="s">
        <v>6302</v>
      </c>
    </row>
    <row r="467" spans="1:56" ht="45.75" customHeight="1" x14ac:dyDescent="0.25">
      <c r="A467" s="7" t="s">
        <v>58</v>
      </c>
      <c r="B467" s="2" t="s">
        <v>6303</v>
      </c>
      <c r="C467" s="2" t="s">
        <v>6304</v>
      </c>
      <c r="D467" s="2" t="s">
        <v>6305</v>
      </c>
      <c r="F467" s="3" t="s">
        <v>58</v>
      </c>
      <c r="G467" s="3" t="s">
        <v>59</v>
      </c>
      <c r="H467" s="3" t="s">
        <v>58</v>
      </c>
      <c r="I467" s="3" t="s">
        <v>58</v>
      </c>
      <c r="J467" s="3" t="s">
        <v>60</v>
      </c>
      <c r="K467" s="2" t="s">
        <v>6306</v>
      </c>
      <c r="L467" s="2" t="s">
        <v>6307</v>
      </c>
      <c r="M467" s="3" t="s">
        <v>629</v>
      </c>
      <c r="O467" s="3" t="s">
        <v>65</v>
      </c>
      <c r="P467" s="3" t="s">
        <v>84</v>
      </c>
      <c r="R467" s="3" t="s">
        <v>67</v>
      </c>
      <c r="S467" s="4">
        <v>21</v>
      </c>
      <c r="T467" s="4">
        <v>21</v>
      </c>
      <c r="U467" s="5" t="s">
        <v>4175</v>
      </c>
      <c r="V467" s="5" t="s">
        <v>4175</v>
      </c>
      <c r="W467" s="5" t="s">
        <v>6308</v>
      </c>
      <c r="X467" s="5" t="s">
        <v>6308</v>
      </c>
      <c r="Y467" s="4">
        <v>1071</v>
      </c>
      <c r="Z467" s="4">
        <v>1024</v>
      </c>
      <c r="AA467" s="4">
        <v>1256</v>
      </c>
      <c r="AB467" s="4">
        <v>11</v>
      </c>
      <c r="AC467" s="4">
        <v>11</v>
      </c>
      <c r="AD467" s="4">
        <v>23</v>
      </c>
      <c r="AE467" s="4">
        <v>25</v>
      </c>
      <c r="AF467" s="4">
        <v>8</v>
      </c>
      <c r="AG467" s="4">
        <v>9</v>
      </c>
      <c r="AH467" s="4">
        <v>5</v>
      </c>
      <c r="AI467" s="4">
        <v>6</v>
      </c>
      <c r="AJ467" s="4">
        <v>13</v>
      </c>
      <c r="AK467" s="4">
        <v>14</v>
      </c>
      <c r="AL467" s="4">
        <v>1</v>
      </c>
      <c r="AM467" s="4">
        <v>1</v>
      </c>
      <c r="AN467" s="4">
        <v>0</v>
      </c>
      <c r="AO467" s="4">
        <v>0</v>
      </c>
      <c r="AP467" s="3" t="s">
        <v>58</v>
      </c>
      <c r="AQ467" s="3" t="s">
        <v>58</v>
      </c>
      <c r="AS467" s="6" t="str">
        <f>HYPERLINK("https://creighton-primo.hosted.exlibrisgroup.com/primo-explore/search?tab=default_tab&amp;search_scope=EVERYTHING&amp;vid=01CRU&amp;lang=en_US&amp;offset=0&amp;query=any,contains,991002303749702656","Catalog Record")</f>
        <v>Catalog Record</v>
      </c>
      <c r="AT467" s="6" t="str">
        <f>HYPERLINK("http://www.worldcat.org/oclc/29877924","WorldCat Record")</f>
        <v>WorldCat Record</v>
      </c>
      <c r="AU467" s="3" t="s">
        <v>6309</v>
      </c>
      <c r="AV467" s="3" t="s">
        <v>6310</v>
      </c>
      <c r="AW467" s="3" t="s">
        <v>6311</v>
      </c>
      <c r="AX467" s="3" t="s">
        <v>6311</v>
      </c>
      <c r="AY467" s="3" t="s">
        <v>6312</v>
      </c>
      <c r="AZ467" s="3" t="s">
        <v>74</v>
      </c>
      <c r="BB467" s="3" t="s">
        <v>6313</v>
      </c>
      <c r="BC467" s="3" t="s">
        <v>6314</v>
      </c>
      <c r="BD467" s="3" t="s">
        <v>6315</v>
      </c>
    </row>
    <row r="468" spans="1:56" ht="45.75" customHeight="1" x14ac:dyDescent="0.25">
      <c r="A468" s="7" t="s">
        <v>58</v>
      </c>
      <c r="B468" s="2" t="s">
        <v>6316</v>
      </c>
      <c r="C468" s="2" t="s">
        <v>6317</v>
      </c>
      <c r="D468" s="2" t="s">
        <v>6318</v>
      </c>
      <c r="F468" s="3" t="s">
        <v>58</v>
      </c>
      <c r="G468" s="3" t="s">
        <v>59</v>
      </c>
      <c r="H468" s="3" t="s">
        <v>58</v>
      </c>
      <c r="I468" s="3" t="s">
        <v>58</v>
      </c>
      <c r="J468" s="3" t="s">
        <v>60</v>
      </c>
      <c r="K468" s="2" t="s">
        <v>6319</v>
      </c>
      <c r="L468" s="2" t="s">
        <v>6320</v>
      </c>
      <c r="M468" s="3" t="s">
        <v>100</v>
      </c>
      <c r="O468" s="3" t="s">
        <v>65</v>
      </c>
      <c r="P468" s="3" t="s">
        <v>84</v>
      </c>
      <c r="R468" s="3" t="s">
        <v>67</v>
      </c>
      <c r="S468" s="4">
        <v>23</v>
      </c>
      <c r="T468" s="4">
        <v>23</v>
      </c>
      <c r="U468" s="5" t="s">
        <v>406</v>
      </c>
      <c r="V468" s="5" t="s">
        <v>406</v>
      </c>
      <c r="W468" s="5" t="s">
        <v>3603</v>
      </c>
      <c r="X468" s="5" t="s">
        <v>3603</v>
      </c>
      <c r="Y468" s="4">
        <v>240</v>
      </c>
      <c r="Z468" s="4">
        <v>223</v>
      </c>
      <c r="AA468" s="4">
        <v>228</v>
      </c>
      <c r="AB468" s="4">
        <v>5</v>
      </c>
      <c r="AC468" s="4">
        <v>5</v>
      </c>
      <c r="AD468" s="4">
        <v>3</v>
      </c>
      <c r="AE468" s="4">
        <v>3</v>
      </c>
      <c r="AF468" s="4">
        <v>1</v>
      </c>
      <c r="AG468" s="4">
        <v>1</v>
      </c>
      <c r="AH468" s="4">
        <v>0</v>
      </c>
      <c r="AI468" s="4">
        <v>0</v>
      </c>
      <c r="AJ468" s="4">
        <v>0</v>
      </c>
      <c r="AK468" s="4">
        <v>0</v>
      </c>
      <c r="AL468" s="4">
        <v>2</v>
      </c>
      <c r="AM468" s="4">
        <v>2</v>
      </c>
      <c r="AN468" s="4">
        <v>0</v>
      </c>
      <c r="AO468" s="4">
        <v>0</v>
      </c>
      <c r="AP468" s="3" t="s">
        <v>58</v>
      </c>
      <c r="AQ468" s="3" t="s">
        <v>58</v>
      </c>
      <c r="AS468" s="6" t="str">
        <f>HYPERLINK("https://creighton-primo.hosted.exlibrisgroup.com/primo-explore/search?tab=default_tab&amp;search_scope=EVERYTHING&amp;vid=01CRU&amp;lang=en_US&amp;offset=0&amp;query=any,contains,991003720599702656","Catalog Record")</f>
        <v>Catalog Record</v>
      </c>
      <c r="AT468" s="6" t="str">
        <f>HYPERLINK("http://www.worldcat.org/oclc/1365939","WorldCat Record")</f>
        <v>WorldCat Record</v>
      </c>
      <c r="AU468" s="3" t="s">
        <v>6321</v>
      </c>
      <c r="AV468" s="3" t="s">
        <v>6322</v>
      </c>
      <c r="AW468" s="3" t="s">
        <v>6323</v>
      </c>
      <c r="AX468" s="3" t="s">
        <v>6323</v>
      </c>
      <c r="AY468" s="3" t="s">
        <v>6324</v>
      </c>
      <c r="AZ468" s="3" t="s">
        <v>74</v>
      </c>
      <c r="BB468" s="3" t="s">
        <v>6325</v>
      </c>
      <c r="BC468" s="3" t="s">
        <v>6326</v>
      </c>
      <c r="BD468" s="3" t="s">
        <v>6327</v>
      </c>
    </row>
    <row r="469" spans="1:56" ht="45.75" customHeight="1" x14ac:dyDescent="0.25">
      <c r="A469" s="7" t="s">
        <v>58</v>
      </c>
      <c r="B469" s="2" t="s">
        <v>6328</v>
      </c>
      <c r="C469" s="2" t="s">
        <v>6329</v>
      </c>
      <c r="D469" s="2" t="s">
        <v>6330</v>
      </c>
      <c r="F469" s="3" t="s">
        <v>58</v>
      </c>
      <c r="G469" s="3" t="s">
        <v>59</v>
      </c>
      <c r="H469" s="3" t="s">
        <v>87</v>
      </c>
      <c r="I469" s="3" t="s">
        <v>58</v>
      </c>
      <c r="J469" s="3" t="s">
        <v>60</v>
      </c>
      <c r="K469" s="2" t="s">
        <v>6331</v>
      </c>
      <c r="L469" s="2" t="s">
        <v>6332</v>
      </c>
      <c r="M469" s="3" t="s">
        <v>1998</v>
      </c>
      <c r="N469" s="2" t="s">
        <v>4473</v>
      </c>
      <c r="O469" s="3" t="s">
        <v>65</v>
      </c>
      <c r="P469" s="3" t="s">
        <v>204</v>
      </c>
      <c r="R469" s="3" t="s">
        <v>67</v>
      </c>
      <c r="S469" s="4">
        <v>13</v>
      </c>
      <c r="T469" s="4">
        <v>16</v>
      </c>
      <c r="U469" s="5" t="s">
        <v>6333</v>
      </c>
      <c r="V469" s="5" t="s">
        <v>6334</v>
      </c>
      <c r="W469" s="5" t="s">
        <v>1487</v>
      </c>
      <c r="X469" s="5" t="s">
        <v>1487</v>
      </c>
      <c r="Y469" s="4">
        <v>399</v>
      </c>
      <c r="Z469" s="4">
        <v>393</v>
      </c>
      <c r="AA469" s="4">
        <v>403</v>
      </c>
      <c r="AB469" s="4">
        <v>23</v>
      </c>
      <c r="AC469" s="4">
        <v>24</v>
      </c>
      <c r="AD469" s="4">
        <v>9</v>
      </c>
      <c r="AE469" s="4">
        <v>9</v>
      </c>
      <c r="AF469" s="4">
        <v>2</v>
      </c>
      <c r="AG469" s="4">
        <v>2</v>
      </c>
      <c r="AH469" s="4">
        <v>0</v>
      </c>
      <c r="AI469" s="4">
        <v>0</v>
      </c>
      <c r="AJ469" s="4">
        <v>1</v>
      </c>
      <c r="AK469" s="4">
        <v>1</v>
      </c>
      <c r="AL469" s="4">
        <v>5</v>
      </c>
      <c r="AM469" s="4">
        <v>5</v>
      </c>
      <c r="AN469" s="4">
        <v>1</v>
      </c>
      <c r="AO469" s="4">
        <v>1</v>
      </c>
      <c r="AP469" s="3" t="s">
        <v>58</v>
      </c>
      <c r="AQ469" s="3" t="s">
        <v>58</v>
      </c>
      <c r="AS469" s="6" t="str">
        <f>HYPERLINK("https://creighton-primo.hosted.exlibrisgroup.com/primo-explore/search?tab=default_tab&amp;search_scope=EVERYTHING&amp;vid=01CRU&amp;lang=en_US&amp;offset=0&amp;query=any,contains,991001687419702656","Catalog Record")</f>
        <v>Catalog Record</v>
      </c>
      <c r="AT469" s="6" t="str">
        <f>HYPERLINK("http://www.worldcat.org/oclc/922827","WorldCat Record")</f>
        <v>WorldCat Record</v>
      </c>
      <c r="AU469" s="3" t="s">
        <v>6335</v>
      </c>
      <c r="AV469" s="3" t="s">
        <v>6336</v>
      </c>
      <c r="AW469" s="3" t="s">
        <v>6337</v>
      </c>
      <c r="AX469" s="3" t="s">
        <v>6337</v>
      </c>
      <c r="AY469" s="3" t="s">
        <v>6338</v>
      </c>
      <c r="AZ469" s="3" t="s">
        <v>74</v>
      </c>
      <c r="BB469" s="3" t="s">
        <v>6339</v>
      </c>
      <c r="BC469" s="3" t="s">
        <v>6340</v>
      </c>
      <c r="BD469" s="3" t="s">
        <v>6341</v>
      </c>
    </row>
    <row r="470" spans="1:56" ht="45.75" customHeight="1" x14ac:dyDescent="0.25">
      <c r="A470" s="7" t="s">
        <v>58</v>
      </c>
      <c r="B470" s="2" t="s">
        <v>6342</v>
      </c>
      <c r="C470" s="2" t="s">
        <v>6343</v>
      </c>
      <c r="D470" s="2" t="s">
        <v>6344</v>
      </c>
      <c r="F470" s="3" t="s">
        <v>58</v>
      </c>
      <c r="G470" s="3" t="s">
        <v>59</v>
      </c>
      <c r="H470" s="3" t="s">
        <v>58</v>
      </c>
      <c r="I470" s="3" t="s">
        <v>58</v>
      </c>
      <c r="J470" s="3" t="s">
        <v>60</v>
      </c>
      <c r="K470" s="2" t="s">
        <v>6345</v>
      </c>
      <c r="L470" s="2" t="s">
        <v>6346</v>
      </c>
      <c r="M470" s="3" t="s">
        <v>800</v>
      </c>
      <c r="N470" s="2" t="s">
        <v>543</v>
      </c>
      <c r="O470" s="3" t="s">
        <v>65</v>
      </c>
      <c r="P470" s="3" t="s">
        <v>148</v>
      </c>
      <c r="R470" s="3" t="s">
        <v>67</v>
      </c>
      <c r="S470" s="4">
        <v>26</v>
      </c>
      <c r="T470" s="4">
        <v>26</v>
      </c>
      <c r="U470" s="5" t="s">
        <v>6347</v>
      </c>
      <c r="V470" s="5" t="s">
        <v>6347</v>
      </c>
      <c r="W470" s="5" t="s">
        <v>6348</v>
      </c>
      <c r="X470" s="5" t="s">
        <v>6348</v>
      </c>
      <c r="Y470" s="4">
        <v>995</v>
      </c>
      <c r="Z470" s="4">
        <v>933</v>
      </c>
      <c r="AA470" s="4">
        <v>962</v>
      </c>
      <c r="AB470" s="4">
        <v>3</v>
      </c>
      <c r="AC470" s="4">
        <v>5</v>
      </c>
      <c r="AD470" s="4">
        <v>15</v>
      </c>
      <c r="AE470" s="4">
        <v>17</v>
      </c>
      <c r="AF470" s="4">
        <v>6</v>
      </c>
      <c r="AG470" s="4">
        <v>6</v>
      </c>
      <c r="AH470" s="4">
        <v>3</v>
      </c>
      <c r="AI470" s="4">
        <v>3</v>
      </c>
      <c r="AJ470" s="4">
        <v>10</v>
      </c>
      <c r="AK470" s="4">
        <v>10</v>
      </c>
      <c r="AL470" s="4">
        <v>0</v>
      </c>
      <c r="AM470" s="4">
        <v>2</v>
      </c>
      <c r="AN470" s="4">
        <v>1</v>
      </c>
      <c r="AO470" s="4">
        <v>1</v>
      </c>
      <c r="AP470" s="3" t="s">
        <v>58</v>
      </c>
      <c r="AQ470" s="3" t="s">
        <v>58</v>
      </c>
      <c r="AS470" s="6" t="str">
        <f>HYPERLINK("https://creighton-primo.hosted.exlibrisgroup.com/primo-explore/search?tab=default_tab&amp;search_scope=EVERYTHING&amp;vid=01CRU&amp;lang=en_US&amp;offset=0&amp;query=any,contains,991001887359702656","Catalog Record")</f>
        <v>Catalog Record</v>
      </c>
      <c r="AT470" s="6" t="str">
        <f>HYPERLINK("http://www.worldcat.org/oclc/23768703","WorldCat Record")</f>
        <v>WorldCat Record</v>
      </c>
      <c r="AU470" s="3" t="s">
        <v>6349</v>
      </c>
      <c r="AV470" s="3" t="s">
        <v>6350</v>
      </c>
      <c r="AW470" s="3" t="s">
        <v>6351</v>
      </c>
      <c r="AX470" s="3" t="s">
        <v>6351</v>
      </c>
      <c r="AY470" s="3" t="s">
        <v>6352</v>
      </c>
      <c r="AZ470" s="3" t="s">
        <v>74</v>
      </c>
      <c r="BB470" s="3" t="s">
        <v>6353</v>
      </c>
      <c r="BC470" s="3" t="s">
        <v>6354</v>
      </c>
      <c r="BD470" s="3" t="s">
        <v>6355</v>
      </c>
    </row>
    <row r="471" spans="1:56" ht="45.75" customHeight="1" x14ac:dyDescent="0.25">
      <c r="A471" s="7" t="s">
        <v>58</v>
      </c>
      <c r="B471" s="2" t="s">
        <v>6356</v>
      </c>
      <c r="C471" s="2" t="s">
        <v>6357</v>
      </c>
      <c r="D471" s="2" t="s">
        <v>6358</v>
      </c>
      <c r="F471" s="3" t="s">
        <v>58</v>
      </c>
      <c r="G471" s="3" t="s">
        <v>59</v>
      </c>
      <c r="H471" s="3" t="s">
        <v>58</v>
      </c>
      <c r="I471" s="3" t="s">
        <v>58</v>
      </c>
      <c r="J471" s="3" t="s">
        <v>60</v>
      </c>
      <c r="K471" s="2" t="s">
        <v>6359</v>
      </c>
      <c r="L471" s="2" t="s">
        <v>6360</v>
      </c>
      <c r="M471" s="3" t="s">
        <v>1544</v>
      </c>
      <c r="O471" s="3" t="s">
        <v>65</v>
      </c>
      <c r="P471" s="3" t="s">
        <v>84</v>
      </c>
      <c r="R471" s="3" t="s">
        <v>67</v>
      </c>
      <c r="S471" s="4">
        <v>2</v>
      </c>
      <c r="T471" s="4">
        <v>2</v>
      </c>
      <c r="U471" s="5" t="s">
        <v>6347</v>
      </c>
      <c r="V471" s="5" t="s">
        <v>6347</v>
      </c>
      <c r="W471" s="5" t="s">
        <v>6361</v>
      </c>
      <c r="X471" s="5" t="s">
        <v>6361</v>
      </c>
      <c r="Y471" s="4">
        <v>394</v>
      </c>
      <c r="Z471" s="4">
        <v>367</v>
      </c>
      <c r="AA471" s="4">
        <v>405</v>
      </c>
      <c r="AB471" s="4">
        <v>4</v>
      </c>
      <c r="AC471" s="4">
        <v>4</v>
      </c>
      <c r="AD471" s="4">
        <v>11</v>
      </c>
      <c r="AE471" s="4">
        <v>14</v>
      </c>
      <c r="AF471" s="4">
        <v>4</v>
      </c>
      <c r="AG471" s="4">
        <v>6</v>
      </c>
      <c r="AH471" s="4">
        <v>3</v>
      </c>
      <c r="AI471" s="4">
        <v>4</v>
      </c>
      <c r="AJ471" s="4">
        <v>5</v>
      </c>
      <c r="AK471" s="4">
        <v>6</v>
      </c>
      <c r="AL471" s="4">
        <v>2</v>
      </c>
      <c r="AM471" s="4">
        <v>2</v>
      </c>
      <c r="AN471" s="4">
        <v>0</v>
      </c>
      <c r="AO471" s="4">
        <v>0</v>
      </c>
      <c r="AP471" s="3" t="s">
        <v>58</v>
      </c>
      <c r="AQ471" s="3" t="s">
        <v>58</v>
      </c>
      <c r="AS471" s="6" t="str">
        <f>HYPERLINK("https://creighton-primo.hosted.exlibrisgroup.com/primo-explore/search?tab=default_tab&amp;search_scope=EVERYTHING&amp;vid=01CRU&amp;lang=en_US&amp;offset=0&amp;query=any,contains,991000774849702656","Catalog Record")</f>
        <v>Catalog Record</v>
      </c>
      <c r="AT471" s="6" t="str">
        <f>HYPERLINK("http://www.worldcat.org/oclc/132181","WorldCat Record")</f>
        <v>WorldCat Record</v>
      </c>
      <c r="AU471" s="3" t="s">
        <v>6362</v>
      </c>
      <c r="AV471" s="3" t="s">
        <v>6363</v>
      </c>
      <c r="AW471" s="3" t="s">
        <v>6364</v>
      </c>
      <c r="AX471" s="3" t="s">
        <v>6364</v>
      </c>
      <c r="AY471" s="3" t="s">
        <v>6365</v>
      </c>
      <c r="AZ471" s="3" t="s">
        <v>74</v>
      </c>
      <c r="BC471" s="3" t="s">
        <v>6366</v>
      </c>
      <c r="BD471" s="3" t="s">
        <v>6367</v>
      </c>
    </row>
    <row r="472" spans="1:56" ht="45.75" customHeight="1" x14ac:dyDescent="0.25">
      <c r="A472" s="7" t="s">
        <v>58</v>
      </c>
      <c r="B472" s="2" t="s">
        <v>6368</v>
      </c>
      <c r="C472" s="2" t="s">
        <v>6369</v>
      </c>
      <c r="D472" s="2" t="s">
        <v>6370</v>
      </c>
      <c r="F472" s="3" t="s">
        <v>58</v>
      </c>
      <c r="G472" s="3" t="s">
        <v>59</v>
      </c>
      <c r="H472" s="3" t="s">
        <v>58</v>
      </c>
      <c r="I472" s="3" t="s">
        <v>58</v>
      </c>
      <c r="J472" s="3" t="s">
        <v>60</v>
      </c>
      <c r="K472" s="2" t="s">
        <v>6371</v>
      </c>
      <c r="L472" s="2" t="s">
        <v>6372</v>
      </c>
      <c r="M472" s="3" t="s">
        <v>1500</v>
      </c>
      <c r="N472" s="2" t="s">
        <v>543</v>
      </c>
      <c r="O472" s="3" t="s">
        <v>65</v>
      </c>
      <c r="P472" s="3" t="s">
        <v>84</v>
      </c>
      <c r="R472" s="3" t="s">
        <v>67</v>
      </c>
      <c r="S472" s="4">
        <v>7</v>
      </c>
      <c r="T472" s="4">
        <v>7</v>
      </c>
      <c r="U472" s="5" t="s">
        <v>6373</v>
      </c>
      <c r="V472" s="5" t="s">
        <v>6373</v>
      </c>
      <c r="W472" s="5" t="s">
        <v>4293</v>
      </c>
      <c r="X472" s="5" t="s">
        <v>4293</v>
      </c>
      <c r="Y472" s="4">
        <v>320</v>
      </c>
      <c r="Z472" s="4">
        <v>301</v>
      </c>
      <c r="AA472" s="4">
        <v>308</v>
      </c>
      <c r="AB472" s="4">
        <v>2</v>
      </c>
      <c r="AC472" s="4">
        <v>2</v>
      </c>
      <c r="AD472" s="4">
        <v>5</v>
      </c>
      <c r="AE472" s="4">
        <v>5</v>
      </c>
      <c r="AF472" s="4">
        <v>2</v>
      </c>
      <c r="AG472" s="4">
        <v>2</v>
      </c>
      <c r="AH472" s="4">
        <v>0</v>
      </c>
      <c r="AI472" s="4">
        <v>0</v>
      </c>
      <c r="AJ472" s="4">
        <v>3</v>
      </c>
      <c r="AK472" s="4">
        <v>3</v>
      </c>
      <c r="AL472" s="4">
        <v>0</v>
      </c>
      <c r="AM472" s="4">
        <v>0</v>
      </c>
      <c r="AN472" s="4">
        <v>1</v>
      </c>
      <c r="AO472" s="4">
        <v>1</v>
      </c>
      <c r="AP472" s="3" t="s">
        <v>58</v>
      </c>
      <c r="AQ472" s="3" t="s">
        <v>58</v>
      </c>
      <c r="AS472" s="6" t="str">
        <f>HYPERLINK("https://creighton-primo.hosted.exlibrisgroup.com/primo-explore/search?tab=default_tab&amp;search_scope=EVERYTHING&amp;vid=01CRU&amp;lang=en_US&amp;offset=0&amp;query=any,contains,991004904509702656","Catalog Record")</f>
        <v>Catalog Record</v>
      </c>
      <c r="AT472" s="6" t="str">
        <f>HYPERLINK("http://www.worldcat.org/oclc/5946226","WorldCat Record")</f>
        <v>WorldCat Record</v>
      </c>
      <c r="AU472" s="3" t="s">
        <v>6374</v>
      </c>
      <c r="AV472" s="3" t="s">
        <v>6375</v>
      </c>
      <c r="AW472" s="3" t="s">
        <v>6376</v>
      </c>
      <c r="AX472" s="3" t="s">
        <v>6376</v>
      </c>
      <c r="AY472" s="3" t="s">
        <v>6377</v>
      </c>
      <c r="AZ472" s="3" t="s">
        <v>74</v>
      </c>
      <c r="BB472" s="3" t="s">
        <v>6378</v>
      </c>
      <c r="BC472" s="3" t="s">
        <v>6379</v>
      </c>
      <c r="BD472" s="3" t="s">
        <v>6380</v>
      </c>
    </row>
    <row r="473" spans="1:56" ht="45.75" customHeight="1" x14ac:dyDescent="0.25">
      <c r="A473" s="7" t="s">
        <v>58</v>
      </c>
      <c r="B473" s="2" t="s">
        <v>6381</v>
      </c>
      <c r="C473" s="2" t="s">
        <v>6382</v>
      </c>
      <c r="D473" s="2" t="s">
        <v>6383</v>
      </c>
      <c r="F473" s="3" t="s">
        <v>58</v>
      </c>
      <c r="G473" s="3" t="s">
        <v>59</v>
      </c>
      <c r="H473" s="3" t="s">
        <v>58</v>
      </c>
      <c r="I473" s="3" t="s">
        <v>58</v>
      </c>
      <c r="J473" s="3" t="s">
        <v>60</v>
      </c>
      <c r="K473" s="2" t="s">
        <v>6384</v>
      </c>
      <c r="L473" s="2" t="s">
        <v>6385</v>
      </c>
      <c r="M473" s="3" t="s">
        <v>1485</v>
      </c>
      <c r="O473" s="3" t="s">
        <v>65</v>
      </c>
      <c r="P473" s="3" t="s">
        <v>148</v>
      </c>
      <c r="R473" s="3" t="s">
        <v>67</v>
      </c>
      <c r="S473" s="4">
        <v>20</v>
      </c>
      <c r="T473" s="4">
        <v>20</v>
      </c>
      <c r="U473" s="5" t="s">
        <v>6386</v>
      </c>
      <c r="V473" s="5" t="s">
        <v>6386</v>
      </c>
      <c r="W473" s="5" t="s">
        <v>6387</v>
      </c>
      <c r="X473" s="5" t="s">
        <v>6387</v>
      </c>
      <c r="Y473" s="4">
        <v>395</v>
      </c>
      <c r="Z473" s="4">
        <v>379</v>
      </c>
      <c r="AA473" s="4">
        <v>431</v>
      </c>
      <c r="AB473" s="4">
        <v>27</v>
      </c>
      <c r="AC473" s="4">
        <v>31</v>
      </c>
      <c r="AD473" s="4">
        <v>12</v>
      </c>
      <c r="AE473" s="4">
        <v>15</v>
      </c>
      <c r="AF473" s="4">
        <v>2</v>
      </c>
      <c r="AG473" s="4">
        <v>3</v>
      </c>
      <c r="AH473" s="4">
        <v>0</v>
      </c>
      <c r="AI473" s="4">
        <v>1</v>
      </c>
      <c r="AJ473" s="4">
        <v>2</v>
      </c>
      <c r="AK473" s="4">
        <v>2</v>
      </c>
      <c r="AL473" s="4">
        <v>7</v>
      </c>
      <c r="AM473" s="4">
        <v>8</v>
      </c>
      <c r="AN473" s="4">
        <v>2</v>
      </c>
      <c r="AO473" s="4">
        <v>2</v>
      </c>
      <c r="AP473" s="3" t="s">
        <v>58</v>
      </c>
      <c r="AQ473" s="3" t="s">
        <v>87</v>
      </c>
      <c r="AR473" s="6" t="str">
        <f>HYPERLINK("http://catalog.hathitrust.org/Record/000716130","HathiTrust Record")</f>
        <v>HathiTrust Record</v>
      </c>
      <c r="AS473" s="6" t="str">
        <f>HYPERLINK("https://creighton-primo.hosted.exlibrisgroup.com/primo-explore/search?tab=default_tab&amp;search_scope=EVERYTHING&amp;vid=01CRU&amp;lang=en_US&amp;offset=0&amp;query=any,contains,991003959389702656","Catalog Record")</f>
        <v>Catalog Record</v>
      </c>
      <c r="AT473" s="6" t="str">
        <f>HYPERLINK("http://www.worldcat.org/oclc/1974026","WorldCat Record")</f>
        <v>WorldCat Record</v>
      </c>
      <c r="AU473" s="3" t="s">
        <v>6388</v>
      </c>
      <c r="AV473" s="3" t="s">
        <v>6389</v>
      </c>
      <c r="AW473" s="3" t="s">
        <v>6390</v>
      </c>
      <c r="AX473" s="3" t="s">
        <v>6390</v>
      </c>
      <c r="AY473" s="3" t="s">
        <v>6391</v>
      </c>
      <c r="AZ473" s="3" t="s">
        <v>74</v>
      </c>
      <c r="BB473" s="3" t="s">
        <v>6392</v>
      </c>
      <c r="BC473" s="3" t="s">
        <v>6393</v>
      </c>
      <c r="BD473" s="3" t="s">
        <v>6394</v>
      </c>
    </row>
    <row r="474" spans="1:56" ht="45.75" customHeight="1" x14ac:dyDescent="0.25">
      <c r="A474" s="7" t="s">
        <v>58</v>
      </c>
      <c r="B474" s="2" t="s">
        <v>6395</v>
      </c>
      <c r="C474" s="2" t="s">
        <v>6396</v>
      </c>
      <c r="D474" s="2" t="s">
        <v>6397</v>
      </c>
      <c r="F474" s="3" t="s">
        <v>58</v>
      </c>
      <c r="G474" s="3" t="s">
        <v>59</v>
      </c>
      <c r="H474" s="3" t="s">
        <v>58</v>
      </c>
      <c r="I474" s="3" t="s">
        <v>58</v>
      </c>
      <c r="J474" s="3" t="s">
        <v>60</v>
      </c>
      <c r="L474" s="2" t="s">
        <v>6398</v>
      </c>
      <c r="M474" s="3" t="s">
        <v>83</v>
      </c>
      <c r="O474" s="3" t="s">
        <v>65</v>
      </c>
      <c r="P474" s="3" t="s">
        <v>84</v>
      </c>
      <c r="R474" s="3" t="s">
        <v>67</v>
      </c>
      <c r="S474" s="4">
        <v>4</v>
      </c>
      <c r="T474" s="4">
        <v>4</v>
      </c>
      <c r="U474" s="5" t="s">
        <v>6399</v>
      </c>
      <c r="V474" s="5" t="s">
        <v>6399</v>
      </c>
      <c r="W474" s="5" t="s">
        <v>6400</v>
      </c>
      <c r="X474" s="5" t="s">
        <v>6400</v>
      </c>
      <c r="Y474" s="4">
        <v>237</v>
      </c>
      <c r="Z474" s="4">
        <v>200</v>
      </c>
      <c r="AA474" s="4">
        <v>245</v>
      </c>
      <c r="AB474" s="4">
        <v>3</v>
      </c>
      <c r="AC474" s="4">
        <v>4</v>
      </c>
      <c r="AD474" s="4">
        <v>14</v>
      </c>
      <c r="AE474" s="4">
        <v>16</v>
      </c>
      <c r="AF474" s="4">
        <v>1</v>
      </c>
      <c r="AG474" s="4">
        <v>2</v>
      </c>
      <c r="AH474" s="4">
        <v>1</v>
      </c>
      <c r="AI474" s="4">
        <v>1</v>
      </c>
      <c r="AJ474" s="4">
        <v>6</v>
      </c>
      <c r="AK474" s="4">
        <v>7</v>
      </c>
      <c r="AL474" s="4">
        <v>2</v>
      </c>
      <c r="AM474" s="4">
        <v>3</v>
      </c>
      <c r="AN474" s="4">
        <v>6</v>
      </c>
      <c r="AO474" s="4">
        <v>6</v>
      </c>
      <c r="AP474" s="3" t="s">
        <v>58</v>
      </c>
      <c r="AQ474" s="3" t="s">
        <v>58</v>
      </c>
      <c r="AS474" s="6" t="str">
        <f>HYPERLINK("https://creighton-primo.hosted.exlibrisgroup.com/primo-explore/search?tab=default_tab&amp;search_scope=EVERYTHING&amp;vid=01CRU&amp;lang=en_US&amp;offset=0&amp;query=any,contains,991000738659702656","Catalog Record")</f>
        <v>Catalog Record</v>
      </c>
      <c r="AT474" s="6" t="str">
        <f>HYPERLINK("http://www.worldcat.org/oclc/12804879","WorldCat Record")</f>
        <v>WorldCat Record</v>
      </c>
      <c r="AU474" s="3" t="s">
        <v>6401</v>
      </c>
      <c r="AV474" s="3" t="s">
        <v>6402</v>
      </c>
      <c r="AW474" s="3" t="s">
        <v>6403</v>
      </c>
      <c r="AX474" s="3" t="s">
        <v>6403</v>
      </c>
      <c r="AY474" s="3" t="s">
        <v>6404</v>
      </c>
      <c r="AZ474" s="3" t="s">
        <v>74</v>
      </c>
      <c r="BB474" s="3" t="s">
        <v>6405</v>
      </c>
      <c r="BC474" s="3" t="s">
        <v>6406</v>
      </c>
      <c r="BD474" s="3" t="s">
        <v>6407</v>
      </c>
    </row>
    <row r="475" spans="1:56" ht="45.75" customHeight="1" x14ac:dyDescent="0.25">
      <c r="A475" s="7" t="s">
        <v>58</v>
      </c>
      <c r="B475" s="2" t="s">
        <v>6408</v>
      </c>
      <c r="C475" s="2" t="s">
        <v>6409</v>
      </c>
      <c r="D475" s="2" t="s">
        <v>6410</v>
      </c>
      <c r="F475" s="3" t="s">
        <v>58</v>
      </c>
      <c r="G475" s="3" t="s">
        <v>59</v>
      </c>
      <c r="H475" s="3" t="s">
        <v>58</v>
      </c>
      <c r="I475" s="3" t="s">
        <v>58</v>
      </c>
      <c r="J475" s="3" t="s">
        <v>60</v>
      </c>
      <c r="K475" s="2" t="s">
        <v>6411</v>
      </c>
      <c r="L475" s="2" t="s">
        <v>6412</v>
      </c>
      <c r="M475" s="3" t="s">
        <v>557</v>
      </c>
      <c r="O475" s="3" t="s">
        <v>65</v>
      </c>
      <c r="P475" s="3" t="s">
        <v>84</v>
      </c>
      <c r="R475" s="3" t="s">
        <v>67</v>
      </c>
      <c r="S475" s="4">
        <v>21</v>
      </c>
      <c r="T475" s="4">
        <v>21</v>
      </c>
      <c r="U475" s="5" t="s">
        <v>6413</v>
      </c>
      <c r="V475" s="5" t="s">
        <v>6413</v>
      </c>
      <c r="W475" s="5" t="s">
        <v>6414</v>
      </c>
      <c r="X475" s="5" t="s">
        <v>6414</v>
      </c>
      <c r="Y475" s="4">
        <v>921</v>
      </c>
      <c r="Z475" s="4">
        <v>824</v>
      </c>
      <c r="AA475" s="4">
        <v>1240</v>
      </c>
      <c r="AB475" s="4">
        <v>5</v>
      </c>
      <c r="AC475" s="4">
        <v>29</v>
      </c>
      <c r="AD475" s="4">
        <v>31</v>
      </c>
      <c r="AE475" s="4">
        <v>49</v>
      </c>
      <c r="AF475" s="4">
        <v>10</v>
      </c>
      <c r="AG475" s="4">
        <v>14</v>
      </c>
      <c r="AH475" s="4">
        <v>4</v>
      </c>
      <c r="AI475" s="4">
        <v>7</v>
      </c>
      <c r="AJ475" s="4">
        <v>13</v>
      </c>
      <c r="AK475" s="4">
        <v>16</v>
      </c>
      <c r="AL475" s="4">
        <v>4</v>
      </c>
      <c r="AM475" s="4">
        <v>14</v>
      </c>
      <c r="AN475" s="4">
        <v>6</v>
      </c>
      <c r="AO475" s="4">
        <v>6</v>
      </c>
      <c r="AP475" s="3" t="s">
        <v>58</v>
      </c>
      <c r="AQ475" s="3" t="s">
        <v>87</v>
      </c>
      <c r="AR475" s="6" t="str">
        <f>HYPERLINK("http://catalog.hathitrust.org/Record/002628024","HathiTrust Record")</f>
        <v>HathiTrust Record</v>
      </c>
      <c r="AS475" s="6" t="str">
        <f>HYPERLINK("https://creighton-primo.hosted.exlibrisgroup.com/primo-explore/search?tab=default_tab&amp;search_scope=EVERYTHING&amp;vid=01CRU&amp;lang=en_US&amp;offset=0&amp;query=any,contains,991002112599702656","Catalog Record")</f>
        <v>Catalog Record</v>
      </c>
      <c r="AT475" s="6" t="str">
        <f>HYPERLINK("http://www.worldcat.org/oclc/27068529","WorldCat Record")</f>
        <v>WorldCat Record</v>
      </c>
      <c r="AU475" s="3" t="s">
        <v>6415</v>
      </c>
      <c r="AV475" s="3" t="s">
        <v>6416</v>
      </c>
      <c r="AW475" s="3" t="s">
        <v>6417</v>
      </c>
      <c r="AX475" s="3" t="s">
        <v>6417</v>
      </c>
      <c r="AY475" s="3" t="s">
        <v>6418</v>
      </c>
      <c r="AZ475" s="3" t="s">
        <v>74</v>
      </c>
      <c r="BB475" s="3" t="s">
        <v>6419</v>
      </c>
      <c r="BC475" s="3" t="s">
        <v>6420</v>
      </c>
      <c r="BD475" s="3" t="s">
        <v>6421</v>
      </c>
    </row>
    <row r="476" spans="1:56" ht="45.75" customHeight="1" x14ac:dyDescent="0.25">
      <c r="A476" s="7" t="s">
        <v>58</v>
      </c>
      <c r="B476" s="2" t="s">
        <v>6422</v>
      </c>
      <c r="C476" s="2" t="s">
        <v>6423</v>
      </c>
      <c r="D476" s="2" t="s">
        <v>6424</v>
      </c>
      <c r="F476" s="3" t="s">
        <v>58</v>
      </c>
      <c r="G476" s="3" t="s">
        <v>59</v>
      </c>
      <c r="H476" s="3" t="s">
        <v>58</v>
      </c>
      <c r="I476" s="3" t="s">
        <v>58</v>
      </c>
      <c r="J476" s="3" t="s">
        <v>60</v>
      </c>
      <c r="L476" s="2" t="s">
        <v>6425</v>
      </c>
      <c r="M476" s="3" t="s">
        <v>573</v>
      </c>
      <c r="O476" s="3" t="s">
        <v>65</v>
      </c>
      <c r="P476" s="3" t="s">
        <v>84</v>
      </c>
      <c r="Q476" s="2" t="s">
        <v>6426</v>
      </c>
      <c r="R476" s="3" t="s">
        <v>67</v>
      </c>
      <c r="S476" s="4">
        <v>2</v>
      </c>
      <c r="T476" s="4">
        <v>2</v>
      </c>
      <c r="U476" s="5" t="s">
        <v>5063</v>
      </c>
      <c r="V476" s="5" t="s">
        <v>5063</v>
      </c>
      <c r="W476" s="5" t="s">
        <v>5063</v>
      </c>
      <c r="X476" s="5" t="s">
        <v>5063</v>
      </c>
      <c r="Y476" s="4">
        <v>254</v>
      </c>
      <c r="Z476" s="4">
        <v>218</v>
      </c>
      <c r="AA476" s="4">
        <v>237</v>
      </c>
      <c r="AB476" s="4">
        <v>2</v>
      </c>
      <c r="AC476" s="4">
        <v>2</v>
      </c>
      <c r="AD476" s="4">
        <v>12</v>
      </c>
      <c r="AE476" s="4">
        <v>12</v>
      </c>
      <c r="AF476" s="4">
        <v>2</v>
      </c>
      <c r="AG476" s="4">
        <v>2</v>
      </c>
      <c r="AH476" s="4">
        <v>4</v>
      </c>
      <c r="AI476" s="4">
        <v>4</v>
      </c>
      <c r="AJ476" s="4">
        <v>8</v>
      </c>
      <c r="AK476" s="4">
        <v>8</v>
      </c>
      <c r="AL476" s="4">
        <v>1</v>
      </c>
      <c r="AM476" s="4">
        <v>1</v>
      </c>
      <c r="AN476" s="4">
        <v>0</v>
      </c>
      <c r="AO476" s="4">
        <v>0</v>
      </c>
      <c r="AP476" s="3" t="s">
        <v>58</v>
      </c>
      <c r="AQ476" s="3" t="s">
        <v>58</v>
      </c>
      <c r="AS476" s="6" t="str">
        <f>HYPERLINK("https://creighton-primo.hosted.exlibrisgroup.com/primo-explore/search?tab=default_tab&amp;search_scope=EVERYTHING&amp;vid=01CRU&amp;lang=en_US&amp;offset=0&amp;query=any,contains,991004424419702656","Catalog Record")</f>
        <v>Catalog Record</v>
      </c>
      <c r="AT476" s="6" t="str">
        <f>HYPERLINK("http://www.worldcat.org/oclc/50041213","WorldCat Record")</f>
        <v>WorldCat Record</v>
      </c>
      <c r="AU476" s="3" t="s">
        <v>6427</v>
      </c>
      <c r="AV476" s="3" t="s">
        <v>6428</v>
      </c>
      <c r="AW476" s="3" t="s">
        <v>6429</v>
      </c>
      <c r="AX476" s="3" t="s">
        <v>6429</v>
      </c>
      <c r="AY476" s="3" t="s">
        <v>6430</v>
      </c>
      <c r="AZ476" s="3" t="s">
        <v>74</v>
      </c>
      <c r="BB476" s="3" t="s">
        <v>6431</v>
      </c>
      <c r="BC476" s="3" t="s">
        <v>6432</v>
      </c>
      <c r="BD476" s="3" t="s">
        <v>6433</v>
      </c>
    </row>
    <row r="477" spans="1:56" ht="45.75" customHeight="1" x14ac:dyDescent="0.25">
      <c r="A477" s="7" t="s">
        <v>58</v>
      </c>
      <c r="B477" s="2" t="s">
        <v>6434</v>
      </c>
      <c r="C477" s="2" t="s">
        <v>6435</v>
      </c>
      <c r="D477" s="2" t="s">
        <v>6436</v>
      </c>
      <c r="F477" s="3" t="s">
        <v>58</v>
      </c>
      <c r="G477" s="3" t="s">
        <v>59</v>
      </c>
      <c r="H477" s="3" t="s">
        <v>58</v>
      </c>
      <c r="I477" s="3" t="s">
        <v>58</v>
      </c>
      <c r="J477" s="3" t="s">
        <v>60</v>
      </c>
      <c r="K477" s="2" t="s">
        <v>6437</v>
      </c>
      <c r="L477" s="2" t="s">
        <v>6438</v>
      </c>
      <c r="M477" s="3" t="s">
        <v>937</v>
      </c>
      <c r="O477" s="3" t="s">
        <v>65</v>
      </c>
      <c r="P477" s="3" t="s">
        <v>84</v>
      </c>
      <c r="Q477" s="2" t="s">
        <v>6439</v>
      </c>
      <c r="R477" s="3" t="s">
        <v>67</v>
      </c>
      <c r="S477" s="4">
        <v>5</v>
      </c>
      <c r="T477" s="4">
        <v>5</v>
      </c>
      <c r="U477" s="5" t="s">
        <v>6399</v>
      </c>
      <c r="V477" s="5" t="s">
        <v>6399</v>
      </c>
      <c r="W477" s="5" t="s">
        <v>6440</v>
      </c>
      <c r="X477" s="5" t="s">
        <v>6440</v>
      </c>
      <c r="Y477" s="4">
        <v>371</v>
      </c>
      <c r="Z477" s="4">
        <v>302</v>
      </c>
      <c r="AA477" s="4">
        <v>304</v>
      </c>
      <c r="AB477" s="4">
        <v>3</v>
      </c>
      <c r="AC477" s="4">
        <v>3</v>
      </c>
      <c r="AD477" s="4">
        <v>14</v>
      </c>
      <c r="AE477" s="4">
        <v>14</v>
      </c>
      <c r="AF477" s="4">
        <v>4</v>
      </c>
      <c r="AG477" s="4">
        <v>4</v>
      </c>
      <c r="AH477" s="4">
        <v>2</v>
      </c>
      <c r="AI477" s="4">
        <v>2</v>
      </c>
      <c r="AJ477" s="4">
        <v>4</v>
      </c>
      <c r="AK477" s="4">
        <v>4</v>
      </c>
      <c r="AL477" s="4">
        <v>2</v>
      </c>
      <c r="AM477" s="4">
        <v>2</v>
      </c>
      <c r="AN477" s="4">
        <v>5</v>
      </c>
      <c r="AO477" s="4">
        <v>5</v>
      </c>
      <c r="AP477" s="3" t="s">
        <v>58</v>
      </c>
      <c r="AQ477" s="3" t="s">
        <v>58</v>
      </c>
      <c r="AS477" s="6" t="str">
        <f>HYPERLINK("https://creighton-primo.hosted.exlibrisgroup.com/primo-explore/search?tab=default_tab&amp;search_scope=EVERYTHING&amp;vid=01CRU&amp;lang=en_US&amp;offset=0&amp;query=any,contains,991004366329702656","Catalog Record")</f>
        <v>Catalog Record</v>
      </c>
      <c r="AT477" s="6" t="str">
        <f>HYPERLINK("http://www.worldcat.org/oclc/3169760","WorldCat Record")</f>
        <v>WorldCat Record</v>
      </c>
      <c r="AU477" s="3" t="s">
        <v>6441</v>
      </c>
      <c r="AV477" s="3" t="s">
        <v>6442</v>
      </c>
      <c r="AW477" s="3" t="s">
        <v>6443</v>
      </c>
      <c r="AX477" s="3" t="s">
        <v>6443</v>
      </c>
      <c r="AY477" s="3" t="s">
        <v>6444</v>
      </c>
      <c r="AZ477" s="3" t="s">
        <v>74</v>
      </c>
      <c r="BB477" s="3" t="s">
        <v>6445</v>
      </c>
      <c r="BC477" s="3" t="s">
        <v>6446</v>
      </c>
      <c r="BD477" s="3" t="s">
        <v>6447</v>
      </c>
    </row>
    <row r="478" spans="1:56" ht="45.75" customHeight="1" x14ac:dyDescent="0.25">
      <c r="A478" s="7" t="s">
        <v>58</v>
      </c>
      <c r="B478" s="2" t="s">
        <v>6448</v>
      </c>
      <c r="C478" s="2" t="s">
        <v>6449</v>
      </c>
      <c r="D478" s="2" t="s">
        <v>6450</v>
      </c>
      <c r="F478" s="3" t="s">
        <v>58</v>
      </c>
      <c r="G478" s="3" t="s">
        <v>59</v>
      </c>
      <c r="H478" s="3" t="s">
        <v>58</v>
      </c>
      <c r="I478" s="3" t="s">
        <v>58</v>
      </c>
      <c r="J478" s="3" t="s">
        <v>60</v>
      </c>
      <c r="L478" s="2" t="s">
        <v>6451</v>
      </c>
      <c r="M478" s="3" t="s">
        <v>116</v>
      </c>
      <c r="O478" s="3" t="s">
        <v>65</v>
      </c>
      <c r="P478" s="3" t="s">
        <v>148</v>
      </c>
      <c r="R478" s="3" t="s">
        <v>67</v>
      </c>
      <c r="S478" s="4">
        <v>5</v>
      </c>
      <c r="T478" s="4">
        <v>5</v>
      </c>
      <c r="U478" s="5" t="s">
        <v>6452</v>
      </c>
      <c r="V478" s="5" t="s">
        <v>6452</v>
      </c>
      <c r="W478" s="5" t="s">
        <v>6453</v>
      </c>
      <c r="X478" s="5" t="s">
        <v>6453</v>
      </c>
      <c r="Y478" s="4">
        <v>324</v>
      </c>
      <c r="Z478" s="4">
        <v>278</v>
      </c>
      <c r="AA478" s="4">
        <v>279</v>
      </c>
      <c r="AB478" s="4">
        <v>3</v>
      </c>
      <c r="AC478" s="4">
        <v>3</v>
      </c>
      <c r="AD478" s="4">
        <v>19</v>
      </c>
      <c r="AE478" s="4">
        <v>19</v>
      </c>
      <c r="AF478" s="4">
        <v>7</v>
      </c>
      <c r="AG478" s="4">
        <v>7</v>
      </c>
      <c r="AH478" s="4">
        <v>5</v>
      </c>
      <c r="AI478" s="4">
        <v>5</v>
      </c>
      <c r="AJ478" s="4">
        <v>11</v>
      </c>
      <c r="AK478" s="4">
        <v>11</v>
      </c>
      <c r="AL478" s="4">
        <v>2</v>
      </c>
      <c r="AM478" s="4">
        <v>2</v>
      </c>
      <c r="AN478" s="4">
        <v>1</v>
      </c>
      <c r="AO478" s="4">
        <v>1</v>
      </c>
      <c r="AP478" s="3" t="s">
        <v>58</v>
      </c>
      <c r="AQ478" s="3" t="s">
        <v>58</v>
      </c>
      <c r="AS478" s="6" t="str">
        <f>HYPERLINK("https://creighton-primo.hosted.exlibrisgroup.com/primo-explore/search?tab=default_tab&amp;search_scope=EVERYTHING&amp;vid=01CRU&amp;lang=en_US&amp;offset=0&amp;query=any,contains,991002845059702656","Catalog Record")</f>
        <v>Catalog Record</v>
      </c>
      <c r="AT478" s="6" t="str">
        <f>HYPERLINK("http://www.worldcat.org/oclc/37489626","WorldCat Record")</f>
        <v>WorldCat Record</v>
      </c>
      <c r="AU478" s="3" t="s">
        <v>6454</v>
      </c>
      <c r="AV478" s="3" t="s">
        <v>6455</v>
      </c>
      <c r="AW478" s="3" t="s">
        <v>6456</v>
      </c>
      <c r="AX478" s="3" t="s">
        <v>6456</v>
      </c>
      <c r="AY478" s="3" t="s">
        <v>6457</v>
      </c>
      <c r="AZ478" s="3" t="s">
        <v>74</v>
      </c>
      <c r="BB478" s="3" t="s">
        <v>6458</v>
      </c>
      <c r="BC478" s="3" t="s">
        <v>6459</v>
      </c>
      <c r="BD478" s="3" t="s">
        <v>6460</v>
      </c>
    </row>
    <row r="479" spans="1:56" ht="45.75" customHeight="1" x14ac:dyDescent="0.25">
      <c r="A479" s="7" t="s">
        <v>58</v>
      </c>
      <c r="B479" s="2" t="s">
        <v>6461</v>
      </c>
      <c r="C479" s="2" t="s">
        <v>6462</v>
      </c>
      <c r="D479" s="2" t="s">
        <v>6463</v>
      </c>
      <c r="F479" s="3" t="s">
        <v>58</v>
      </c>
      <c r="G479" s="3" t="s">
        <v>59</v>
      </c>
      <c r="H479" s="3" t="s">
        <v>58</v>
      </c>
      <c r="I479" s="3" t="s">
        <v>58</v>
      </c>
      <c r="J479" s="3" t="s">
        <v>60</v>
      </c>
      <c r="K479" s="2" t="s">
        <v>6464</v>
      </c>
      <c r="L479" s="2" t="s">
        <v>6465</v>
      </c>
      <c r="M479" s="3" t="s">
        <v>1419</v>
      </c>
      <c r="O479" s="3" t="s">
        <v>65</v>
      </c>
      <c r="P479" s="3" t="s">
        <v>84</v>
      </c>
      <c r="R479" s="3" t="s">
        <v>67</v>
      </c>
      <c r="S479" s="4">
        <v>1</v>
      </c>
      <c r="T479" s="4">
        <v>1</v>
      </c>
      <c r="U479" s="5" t="s">
        <v>6466</v>
      </c>
      <c r="V479" s="5" t="s">
        <v>6466</v>
      </c>
      <c r="W479" s="5" t="s">
        <v>6440</v>
      </c>
      <c r="X479" s="5" t="s">
        <v>6440</v>
      </c>
      <c r="Y479" s="4">
        <v>796</v>
      </c>
      <c r="Z479" s="4">
        <v>740</v>
      </c>
      <c r="AA479" s="4">
        <v>746</v>
      </c>
      <c r="AB479" s="4">
        <v>9</v>
      </c>
      <c r="AC479" s="4">
        <v>9</v>
      </c>
      <c r="AD479" s="4">
        <v>27</v>
      </c>
      <c r="AE479" s="4">
        <v>27</v>
      </c>
      <c r="AF479" s="4">
        <v>11</v>
      </c>
      <c r="AG479" s="4">
        <v>11</v>
      </c>
      <c r="AH479" s="4">
        <v>4</v>
      </c>
      <c r="AI479" s="4">
        <v>4</v>
      </c>
      <c r="AJ479" s="4">
        <v>9</v>
      </c>
      <c r="AK479" s="4">
        <v>9</v>
      </c>
      <c r="AL479" s="4">
        <v>2</v>
      </c>
      <c r="AM479" s="4">
        <v>2</v>
      </c>
      <c r="AN479" s="4">
        <v>6</v>
      </c>
      <c r="AO479" s="4">
        <v>6</v>
      </c>
      <c r="AP479" s="3" t="s">
        <v>58</v>
      </c>
      <c r="AQ479" s="3" t="s">
        <v>58</v>
      </c>
      <c r="AS479" s="6" t="str">
        <f>HYPERLINK("https://creighton-primo.hosted.exlibrisgroup.com/primo-explore/search?tab=default_tab&amp;search_scope=EVERYTHING&amp;vid=01CRU&amp;lang=en_US&amp;offset=0&amp;query=any,contains,991004503769702656","Catalog Record")</f>
        <v>Catalog Record</v>
      </c>
      <c r="AT479" s="6" t="str">
        <f>HYPERLINK("http://www.worldcat.org/oclc/3730089","WorldCat Record")</f>
        <v>WorldCat Record</v>
      </c>
      <c r="AU479" s="3" t="s">
        <v>6467</v>
      </c>
      <c r="AV479" s="3" t="s">
        <v>6468</v>
      </c>
      <c r="AW479" s="3" t="s">
        <v>6469</v>
      </c>
      <c r="AX479" s="3" t="s">
        <v>6469</v>
      </c>
      <c r="AY479" s="3" t="s">
        <v>6470</v>
      </c>
      <c r="AZ479" s="3" t="s">
        <v>74</v>
      </c>
      <c r="BB479" s="3" t="s">
        <v>6471</v>
      </c>
      <c r="BC479" s="3" t="s">
        <v>6472</v>
      </c>
      <c r="BD479" s="3" t="s">
        <v>6473</v>
      </c>
    </row>
    <row r="480" spans="1:56" ht="45.75" customHeight="1" x14ac:dyDescent="0.25">
      <c r="A480" s="7" t="s">
        <v>58</v>
      </c>
      <c r="B480" s="2" t="s">
        <v>6474</v>
      </c>
      <c r="C480" s="2" t="s">
        <v>6475</v>
      </c>
      <c r="D480" s="2" t="s">
        <v>6476</v>
      </c>
      <c r="F480" s="3" t="s">
        <v>58</v>
      </c>
      <c r="G480" s="3" t="s">
        <v>59</v>
      </c>
      <c r="H480" s="3" t="s">
        <v>87</v>
      </c>
      <c r="I480" s="3" t="s">
        <v>58</v>
      </c>
      <c r="J480" s="3" t="s">
        <v>60</v>
      </c>
      <c r="L480" s="2" t="s">
        <v>6477</v>
      </c>
      <c r="M480" s="3" t="s">
        <v>1485</v>
      </c>
      <c r="O480" s="3" t="s">
        <v>65</v>
      </c>
      <c r="P480" s="3" t="s">
        <v>132</v>
      </c>
      <c r="Q480" s="2" t="s">
        <v>6478</v>
      </c>
      <c r="R480" s="3" t="s">
        <v>67</v>
      </c>
      <c r="S480" s="4">
        <v>5</v>
      </c>
      <c r="T480" s="4">
        <v>5</v>
      </c>
      <c r="U480" s="5" t="s">
        <v>6479</v>
      </c>
      <c r="V480" s="5" t="s">
        <v>6479</v>
      </c>
      <c r="W480" s="5" t="s">
        <v>6480</v>
      </c>
      <c r="X480" s="5" t="s">
        <v>6038</v>
      </c>
      <c r="Y480" s="4">
        <v>599</v>
      </c>
      <c r="Z480" s="4">
        <v>506</v>
      </c>
      <c r="AA480" s="4">
        <v>512</v>
      </c>
      <c r="AB480" s="4">
        <v>4</v>
      </c>
      <c r="AC480" s="4">
        <v>4</v>
      </c>
      <c r="AD480" s="4">
        <v>29</v>
      </c>
      <c r="AE480" s="4">
        <v>29</v>
      </c>
      <c r="AF480" s="4">
        <v>7</v>
      </c>
      <c r="AG480" s="4">
        <v>7</v>
      </c>
      <c r="AH480" s="4">
        <v>7</v>
      </c>
      <c r="AI480" s="4">
        <v>7</v>
      </c>
      <c r="AJ480" s="4">
        <v>11</v>
      </c>
      <c r="AK480" s="4">
        <v>11</v>
      </c>
      <c r="AL480" s="4">
        <v>2</v>
      </c>
      <c r="AM480" s="4">
        <v>2</v>
      </c>
      <c r="AN480" s="4">
        <v>9</v>
      </c>
      <c r="AO480" s="4">
        <v>9</v>
      </c>
      <c r="AP480" s="3" t="s">
        <v>58</v>
      </c>
      <c r="AQ480" s="3" t="s">
        <v>87</v>
      </c>
      <c r="AR480" s="6" t="str">
        <f>HYPERLINK("http://catalog.hathitrust.org/Record/000269425","HathiTrust Record")</f>
        <v>HathiTrust Record</v>
      </c>
      <c r="AS480" s="6" t="str">
        <f>HYPERLINK("https://creighton-primo.hosted.exlibrisgroup.com/primo-explore/search?tab=default_tab&amp;search_scope=EVERYTHING&amp;vid=01CRU&amp;lang=en_US&amp;offset=0&amp;query=any,contains,991001764519702656","Catalog Record")</f>
        <v>Catalog Record</v>
      </c>
      <c r="AT480" s="6" t="str">
        <f>HYPERLINK("http://www.worldcat.org/oclc/2511134","WorldCat Record")</f>
        <v>WorldCat Record</v>
      </c>
      <c r="AU480" s="3" t="s">
        <v>6481</v>
      </c>
      <c r="AV480" s="3" t="s">
        <v>6482</v>
      </c>
      <c r="AW480" s="3" t="s">
        <v>6483</v>
      </c>
      <c r="AX480" s="3" t="s">
        <v>6483</v>
      </c>
      <c r="AY480" s="3" t="s">
        <v>6484</v>
      </c>
      <c r="AZ480" s="3" t="s">
        <v>74</v>
      </c>
      <c r="BB480" s="3" t="s">
        <v>6485</v>
      </c>
      <c r="BC480" s="3" t="s">
        <v>6486</v>
      </c>
      <c r="BD480" s="3" t="s">
        <v>6487</v>
      </c>
    </row>
    <row r="481" spans="1:56" ht="45.75" customHeight="1" x14ac:dyDescent="0.25">
      <c r="A481" s="7" t="s">
        <v>58</v>
      </c>
      <c r="B481" s="2" t="s">
        <v>6488</v>
      </c>
      <c r="C481" s="2" t="s">
        <v>6489</v>
      </c>
      <c r="D481" s="2" t="s">
        <v>6490</v>
      </c>
      <c r="F481" s="3" t="s">
        <v>58</v>
      </c>
      <c r="G481" s="3" t="s">
        <v>59</v>
      </c>
      <c r="H481" s="3" t="s">
        <v>58</v>
      </c>
      <c r="I481" s="3" t="s">
        <v>58</v>
      </c>
      <c r="J481" s="3" t="s">
        <v>60</v>
      </c>
      <c r="K481" s="2" t="s">
        <v>6491</v>
      </c>
      <c r="L481" s="2" t="s">
        <v>2374</v>
      </c>
      <c r="M481" s="3" t="s">
        <v>83</v>
      </c>
      <c r="O481" s="3" t="s">
        <v>65</v>
      </c>
      <c r="P481" s="3" t="s">
        <v>84</v>
      </c>
      <c r="R481" s="3" t="s">
        <v>67</v>
      </c>
      <c r="S481" s="4">
        <v>3</v>
      </c>
      <c r="T481" s="4">
        <v>3</v>
      </c>
      <c r="U481" s="5" t="s">
        <v>5927</v>
      </c>
      <c r="V481" s="5" t="s">
        <v>5927</v>
      </c>
      <c r="W481" s="5" t="s">
        <v>6492</v>
      </c>
      <c r="X481" s="5" t="s">
        <v>6492</v>
      </c>
      <c r="Y481" s="4">
        <v>753</v>
      </c>
      <c r="Z481" s="4">
        <v>642</v>
      </c>
      <c r="AA481" s="4">
        <v>648</v>
      </c>
      <c r="AB481" s="4">
        <v>4</v>
      </c>
      <c r="AC481" s="4">
        <v>4</v>
      </c>
      <c r="AD481" s="4">
        <v>34</v>
      </c>
      <c r="AE481" s="4">
        <v>34</v>
      </c>
      <c r="AF481" s="4">
        <v>8</v>
      </c>
      <c r="AG481" s="4">
        <v>8</v>
      </c>
      <c r="AH481" s="4">
        <v>5</v>
      </c>
      <c r="AI481" s="4">
        <v>5</v>
      </c>
      <c r="AJ481" s="4">
        <v>13</v>
      </c>
      <c r="AK481" s="4">
        <v>13</v>
      </c>
      <c r="AL481" s="4">
        <v>3</v>
      </c>
      <c r="AM481" s="4">
        <v>3</v>
      </c>
      <c r="AN481" s="4">
        <v>9</v>
      </c>
      <c r="AO481" s="4">
        <v>9</v>
      </c>
      <c r="AP481" s="3" t="s">
        <v>58</v>
      </c>
      <c r="AQ481" s="3" t="s">
        <v>58</v>
      </c>
      <c r="AS481" s="6" t="str">
        <f>HYPERLINK("https://creighton-primo.hosted.exlibrisgroup.com/primo-explore/search?tab=default_tab&amp;search_scope=EVERYTHING&amp;vid=01CRU&amp;lang=en_US&amp;offset=0&amp;query=any,contains,991000718589702656","Catalog Record")</f>
        <v>Catalog Record</v>
      </c>
      <c r="AT481" s="6" t="str">
        <f>HYPERLINK("http://www.worldcat.org/oclc/12663840","WorldCat Record")</f>
        <v>WorldCat Record</v>
      </c>
      <c r="AU481" s="3" t="s">
        <v>6493</v>
      </c>
      <c r="AV481" s="3" t="s">
        <v>6494</v>
      </c>
      <c r="AW481" s="3" t="s">
        <v>6495</v>
      </c>
      <c r="AX481" s="3" t="s">
        <v>6495</v>
      </c>
      <c r="AY481" s="3" t="s">
        <v>6496</v>
      </c>
      <c r="AZ481" s="3" t="s">
        <v>74</v>
      </c>
      <c r="BB481" s="3" t="s">
        <v>6497</v>
      </c>
      <c r="BC481" s="3" t="s">
        <v>6498</v>
      </c>
      <c r="BD481" s="3" t="s">
        <v>6499</v>
      </c>
    </row>
    <row r="482" spans="1:56" ht="45.75" customHeight="1" x14ac:dyDescent="0.25">
      <c r="A482" s="7" t="s">
        <v>58</v>
      </c>
      <c r="B482" s="2" t="s">
        <v>6500</v>
      </c>
      <c r="C482" s="2" t="s">
        <v>6501</v>
      </c>
      <c r="D482" s="2" t="s">
        <v>6502</v>
      </c>
      <c r="F482" s="3" t="s">
        <v>58</v>
      </c>
      <c r="G482" s="3" t="s">
        <v>59</v>
      </c>
      <c r="H482" s="3" t="s">
        <v>58</v>
      </c>
      <c r="I482" s="3" t="s">
        <v>58</v>
      </c>
      <c r="J482" s="3" t="s">
        <v>60</v>
      </c>
      <c r="K482" s="2" t="s">
        <v>6503</v>
      </c>
      <c r="L482" s="2" t="s">
        <v>6504</v>
      </c>
      <c r="M482" s="3" t="s">
        <v>1032</v>
      </c>
      <c r="O482" s="3" t="s">
        <v>65</v>
      </c>
      <c r="P482" s="3" t="s">
        <v>84</v>
      </c>
      <c r="Q482" s="2" t="s">
        <v>6505</v>
      </c>
      <c r="R482" s="3" t="s">
        <v>67</v>
      </c>
      <c r="S482" s="4">
        <v>6</v>
      </c>
      <c r="T482" s="4">
        <v>6</v>
      </c>
      <c r="U482" s="5" t="s">
        <v>1486</v>
      </c>
      <c r="V482" s="5" t="s">
        <v>1486</v>
      </c>
      <c r="W482" s="5" t="s">
        <v>3890</v>
      </c>
      <c r="X482" s="5" t="s">
        <v>3890</v>
      </c>
      <c r="Y482" s="4">
        <v>752</v>
      </c>
      <c r="Z482" s="4">
        <v>666</v>
      </c>
      <c r="AA482" s="4">
        <v>686</v>
      </c>
      <c r="AB482" s="4">
        <v>8</v>
      </c>
      <c r="AC482" s="4">
        <v>8</v>
      </c>
      <c r="AD482" s="4">
        <v>46</v>
      </c>
      <c r="AE482" s="4">
        <v>46</v>
      </c>
      <c r="AF482" s="4">
        <v>17</v>
      </c>
      <c r="AG482" s="4">
        <v>17</v>
      </c>
      <c r="AH482" s="4">
        <v>9</v>
      </c>
      <c r="AI482" s="4">
        <v>9</v>
      </c>
      <c r="AJ482" s="4">
        <v>16</v>
      </c>
      <c r="AK482" s="4">
        <v>16</v>
      </c>
      <c r="AL482" s="4">
        <v>7</v>
      </c>
      <c r="AM482" s="4">
        <v>7</v>
      </c>
      <c r="AN482" s="4">
        <v>6</v>
      </c>
      <c r="AO482" s="4">
        <v>6</v>
      </c>
      <c r="AP482" s="3" t="s">
        <v>58</v>
      </c>
      <c r="AQ482" s="3" t="s">
        <v>58</v>
      </c>
      <c r="AS482" s="6" t="str">
        <f>HYPERLINK("https://creighton-primo.hosted.exlibrisgroup.com/primo-explore/search?tab=default_tab&amp;search_scope=EVERYTHING&amp;vid=01CRU&amp;lang=en_US&amp;offset=0&amp;query=any,contains,991002782829702656","Catalog Record")</f>
        <v>Catalog Record</v>
      </c>
      <c r="AT482" s="6" t="str">
        <f>HYPERLINK("http://www.worldcat.org/oclc/36543408","WorldCat Record")</f>
        <v>WorldCat Record</v>
      </c>
      <c r="AU482" s="3" t="s">
        <v>6506</v>
      </c>
      <c r="AV482" s="3" t="s">
        <v>6507</v>
      </c>
      <c r="AW482" s="3" t="s">
        <v>6508</v>
      </c>
      <c r="AX482" s="3" t="s">
        <v>6508</v>
      </c>
      <c r="AY482" s="3" t="s">
        <v>6509</v>
      </c>
      <c r="AZ482" s="3" t="s">
        <v>74</v>
      </c>
      <c r="BB482" s="3" t="s">
        <v>6510</v>
      </c>
      <c r="BC482" s="3" t="s">
        <v>6511</v>
      </c>
      <c r="BD482" s="3" t="s">
        <v>6512</v>
      </c>
    </row>
    <row r="483" spans="1:56" ht="45.75" customHeight="1" x14ac:dyDescent="0.25">
      <c r="A483" s="7" t="s">
        <v>58</v>
      </c>
      <c r="B483" s="2" t="s">
        <v>6513</v>
      </c>
      <c r="C483" s="2" t="s">
        <v>6514</v>
      </c>
      <c r="D483" s="2" t="s">
        <v>6515</v>
      </c>
      <c r="F483" s="3" t="s">
        <v>58</v>
      </c>
      <c r="G483" s="3" t="s">
        <v>59</v>
      </c>
      <c r="H483" s="3" t="s">
        <v>58</v>
      </c>
      <c r="I483" s="3" t="s">
        <v>58</v>
      </c>
      <c r="J483" s="3" t="s">
        <v>60</v>
      </c>
      <c r="K483" s="2" t="s">
        <v>6516</v>
      </c>
      <c r="L483" s="2" t="s">
        <v>892</v>
      </c>
      <c r="M483" s="3" t="s">
        <v>528</v>
      </c>
      <c r="O483" s="3" t="s">
        <v>65</v>
      </c>
      <c r="P483" s="3" t="s">
        <v>132</v>
      </c>
      <c r="R483" s="3" t="s">
        <v>67</v>
      </c>
      <c r="S483" s="4">
        <v>2</v>
      </c>
      <c r="T483" s="4">
        <v>2</v>
      </c>
      <c r="U483" s="5" t="s">
        <v>6399</v>
      </c>
      <c r="V483" s="5" t="s">
        <v>6399</v>
      </c>
      <c r="W483" s="5" t="s">
        <v>6517</v>
      </c>
      <c r="X483" s="5" t="s">
        <v>6517</v>
      </c>
      <c r="Y483" s="4">
        <v>473</v>
      </c>
      <c r="Z483" s="4">
        <v>393</v>
      </c>
      <c r="AA483" s="4">
        <v>401</v>
      </c>
      <c r="AB483" s="4">
        <v>4</v>
      </c>
      <c r="AC483" s="4">
        <v>4</v>
      </c>
      <c r="AD483" s="4">
        <v>25</v>
      </c>
      <c r="AE483" s="4">
        <v>25</v>
      </c>
      <c r="AF483" s="4">
        <v>9</v>
      </c>
      <c r="AG483" s="4">
        <v>9</v>
      </c>
      <c r="AH483" s="4">
        <v>5</v>
      </c>
      <c r="AI483" s="4">
        <v>5</v>
      </c>
      <c r="AJ483" s="4">
        <v>13</v>
      </c>
      <c r="AK483" s="4">
        <v>13</v>
      </c>
      <c r="AL483" s="4">
        <v>3</v>
      </c>
      <c r="AM483" s="4">
        <v>3</v>
      </c>
      <c r="AN483" s="4">
        <v>2</v>
      </c>
      <c r="AO483" s="4">
        <v>2</v>
      </c>
      <c r="AP483" s="3" t="s">
        <v>58</v>
      </c>
      <c r="AQ483" s="3" t="s">
        <v>87</v>
      </c>
      <c r="AR483" s="6" t="str">
        <f>HYPERLINK("http://catalog.hathitrust.org/Record/002063218","HathiTrust Record")</f>
        <v>HathiTrust Record</v>
      </c>
      <c r="AS483" s="6" t="str">
        <f>HYPERLINK("https://creighton-primo.hosted.exlibrisgroup.com/primo-explore/search?tab=default_tab&amp;search_scope=EVERYTHING&amp;vid=01CRU&amp;lang=en_US&amp;offset=0&amp;query=any,contains,991001717069702656","Catalog Record")</f>
        <v>Catalog Record</v>
      </c>
      <c r="AT483" s="6" t="str">
        <f>HYPERLINK("http://www.worldcat.org/oclc/21682686","WorldCat Record")</f>
        <v>WorldCat Record</v>
      </c>
      <c r="AU483" s="3" t="s">
        <v>6518</v>
      </c>
      <c r="AV483" s="3" t="s">
        <v>6519</v>
      </c>
      <c r="AW483" s="3" t="s">
        <v>6520</v>
      </c>
      <c r="AX483" s="3" t="s">
        <v>6520</v>
      </c>
      <c r="AY483" s="3" t="s">
        <v>6521</v>
      </c>
      <c r="AZ483" s="3" t="s">
        <v>74</v>
      </c>
      <c r="BB483" s="3" t="s">
        <v>6522</v>
      </c>
      <c r="BC483" s="3" t="s">
        <v>6523</v>
      </c>
      <c r="BD483" s="3" t="s">
        <v>6524</v>
      </c>
    </row>
    <row r="484" spans="1:56" ht="45.75" customHeight="1" x14ac:dyDescent="0.25">
      <c r="A484" s="7" t="s">
        <v>58</v>
      </c>
      <c r="B484" s="2" t="s">
        <v>6525</v>
      </c>
      <c r="C484" s="2" t="s">
        <v>6526</v>
      </c>
      <c r="D484" s="2" t="s">
        <v>6527</v>
      </c>
      <c r="F484" s="3" t="s">
        <v>58</v>
      </c>
      <c r="G484" s="3" t="s">
        <v>59</v>
      </c>
      <c r="H484" s="3" t="s">
        <v>58</v>
      </c>
      <c r="I484" s="3" t="s">
        <v>58</v>
      </c>
      <c r="J484" s="3" t="s">
        <v>60</v>
      </c>
      <c r="K484" s="2" t="s">
        <v>6528</v>
      </c>
      <c r="L484" s="2" t="s">
        <v>6529</v>
      </c>
      <c r="M484" s="3" t="s">
        <v>307</v>
      </c>
      <c r="O484" s="3" t="s">
        <v>65</v>
      </c>
      <c r="P484" s="3" t="s">
        <v>84</v>
      </c>
      <c r="Q484" s="2" t="s">
        <v>6505</v>
      </c>
      <c r="R484" s="3" t="s">
        <v>67</v>
      </c>
      <c r="S484" s="4">
        <v>2</v>
      </c>
      <c r="T484" s="4">
        <v>2</v>
      </c>
      <c r="U484" s="5" t="s">
        <v>6399</v>
      </c>
      <c r="V484" s="5" t="s">
        <v>6399</v>
      </c>
      <c r="W484" s="5" t="s">
        <v>6530</v>
      </c>
      <c r="X484" s="5" t="s">
        <v>6530</v>
      </c>
      <c r="Y484" s="4">
        <v>636</v>
      </c>
      <c r="Z484" s="4">
        <v>567</v>
      </c>
      <c r="AA484" s="4">
        <v>571</v>
      </c>
      <c r="AB484" s="4">
        <v>6</v>
      </c>
      <c r="AC484" s="4">
        <v>6</v>
      </c>
      <c r="AD484" s="4">
        <v>42</v>
      </c>
      <c r="AE484" s="4">
        <v>42</v>
      </c>
      <c r="AF484" s="4">
        <v>18</v>
      </c>
      <c r="AG484" s="4">
        <v>18</v>
      </c>
      <c r="AH484" s="4">
        <v>7</v>
      </c>
      <c r="AI484" s="4">
        <v>7</v>
      </c>
      <c r="AJ484" s="4">
        <v>17</v>
      </c>
      <c r="AK484" s="4">
        <v>17</v>
      </c>
      <c r="AL484" s="4">
        <v>5</v>
      </c>
      <c r="AM484" s="4">
        <v>5</v>
      </c>
      <c r="AN484" s="4">
        <v>5</v>
      </c>
      <c r="AO484" s="4">
        <v>5</v>
      </c>
      <c r="AP484" s="3" t="s">
        <v>58</v>
      </c>
      <c r="AQ484" s="3" t="s">
        <v>58</v>
      </c>
      <c r="AS484" s="6" t="str">
        <f>HYPERLINK("https://creighton-primo.hosted.exlibrisgroup.com/primo-explore/search?tab=default_tab&amp;search_scope=EVERYTHING&amp;vid=01CRU&amp;lang=en_US&amp;offset=0&amp;query=any,contains,991002465799702656","Catalog Record")</f>
        <v>Catalog Record</v>
      </c>
      <c r="AT484" s="6" t="str">
        <f>HYPERLINK("http://www.worldcat.org/oclc/32131656","WorldCat Record")</f>
        <v>WorldCat Record</v>
      </c>
      <c r="AU484" s="3" t="s">
        <v>6531</v>
      </c>
      <c r="AV484" s="3" t="s">
        <v>6532</v>
      </c>
      <c r="AW484" s="3" t="s">
        <v>6533</v>
      </c>
      <c r="AX484" s="3" t="s">
        <v>6533</v>
      </c>
      <c r="AY484" s="3" t="s">
        <v>6534</v>
      </c>
      <c r="AZ484" s="3" t="s">
        <v>74</v>
      </c>
      <c r="BB484" s="3" t="s">
        <v>6535</v>
      </c>
      <c r="BC484" s="3" t="s">
        <v>6536</v>
      </c>
      <c r="BD484" s="3" t="s">
        <v>6537</v>
      </c>
    </row>
    <row r="485" spans="1:56" ht="45.75" customHeight="1" x14ac:dyDescent="0.25">
      <c r="A485" s="7" t="s">
        <v>58</v>
      </c>
      <c r="B485" s="2" t="s">
        <v>6538</v>
      </c>
      <c r="C485" s="2" t="s">
        <v>6539</v>
      </c>
      <c r="D485" s="2" t="s">
        <v>6540</v>
      </c>
      <c r="F485" s="3" t="s">
        <v>58</v>
      </c>
      <c r="G485" s="3" t="s">
        <v>59</v>
      </c>
      <c r="H485" s="3" t="s">
        <v>58</v>
      </c>
      <c r="I485" s="3" t="s">
        <v>58</v>
      </c>
      <c r="J485" s="3" t="s">
        <v>60</v>
      </c>
      <c r="K485" s="2" t="s">
        <v>6541</v>
      </c>
      <c r="L485" s="2" t="s">
        <v>6542</v>
      </c>
      <c r="M485" s="3" t="s">
        <v>800</v>
      </c>
      <c r="O485" s="3" t="s">
        <v>65</v>
      </c>
      <c r="P485" s="3" t="s">
        <v>175</v>
      </c>
      <c r="R485" s="3" t="s">
        <v>67</v>
      </c>
      <c r="S485" s="4">
        <v>12</v>
      </c>
      <c r="T485" s="4">
        <v>12</v>
      </c>
      <c r="U485" s="5" t="s">
        <v>6543</v>
      </c>
      <c r="V485" s="5" t="s">
        <v>6543</v>
      </c>
      <c r="W485" s="5" t="s">
        <v>6544</v>
      </c>
      <c r="X485" s="5" t="s">
        <v>6544</v>
      </c>
      <c r="Y485" s="4">
        <v>281</v>
      </c>
      <c r="Z485" s="4">
        <v>198</v>
      </c>
      <c r="AA485" s="4">
        <v>241</v>
      </c>
      <c r="AB485" s="4">
        <v>2</v>
      </c>
      <c r="AC485" s="4">
        <v>2</v>
      </c>
      <c r="AD485" s="4">
        <v>13</v>
      </c>
      <c r="AE485" s="4">
        <v>18</v>
      </c>
      <c r="AF485" s="4">
        <v>3</v>
      </c>
      <c r="AG485" s="4">
        <v>7</v>
      </c>
      <c r="AH485" s="4">
        <v>3</v>
      </c>
      <c r="AI485" s="4">
        <v>4</v>
      </c>
      <c r="AJ485" s="4">
        <v>8</v>
      </c>
      <c r="AK485" s="4">
        <v>9</v>
      </c>
      <c r="AL485" s="4">
        <v>1</v>
      </c>
      <c r="AM485" s="4">
        <v>1</v>
      </c>
      <c r="AN485" s="4">
        <v>1</v>
      </c>
      <c r="AO485" s="4">
        <v>1</v>
      </c>
      <c r="AP485" s="3" t="s">
        <v>58</v>
      </c>
      <c r="AQ485" s="3" t="s">
        <v>58</v>
      </c>
      <c r="AS485" s="6" t="str">
        <f>HYPERLINK("https://creighton-primo.hosted.exlibrisgroup.com/primo-explore/search?tab=default_tab&amp;search_scope=EVERYTHING&amp;vid=01CRU&amp;lang=en_US&amp;offset=0&amp;query=any,contains,991002098269702656","Catalog Record")</f>
        <v>Catalog Record</v>
      </c>
      <c r="AT485" s="6" t="str">
        <f>HYPERLINK("http://www.worldcat.org/oclc/26929542","WorldCat Record")</f>
        <v>WorldCat Record</v>
      </c>
      <c r="AU485" s="3" t="s">
        <v>6545</v>
      </c>
      <c r="AV485" s="3" t="s">
        <v>6546</v>
      </c>
      <c r="AW485" s="3" t="s">
        <v>6547</v>
      </c>
      <c r="AX485" s="3" t="s">
        <v>6547</v>
      </c>
      <c r="AY485" s="3" t="s">
        <v>6548</v>
      </c>
      <c r="AZ485" s="3" t="s">
        <v>74</v>
      </c>
      <c r="BB485" s="3" t="s">
        <v>6549</v>
      </c>
      <c r="BC485" s="3" t="s">
        <v>6550</v>
      </c>
      <c r="BD485" s="3" t="s">
        <v>6551</v>
      </c>
    </row>
    <row r="486" spans="1:56" ht="45.75" customHeight="1" x14ac:dyDescent="0.25">
      <c r="A486" s="7" t="s">
        <v>58</v>
      </c>
      <c r="B486" s="2" t="s">
        <v>6552</v>
      </c>
      <c r="C486" s="2" t="s">
        <v>6553</v>
      </c>
      <c r="D486" s="2" t="s">
        <v>6554</v>
      </c>
      <c r="F486" s="3" t="s">
        <v>58</v>
      </c>
      <c r="G486" s="3" t="s">
        <v>59</v>
      </c>
      <c r="H486" s="3" t="s">
        <v>58</v>
      </c>
      <c r="I486" s="3" t="s">
        <v>58</v>
      </c>
      <c r="J486" s="3" t="s">
        <v>60</v>
      </c>
      <c r="K486" s="2" t="s">
        <v>6555</v>
      </c>
      <c r="L486" s="2" t="s">
        <v>6556</v>
      </c>
      <c r="M486" s="3" t="s">
        <v>867</v>
      </c>
      <c r="O486" s="3" t="s">
        <v>65</v>
      </c>
      <c r="P486" s="3" t="s">
        <v>175</v>
      </c>
      <c r="R486" s="3" t="s">
        <v>67</v>
      </c>
      <c r="S486" s="4">
        <v>5</v>
      </c>
      <c r="T486" s="4">
        <v>5</v>
      </c>
      <c r="U486" s="5" t="s">
        <v>3654</v>
      </c>
      <c r="V486" s="5" t="s">
        <v>3654</v>
      </c>
      <c r="W486" s="5" t="s">
        <v>6557</v>
      </c>
      <c r="X486" s="5" t="s">
        <v>6557</v>
      </c>
      <c r="Y486" s="4">
        <v>380</v>
      </c>
      <c r="Z486" s="4">
        <v>223</v>
      </c>
      <c r="AA486" s="4">
        <v>228</v>
      </c>
      <c r="AB486" s="4">
        <v>2</v>
      </c>
      <c r="AC486" s="4">
        <v>2</v>
      </c>
      <c r="AD486" s="4">
        <v>19</v>
      </c>
      <c r="AE486" s="4">
        <v>19</v>
      </c>
      <c r="AF486" s="4">
        <v>5</v>
      </c>
      <c r="AG486" s="4">
        <v>5</v>
      </c>
      <c r="AH486" s="4">
        <v>2</v>
      </c>
      <c r="AI486" s="4">
        <v>2</v>
      </c>
      <c r="AJ486" s="4">
        <v>8</v>
      </c>
      <c r="AK486" s="4">
        <v>8</v>
      </c>
      <c r="AL486" s="4">
        <v>1</v>
      </c>
      <c r="AM486" s="4">
        <v>1</v>
      </c>
      <c r="AN486" s="4">
        <v>7</v>
      </c>
      <c r="AO486" s="4">
        <v>7</v>
      </c>
      <c r="AP486" s="3" t="s">
        <v>58</v>
      </c>
      <c r="AQ486" s="3" t="s">
        <v>58</v>
      </c>
      <c r="AS486" s="6" t="str">
        <f>HYPERLINK("https://creighton-primo.hosted.exlibrisgroup.com/primo-explore/search?tab=default_tab&amp;search_scope=EVERYTHING&amp;vid=01CRU&amp;lang=en_US&amp;offset=0&amp;query=any,contains,991001933999702656","Catalog Record")</f>
        <v>Catalog Record</v>
      </c>
      <c r="AT486" s="6" t="str">
        <f>HYPERLINK("http://www.worldcat.org/oclc/24429937","WorldCat Record")</f>
        <v>WorldCat Record</v>
      </c>
      <c r="AU486" s="3" t="s">
        <v>6558</v>
      </c>
      <c r="AV486" s="3" t="s">
        <v>6559</v>
      </c>
      <c r="AW486" s="3" t="s">
        <v>6560</v>
      </c>
      <c r="AX486" s="3" t="s">
        <v>6560</v>
      </c>
      <c r="AY486" s="3" t="s">
        <v>6561</v>
      </c>
      <c r="AZ486" s="3" t="s">
        <v>74</v>
      </c>
      <c r="BB486" s="3" t="s">
        <v>6562</v>
      </c>
      <c r="BC486" s="3" t="s">
        <v>6563</v>
      </c>
      <c r="BD486" s="3" t="s">
        <v>6564</v>
      </c>
    </row>
    <row r="487" spans="1:56" ht="45.75" customHeight="1" x14ac:dyDescent="0.25">
      <c r="A487" s="7" t="s">
        <v>58</v>
      </c>
      <c r="B487" s="2" t="s">
        <v>6565</v>
      </c>
      <c r="C487" s="2" t="s">
        <v>6566</v>
      </c>
      <c r="D487" s="2" t="s">
        <v>6567</v>
      </c>
      <c r="F487" s="3" t="s">
        <v>58</v>
      </c>
      <c r="G487" s="3" t="s">
        <v>59</v>
      </c>
      <c r="H487" s="3" t="s">
        <v>58</v>
      </c>
      <c r="I487" s="3" t="s">
        <v>58</v>
      </c>
      <c r="J487" s="3" t="s">
        <v>60</v>
      </c>
      <c r="K487" s="2" t="s">
        <v>6568</v>
      </c>
      <c r="L487" s="2" t="s">
        <v>6569</v>
      </c>
      <c r="M487" s="3" t="s">
        <v>189</v>
      </c>
      <c r="O487" s="3" t="s">
        <v>65</v>
      </c>
      <c r="P487" s="3" t="s">
        <v>84</v>
      </c>
      <c r="R487" s="3" t="s">
        <v>67</v>
      </c>
      <c r="S487" s="4">
        <v>3</v>
      </c>
      <c r="T487" s="4">
        <v>3</v>
      </c>
      <c r="U487" s="5" t="s">
        <v>6570</v>
      </c>
      <c r="V487" s="5" t="s">
        <v>6570</v>
      </c>
      <c r="W487" s="5" t="s">
        <v>6571</v>
      </c>
      <c r="X487" s="5" t="s">
        <v>6571</v>
      </c>
      <c r="Y487" s="4">
        <v>919</v>
      </c>
      <c r="Z487" s="4">
        <v>878</v>
      </c>
      <c r="AA487" s="4">
        <v>1015</v>
      </c>
      <c r="AB487" s="4">
        <v>15</v>
      </c>
      <c r="AC487" s="4">
        <v>16</v>
      </c>
      <c r="AD487" s="4">
        <v>12</v>
      </c>
      <c r="AE487" s="4">
        <v>14</v>
      </c>
      <c r="AF487" s="4">
        <v>4</v>
      </c>
      <c r="AG487" s="4">
        <v>5</v>
      </c>
      <c r="AH487" s="4">
        <v>2</v>
      </c>
      <c r="AI487" s="4">
        <v>2</v>
      </c>
      <c r="AJ487" s="4">
        <v>4</v>
      </c>
      <c r="AK487" s="4">
        <v>5</v>
      </c>
      <c r="AL487" s="4">
        <v>4</v>
      </c>
      <c r="AM487" s="4">
        <v>4</v>
      </c>
      <c r="AN487" s="4">
        <v>1</v>
      </c>
      <c r="AO487" s="4">
        <v>1</v>
      </c>
      <c r="AP487" s="3" t="s">
        <v>58</v>
      </c>
      <c r="AQ487" s="3" t="s">
        <v>58</v>
      </c>
      <c r="AS487" s="6" t="str">
        <f>HYPERLINK("https://creighton-primo.hosted.exlibrisgroup.com/primo-explore/search?tab=default_tab&amp;search_scope=EVERYTHING&amp;vid=01CRU&amp;lang=en_US&amp;offset=0&amp;query=any,contains,991005334409702656","Catalog Record")</f>
        <v>Catalog Record</v>
      </c>
      <c r="AT487" s="6" t="str">
        <f>HYPERLINK("http://www.worldcat.org/oclc/268795387","WorldCat Record")</f>
        <v>WorldCat Record</v>
      </c>
      <c r="AU487" s="3" t="s">
        <v>6572</v>
      </c>
      <c r="AV487" s="3" t="s">
        <v>6573</v>
      </c>
      <c r="AW487" s="3" t="s">
        <v>6574</v>
      </c>
      <c r="AX487" s="3" t="s">
        <v>6574</v>
      </c>
      <c r="AY487" s="3" t="s">
        <v>6575</v>
      </c>
      <c r="AZ487" s="3" t="s">
        <v>74</v>
      </c>
      <c r="BB487" s="3" t="s">
        <v>6576</v>
      </c>
      <c r="BC487" s="3" t="s">
        <v>6577</v>
      </c>
      <c r="BD487" s="3" t="s">
        <v>6578</v>
      </c>
    </row>
    <row r="488" spans="1:56" ht="45.75" customHeight="1" x14ac:dyDescent="0.25">
      <c r="A488" s="7" t="s">
        <v>58</v>
      </c>
      <c r="B488" s="2" t="s">
        <v>6579</v>
      </c>
      <c r="C488" s="2" t="s">
        <v>6580</v>
      </c>
      <c r="D488" s="2" t="s">
        <v>6581</v>
      </c>
      <c r="F488" s="3" t="s">
        <v>58</v>
      </c>
      <c r="G488" s="3" t="s">
        <v>59</v>
      </c>
      <c r="H488" s="3" t="s">
        <v>58</v>
      </c>
      <c r="I488" s="3" t="s">
        <v>58</v>
      </c>
      <c r="J488" s="3" t="s">
        <v>60</v>
      </c>
      <c r="L488" s="2" t="s">
        <v>4001</v>
      </c>
      <c r="M488" s="3" t="s">
        <v>116</v>
      </c>
      <c r="O488" s="3" t="s">
        <v>65</v>
      </c>
      <c r="P488" s="3" t="s">
        <v>84</v>
      </c>
      <c r="R488" s="3" t="s">
        <v>67</v>
      </c>
      <c r="S488" s="4">
        <v>4</v>
      </c>
      <c r="T488" s="4">
        <v>4</v>
      </c>
      <c r="U488" s="5" t="s">
        <v>6281</v>
      </c>
      <c r="V488" s="5" t="s">
        <v>6281</v>
      </c>
      <c r="W488" s="5" t="s">
        <v>6582</v>
      </c>
      <c r="X488" s="5" t="s">
        <v>6582</v>
      </c>
      <c r="Y488" s="4">
        <v>226</v>
      </c>
      <c r="Z488" s="4">
        <v>189</v>
      </c>
      <c r="AA488" s="4">
        <v>240</v>
      </c>
      <c r="AB488" s="4">
        <v>2</v>
      </c>
      <c r="AC488" s="4">
        <v>2</v>
      </c>
      <c r="AD488" s="4">
        <v>11</v>
      </c>
      <c r="AE488" s="4">
        <v>12</v>
      </c>
      <c r="AF488" s="4">
        <v>3</v>
      </c>
      <c r="AG488" s="4">
        <v>4</v>
      </c>
      <c r="AH488" s="4">
        <v>3</v>
      </c>
      <c r="AI488" s="4">
        <v>3</v>
      </c>
      <c r="AJ488" s="4">
        <v>6</v>
      </c>
      <c r="AK488" s="4">
        <v>6</v>
      </c>
      <c r="AL488" s="4">
        <v>1</v>
      </c>
      <c r="AM488" s="4">
        <v>1</v>
      </c>
      <c r="AN488" s="4">
        <v>1</v>
      </c>
      <c r="AO488" s="4">
        <v>1</v>
      </c>
      <c r="AP488" s="3" t="s">
        <v>58</v>
      </c>
      <c r="AQ488" s="3" t="s">
        <v>58</v>
      </c>
      <c r="AS488" s="6" t="str">
        <f>HYPERLINK("https://creighton-primo.hosted.exlibrisgroup.com/primo-explore/search?tab=default_tab&amp;search_scope=EVERYTHING&amp;vid=01CRU&amp;lang=en_US&amp;offset=0&amp;query=any,contains,991003453449702656","Catalog Record")</f>
        <v>Catalog Record</v>
      </c>
      <c r="AT488" s="6" t="str">
        <f>HYPERLINK("http://www.worldcat.org/oclc/39627641","WorldCat Record")</f>
        <v>WorldCat Record</v>
      </c>
      <c r="AU488" s="3" t="s">
        <v>6583</v>
      </c>
      <c r="AV488" s="3" t="s">
        <v>6584</v>
      </c>
      <c r="AW488" s="3" t="s">
        <v>6585</v>
      </c>
      <c r="AX488" s="3" t="s">
        <v>6585</v>
      </c>
      <c r="AY488" s="3" t="s">
        <v>6586</v>
      </c>
      <c r="AZ488" s="3" t="s">
        <v>74</v>
      </c>
      <c r="BB488" s="3" t="s">
        <v>6587</v>
      </c>
      <c r="BC488" s="3" t="s">
        <v>6588</v>
      </c>
      <c r="BD488" s="3" t="s">
        <v>6589</v>
      </c>
    </row>
    <row r="489" spans="1:56" ht="45.75" customHeight="1" x14ac:dyDescent="0.25">
      <c r="A489" s="7" t="s">
        <v>58</v>
      </c>
      <c r="B489" s="2" t="s">
        <v>6590</v>
      </c>
      <c r="C489" s="2" t="s">
        <v>6591</v>
      </c>
      <c r="D489" s="2" t="s">
        <v>6592</v>
      </c>
      <c r="F489" s="3" t="s">
        <v>58</v>
      </c>
      <c r="G489" s="3" t="s">
        <v>59</v>
      </c>
      <c r="H489" s="3" t="s">
        <v>58</v>
      </c>
      <c r="I489" s="3" t="s">
        <v>58</v>
      </c>
      <c r="J489" s="3" t="s">
        <v>60</v>
      </c>
      <c r="K489" s="2" t="s">
        <v>6593</v>
      </c>
      <c r="L489" s="2" t="s">
        <v>6594</v>
      </c>
      <c r="M489" s="3" t="s">
        <v>335</v>
      </c>
      <c r="O489" s="3" t="s">
        <v>5719</v>
      </c>
      <c r="P489" s="3" t="s">
        <v>6595</v>
      </c>
      <c r="Q489" s="2" t="s">
        <v>6596</v>
      </c>
      <c r="R489" s="3" t="s">
        <v>67</v>
      </c>
      <c r="S489" s="4">
        <v>1</v>
      </c>
      <c r="T489" s="4">
        <v>1</v>
      </c>
      <c r="U489" s="5" t="s">
        <v>6597</v>
      </c>
      <c r="V489" s="5" t="s">
        <v>6597</v>
      </c>
      <c r="W489" s="5" t="s">
        <v>6597</v>
      </c>
      <c r="X489" s="5" t="s">
        <v>6597</v>
      </c>
      <c r="Y489" s="4">
        <v>12</v>
      </c>
      <c r="Z489" s="4">
        <v>7</v>
      </c>
      <c r="AA489" s="4">
        <v>9</v>
      </c>
      <c r="AB489" s="4">
        <v>1</v>
      </c>
      <c r="AC489" s="4">
        <v>1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3" t="s">
        <v>58</v>
      </c>
      <c r="AQ489" s="3" t="s">
        <v>58</v>
      </c>
      <c r="AS489" s="6" t="str">
        <f>HYPERLINK("https://creighton-primo.hosted.exlibrisgroup.com/primo-explore/search?tab=default_tab&amp;search_scope=EVERYTHING&amp;vid=01CRU&amp;lang=en_US&amp;offset=0&amp;query=any,contains,991005392889702656","Catalog Record")</f>
        <v>Catalog Record</v>
      </c>
      <c r="AT489" s="6" t="str">
        <f>HYPERLINK("http://www.worldcat.org/oclc/515403125","WorldCat Record")</f>
        <v>WorldCat Record</v>
      </c>
      <c r="AU489" s="3" t="s">
        <v>6598</v>
      </c>
      <c r="AV489" s="3" t="s">
        <v>6599</v>
      </c>
      <c r="AW489" s="3" t="s">
        <v>6600</v>
      </c>
      <c r="AX489" s="3" t="s">
        <v>6600</v>
      </c>
      <c r="AY489" s="3" t="s">
        <v>6601</v>
      </c>
      <c r="AZ489" s="3" t="s">
        <v>74</v>
      </c>
      <c r="BB489" s="3" t="s">
        <v>6602</v>
      </c>
      <c r="BC489" s="3" t="s">
        <v>6603</v>
      </c>
      <c r="BD489" s="3" t="s">
        <v>6604</v>
      </c>
    </row>
    <row r="490" spans="1:56" ht="45.75" customHeight="1" x14ac:dyDescent="0.25">
      <c r="A490" s="7" t="s">
        <v>58</v>
      </c>
      <c r="B490" s="2" t="s">
        <v>6605</v>
      </c>
      <c r="C490" s="2" t="s">
        <v>6606</v>
      </c>
      <c r="D490" s="2" t="s">
        <v>6607</v>
      </c>
      <c r="F490" s="3" t="s">
        <v>58</v>
      </c>
      <c r="G490" s="3" t="s">
        <v>59</v>
      </c>
      <c r="H490" s="3" t="s">
        <v>58</v>
      </c>
      <c r="I490" s="3" t="s">
        <v>58</v>
      </c>
      <c r="J490" s="3" t="s">
        <v>60</v>
      </c>
      <c r="L490" s="2" t="s">
        <v>6608</v>
      </c>
      <c r="M490" s="3" t="s">
        <v>131</v>
      </c>
      <c r="O490" s="3" t="s">
        <v>65</v>
      </c>
      <c r="P490" s="3" t="s">
        <v>148</v>
      </c>
      <c r="R490" s="3" t="s">
        <v>67</v>
      </c>
      <c r="S490" s="4">
        <v>2</v>
      </c>
      <c r="T490" s="4">
        <v>2</v>
      </c>
      <c r="U490" s="5" t="s">
        <v>6609</v>
      </c>
      <c r="V490" s="5" t="s">
        <v>6609</v>
      </c>
      <c r="W490" s="5" t="s">
        <v>6609</v>
      </c>
      <c r="X490" s="5" t="s">
        <v>6609</v>
      </c>
      <c r="Y490" s="4">
        <v>580</v>
      </c>
      <c r="Z490" s="4">
        <v>519</v>
      </c>
      <c r="AA490" s="4">
        <v>672</v>
      </c>
      <c r="AB490" s="4">
        <v>3</v>
      </c>
      <c r="AC490" s="4">
        <v>5</v>
      </c>
      <c r="AD490" s="4">
        <v>23</v>
      </c>
      <c r="AE490" s="4">
        <v>31</v>
      </c>
      <c r="AF490" s="4">
        <v>10</v>
      </c>
      <c r="AG490" s="4">
        <v>12</v>
      </c>
      <c r="AH490" s="4">
        <v>6</v>
      </c>
      <c r="AI490" s="4">
        <v>9</v>
      </c>
      <c r="AJ490" s="4">
        <v>12</v>
      </c>
      <c r="AK490" s="4">
        <v>17</v>
      </c>
      <c r="AL490" s="4">
        <v>2</v>
      </c>
      <c r="AM490" s="4">
        <v>3</v>
      </c>
      <c r="AN490" s="4">
        <v>1</v>
      </c>
      <c r="AO490" s="4">
        <v>1</v>
      </c>
      <c r="AP490" s="3" t="s">
        <v>58</v>
      </c>
      <c r="AQ490" s="3" t="s">
        <v>58</v>
      </c>
      <c r="AS490" s="6" t="str">
        <f>HYPERLINK("https://creighton-primo.hosted.exlibrisgroup.com/primo-explore/search?tab=default_tab&amp;search_scope=EVERYTHING&amp;vid=01CRU&amp;lang=en_US&amp;offset=0&amp;query=any,contains,991005173029702656","Catalog Record")</f>
        <v>Catalog Record</v>
      </c>
      <c r="AT490" s="6" t="str">
        <f>HYPERLINK("http://www.worldcat.org/oclc/70707902","WorldCat Record")</f>
        <v>WorldCat Record</v>
      </c>
      <c r="AU490" s="3" t="s">
        <v>6610</v>
      </c>
      <c r="AV490" s="3" t="s">
        <v>6611</v>
      </c>
      <c r="AW490" s="3" t="s">
        <v>6612</v>
      </c>
      <c r="AX490" s="3" t="s">
        <v>6612</v>
      </c>
      <c r="AY490" s="3" t="s">
        <v>6613</v>
      </c>
      <c r="AZ490" s="3" t="s">
        <v>74</v>
      </c>
      <c r="BB490" s="3" t="s">
        <v>6614</v>
      </c>
      <c r="BC490" s="3" t="s">
        <v>6615</v>
      </c>
      <c r="BD490" s="3" t="s">
        <v>6616</v>
      </c>
    </row>
    <row r="491" spans="1:56" ht="45.75" customHeight="1" x14ac:dyDescent="0.25">
      <c r="A491" s="7" t="s">
        <v>58</v>
      </c>
      <c r="B491" s="2" t="s">
        <v>6617</v>
      </c>
      <c r="C491" s="2" t="s">
        <v>6618</v>
      </c>
      <c r="D491" s="2" t="s">
        <v>6619</v>
      </c>
      <c r="F491" s="3" t="s">
        <v>58</v>
      </c>
      <c r="G491" s="3" t="s">
        <v>59</v>
      </c>
      <c r="H491" s="3" t="s">
        <v>58</v>
      </c>
      <c r="I491" s="3" t="s">
        <v>58</v>
      </c>
      <c r="J491" s="3" t="s">
        <v>60</v>
      </c>
      <c r="K491" s="2" t="s">
        <v>5989</v>
      </c>
      <c r="L491" s="2" t="s">
        <v>6620</v>
      </c>
      <c r="M491" s="3" t="s">
        <v>629</v>
      </c>
      <c r="O491" s="3" t="s">
        <v>65</v>
      </c>
      <c r="P491" s="3" t="s">
        <v>4857</v>
      </c>
      <c r="R491" s="3" t="s">
        <v>67</v>
      </c>
      <c r="S491" s="4">
        <v>25</v>
      </c>
      <c r="T491" s="4">
        <v>25</v>
      </c>
      <c r="U491" s="5" t="s">
        <v>6621</v>
      </c>
      <c r="V491" s="5" t="s">
        <v>6621</v>
      </c>
      <c r="W491" s="5" t="s">
        <v>6622</v>
      </c>
      <c r="X491" s="5" t="s">
        <v>6622</v>
      </c>
      <c r="Y491" s="4">
        <v>576</v>
      </c>
      <c r="Z491" s="4">
        <v>530</v>
      </c>
      <c r="AA491" s="4">
        <v>537</v>
      </c>
      <c r="AB491" s="4">
        <v>5</v>
      </c>
      <c r="AC491" s="4">
        <v>5</v>
      </c>
      <c r="AD491" s="4">
        <v>31</v>
      </c>
      <c r="AE491" s="4">
        <v>31</v>
      </c>
      <c r="AF491" s="4">
        <v>11</v>
      </c>
      <c r="AG491" s="4">
        <v>11</v>
      </c>
      <c r="AH491" s="4">
        <v>7</v>
      </c>
      <c r="AI491" s="4">
        <v>7</v>
      </c>
      <c r="AJ491" s="4">
        <v>12</v>
      </c>
      <c r="AK491" s="4">
        <v>12</v>
      </c>
      <c r="AL491" s="4">
        <v>4</v>
      </c>
      <c r="AM491" s="4">
        <v>4</v>
      </c>
      <c r="AN491" s="4">
        <v>4</v>
      </c>
      <c r="AO491" s="4">
        <v>4</v>
      </c>
      <c r="AP491" s="3" t="s">
        <v>58</v>
      </c>
      <c r="AQ491" s="3" t="s">
        <v>87</v>
      </c>
      <c r="AR491" s="6" t="str">
        <f>HYPERLINK("http://catalog.hathitrust.org/Record/002902194","HathiTrust Record")</f>
        <v>HathiTrust Record</v>
      </c>
      <c r="AS491" s="6" t="str">
        <f>HYPERLINK("https://creighton-primo.hosted.exlibrisgroup.com/primo-explore/search?tab=default_tab&amp;search_scope=EVERYTHING&amp;vid=01CRU&amp;lang=en_US&amp;offset=0&amp;query=any,contains,991002336699702656","Catalog Record")</f>
        <v>Catalog Record</v>
      </c>
      <c r="AT491" s="6" t="str">
        <f>HYPERLINK("http://www.worldcat.org/oclc/30400871","WorldCat Record")</f>
        <v>WorldCat Record</v>
      </c>
      <c r="AU491" s="3" t="s">
        <v>6623</v>
      </c>
      <c r="AV491" s="3" t="s">
        <v>6624</v>
      </c>
      <c r="AW491" s="3" t="s">
        <v>6625</v>
      </c>
      <c r="AX491" s="3" t="s">
        <v>6625</v>
      </c>
      <c r="AY491" s="3" t="s">
        <v>6626</v>
      </c>
      <c r="AZ491" s="3" t="s">
        <v>74</v>
      </c>
      <c r="BB491" s="3" t="s">
        <v>6627</v>
      </c>
      <c r="BC491" s="3" t="s">
        <v>6628</v>
      </c>
      <c r="BD491" s="3" t="s">
        <v>6629</v>
      </c>
    </row>
    <row r="492" spans="1:56" ht="45.75" customHeight="1" x14ac:dyDescent="0.25">
      <c r="A492" s="7" t="s">
        <v>58</v>
      </c>
      <c r="B492" s="2" t="s">
        <v>6630</v>
      </c>
      <c r="C492" s="2" t="s">
        <v>6631</v>
      </c>
      <c r="D492" s="2" t="s">
        <v>6632</v>
      </c>
      <c r="F492" s="3" t="s">
        <v>58</v>
      </c>
      <c r="G492" s="3" t="s">
        <v>59</v>
      </c>
      <c r="H492" s="3" t="s">
        <v>58</v>
      </c>
      <c r="I492" s="3" t="s">
        <v>58</v>
      </c>
      <c r="J492" s="3" t="s">
        <v>60</v>
      </c>
      <c r="K492" s="2" t="s">
        <v>6633</v>
      </c>
      <c r="L492" s="2" t="s">
        <v>6634</v>
      </c>
      <c r="M492" s="3" t="s">
        <v>1485</v>
      </c>
      <c r="O492" s="3" t="s">
        <v>65</v>
      </c>
      <c r="P492" s="3" t="s">
        <v>132</v>
      </c>
      <c r="R492" s="3" t="s">
        <v>67</v>
      </c>
      <c r="S492" s="4">
        <v>11</v>
      </c>
      <c r="T492" s="4">
        <v>11</v>
      </c>
      <c r="U492" s="5" t="s">
        <v>6635</v>
      </c>
      <c r="V492" s="5" t="s">
        <v>6635</v>
      </c>
      <c r="W492" s="5" t="s">
        <v>1882</v>
      </c>
      <c r="X492" s="5" t="s">
        <v>1882</v>
      </c>
      <c r="Y492" s="4">
        <v>630</v>
      </c>
      <c r="Z492" s="4">
        <v>543</v>
      </c>
      <c r="AA492" s="4">
        <v>606</v>
      </c>
      <c r="AB492" s="4">
        <v>4</v>
      </c>
      <c r="AC492" s="4">
        <v>5</v>
      </c>
      <c r="AD492" s="4">
        <v>19</v>
      </c>
      <c r="AE492" s="4">
        <v>28</v>
      </c>
      <c r="AF492" s="4">
        <v>3</v>
      </c>
      <c r="AG492" s="4">
        <v>5</v>
      </c>
      <c r="AH492" s="4">
        <v>4</v>
      </c>
      <c r="AI492" s="4">
        <v>6</v>
      </c>
      <c r="AJ492" s="4">
        <v>5</v>
      </c>
      <c r="AK492" s="4">
        <v>8</v>
      </c>
      <c r="AL492" s="4">
        <v>2</v>
      </c>
      <c r="AM492" s="4">
        <v>3</v>
      </c>
      <c r="AN492" s="4">
        <v>8</v>
      </c>
      <c r="AO492" s="4">
        <v>10</v>
      </c>
      <c r="AP492" s="3" t="s">
        <v>58</v>
      </c>
      <c r="AQ492" s="3" t="s">
        <v>58</v>
      </c>
      <c r="AS492" s="6" t="str">
        <f>HYPERLINK("https://creighton-primo.hosted.exlibrisgroup.com/primo-explore/search?tab=default_tab&amp;search_scope=EVERYTHING&amp;vid=01CRU&amp;lang=en_US&amp;offset=0&amp;query=any,contains,991004129809702656","Catalog Record")</f>
        <v>Catalog Record</v>
      </c>
      <c r="AT492" s="6" t="str">
        <f>HYPERLINK("http://www.worldcat.org/oclc/2464570","WorldCat Record")</f>
        <v>WorldCat Record</v>
      </c>
      <c r="AU492" s="3" t="s">
        <v>6636</v>
      </c>
      <c r="AV492" s="3" t="s">
        <v>6637</v>
      </c>
      <c r="AW492" s="3" t="s">
        <v>6638</v>
      </c>
      <c r="AX492" s="3" t="s">
        <v>6638</v>
      </c>
      <c r="AY492" s="3" t="s">
        <v>6639</v>
      </c>
      <c r="AZ492" s="3" t="s">
        <v>74</v>
      </c>
      <c r="BB492" s="3" t="s">
        <v>6640</v>
      </c>
      <c r="BC492" s="3" t="s">
        <v>6641</v>
      </c>
      <c r="BD492" s="3" t="s">
        <v>6642</v>
      </c>
    </row>
    <row r="493" spans="1:56" ht="45.75" customHeight="1" x14ac:dyDescent="0.25">
      <c r="A493" s="7" t="s">
        <v>58</v>
      </c>
      <c r="B493" s="2" t="s">
        <v>6643</v>
      </c>
      <c r="C493" s="2" t="s">
        <v>6644</v>
      </c>
      <c r="D493" s="2" t="s">
        <v>6645</v>
      </c>
      <c r="F493" s="3" t="s">
        <v>58</v>
      </c>
      <c r="G493" s="3" t="s">
        <v>59</v>
      </c>
      <c r="H493" s="3" t="s">
        <v>58</v>
      </c>
      <c r="I493" s="3" t="s">
        <v>58</v>
      </c>
      <c r="J493" s="3" t="s">
        <v>60</v>
      </c>
      <c r="K493" s="2" t="s">
        <v>6646</v>
      </c>
      <c r="L493" s="2" t="s">
        <v>6647</v>
      </c>
      <c r="M493" s="3" t="s">
        <v>1088</v>
      </c>
      <c r="O493" s="3" t="s">
        <v>65</v>
      </c>
      <c r="P493" s="3" t="s">
        <v>175</v>
      </c>
      <c r="R493" s="3" t="s">
        <v>67</v>
      </c>
      <c r="S493" s="4">
        <v>9</v>
      </c>
      <c r="T493" s="4">
        <v>9</v>
      </c>
      <c r="U493" s="5" t="s">
        <v>6648</v>
      </c>
      <c r="V493" s="5" t="s">
        <v>6648</v>
      </c>
      <c r="W493" s="5" t="s">
        <v>6649</v>
      </c>
      <c r="X493" s="5" t="s">
        <v>6649</v>
      </c>
      <c r="Y493" s="4">
        <v>781</v>
      </c>
      <c r="Z493" s="4">
        <v>606</v>
      </c>
      <c r="AA493" s="4">
        <v>654</v>
      </c>
      <c r="AB493" s="4">
        <v>6</v>
      </c>
      <c r="AC493" s="4">
        <v>6</v>
      </c>
      <c r="AD493" s="4">
        <v>25</v>
      </c>
      <c r="AE493" s="4">
        <v>26</v>
      </c>
      <c r="AF493" s="4">
        <v>10</v>
      </c>
      <c r="AG493" s="4">
        <v>10</v>
      </c>
      <c r="AH493" s="4">
        <v>6</v>
      </c>
      <c r="AI493" s="4">
        <v>6</v>
      </c>
      <c r="AJ493" s="4">
        <v>9</v>
      </c>
      <c r="AK493" s="4">
        <v>10</v>
      </c>
      <c r="AL493" s="4">
        <v>5</v>
      </c>
      <c r="AM493" s="4">
        <v>5</v>
      </c>
      <c r="AN493" s="4">
        <v>1</v>
      </c>
      <c r="AO493" s="4">
        <v>1</v>
      </c>
      <c r="AP493" s="3" t="s">
        <v>58</v>
      </c>
      <c r="AQ493" s="3" t="s">
        <v>87</v>
      </c>
      <c r="AR493" s="6" t="str">
        <f>HYPERLINK("http://catalog.hathitrust.org/Record/000413148","HathiTrust Record")</f>
        <v>HathiTrust Record</v>
      </c>
      <c r="AS493" s="6" t="str">
        <f>HYPERLINK("https://creighton-primo.hosted.exlibrisgroup.com/primo-explore/search?tab=default_tab&amp;search_scope=EVERYTHING&amp;vid=01CRU&amp;lang=en_US&amp;offset=0&amp;query=any,contains,991000425879702656","Catalog Record")</f>
        <v>Catalog Record</v>
      </c>
      <c r="AT493" s="6" t="str">
        <f>HYPERLINK("http://www.worldcat.org/oclc/10753295","WorldCat Record")</f>
        <v>WorldCat Record</v>
      </c>
      <c r="AU493" s="3" t="s">
        <v>6650</v>
      </c>
      <c r="AV493" s="3" t="s">
        <v>6651</v>
      </c>
      <c r="AW493" s="3" t="s">
        <v>6652</v>
      </c>
      <c r="AX493" s="3" t="s">
        <v>6652</v>
      </c>
      <c r="AY493" s="3" t="s">
        <v>6653</v>
      </c>
      <c r="AZ493" s="3" t="s">
        <v>74</v>
      </c>
      <c r="BB493" s="3" t="s">
        <v>6654</v>
      </c>
      <c r="BC493" s="3" t="s">
        <v>6655</v>
      </c>
      <c r="BD493" s="3" t="s">
        <v>6656</v>
      </c>
    </row>
    <row r="494" spans="1:56" ht="45.75" customHeight="1" x14ac:dyDescent="0.25">
      <c r="A494" s="7" t="s">
        <v>58</v>
      </c>
      <c r="B494" s="2" t="s">
        <v>6657</v>
      </c>
      <c r="C494" s="2" t="s">
        <v>6658</v>
      </c>
      <c r="D494" s="2" t="s">
        <v>6659</v>
      </c>
      <c r="F494" s="3" t="s">
        <v>58</v>
      </c>
      <c r="G494" s="3" t="s">
        <v>59</v>
      </c>
      <c r="H494" s="3" t="s">
        <v>87</v>
      </c>
      <c r="I494" s="3" t="s">
        <v>58</v>
      </c>
      <c r="J494" s="3" t="s">
        <v>60</v>
      </c>
      <c r="L494" s="2" t="s">
        <v>6660</v>
      </c>
      <c r="M494" s="3" t="s">
        <v>1419</v>
      </c>
      <c r="O494" s="3" t="s">
        <v>65</v>
      </c>
      <c r="P494" s="3" t="s">
        <v>132</v>
      </c>
      <c r="Q494" s="2" t="s">
        <v>6661</v>
      </c>
      <c r="R494" s="3" t="s">
        <v>67</v>
      </c>
      <c r="S494" s="4">
        <v>18</v>
      </c>
      <c r="T494" s="4">
        <v>19</v>
      </c>
      <c r="U494" s="5" t="s">
        <v>6662</v>
      </c>
      <c r="V494" s="5" t="s">
        <v>6662</v>
      </c>
      <c r="W494" s="5" t="s">
        <v>1882</v>
      </c>
      <c r="X494" s="5" t="s">
        <v>1882</v>
      </c>
      <c r="Y494" s="4">
        <v>750</v>
      </c>
      <c r="Z494" s="4">
        <v>636</v>
      </c>
      <c r="AA494" s="4">
        <v>643</v>
      </c>
      <c r="AB494" s="4">
        <v>5</v>
      </c>
      <c r="AC494" s="4">
        <v>5</v>
      </c>
      <c r="AD494" s="4">
        <v>33</v>
      </c>
      <c r="AE494" s="4">
        <v>33</v>
      </c>
      <c r="AF494" s="4">
        <v>11</v>
      </c>
      <c r="AG494" s="4">
        <v>11</v>
      </c>
      <c r="AH494" s="4">
        <v>7</v>
      </c>
      <c r="AI494" s="4">
        <v>7</v>
      </c>
      <c r="AJ494" s="4">
        <v>18</v>
      </c>
      <c r="AK494" s="4">
        <v>18</v>
      </c>
      <c r="AL494" s="4">
        <v>3</v>
      </c>
      <c r="AM494" s="4">
        <v>3</v>
      </c>
      <c r="AN494" s="4">
        <v>4</v>
      </c>
      <c r="AO494" s="4">
        <v>4</v>
      </c>
      <c r="AP494" s="3" t="s">
        <v>58</v>
      </c>
      <c r="AQ494" s="3" t="s">
        <v>87</v>
      </c>
      <c r="AR494" s="6" t="str">
        <f>HYPERLINK("http://catalog.hathitrust.org/Record/000175119","HathiTrust Record")</f>
        <v>HathiTrust Record</v>
      </c>
      <c r="AS494" s="6" t="str">
        <f>HYPERLINK("https://creighton-primo.hosted.exlibrisgroup.com/primo-explore/search?tab=default_tab&amp;search_scope=EVERYTHING&amp;vid=01CRU&amp;lang=en_US&amp;offset=0&amp;query=any,contains,991001789959702656","Catalog Record")</f>
        <v>Catalog Record</v>
      </c>
      <c r="AT494" s="6" t="str">
        <f>HYPERLINK("http://www.worldcat.org/oclc/3955465","WorldCat Record")</f>
        <v>WorldCat Record</v>
      </c>
      <c r="AU494" s="3" t="s">
        <v>6663</v>
      </c>
      <c r="AV494" s="3" t="s">
        <v>6664</v>
      </c>
      <c r="AW494" s="3" t="s">
        <v>6665</v>
      </c>
      <c r="AX494" s="3" t="s">
        <v>6665</v>
      </c>
      <c r="AY494" s="3" t="s">
        <v>6666</v>
      </c>
      <c r="AZ494" s="3" t="s">
        <v>74</v>
      </c>
      <c r="BB494" s="3" t="s">
        <v>6667</v>
      </c>
      <c r="BC494" s="3" t="s">
        <v>6668</v>
      </c>
      <c r="BD494" s="3" t="s">
        <v>6669</v>
      </c>
    </row>
    <row r="495" spans="1:56" ht="45.75" customHeight="1" x14ac:dyDescent="0.25">
      <c r="A495" s="7" t="s">
        <v>58</v>
      </c>
      <c r="B495" s="2" t="s">
        <v>6670</v>
      </c>
      <c r="C495" s="2" t="s">
        <v>6671</v>
      </c>
      <c r="D495" s="2" t="s">
        <v>6672</v>
      </c>
      <c r="F495" s="3" t="s">
        <v>58</v>
      </c>
      <c r="G495" s="3" t="s">
        <v>59</v>
      </c>
      <c r="H495" s="3" t="s">
        <v>58</v>
      </c>
      <c r="I495" s="3" t="s">
        <v>58</v>
      </c>
      <c r="J495" s="3" t="s">
        <v>60</v>
      </c>
      <c r="L495" s="2" t="s">
        <v>6673</v>
      </c>
      <c r="M495" s="3" t="s">
        <v>1032</v>
      </c>
      <c r="O495" s="3" t="s">
        <v>65</v>
      </c>
      <c r="P495" s="3" t="s">
        <v>6674</v>
      </c>
      <c r="Q495" s="2" t="s">
        <v>5501</v>
      </c>
      <c r="R495" s="3" t="s">
        <v>67</v>
      </c>
      <c r="S495" s="4">
        <v>2</v>
      </c>
      <c r="T495" s="4">
        <v>2</v>
      </c>
      <c r="U495" s="5" t="s">
        <v>2273</v>
      </c>
      <c r="V495" s="5" t="s">
        <v>2273</v>
      </c>
      <c r="W495" s="5" t="s">
        <v>5503</v>
      </c>
      <c r="X495" s="5" t="s">
        <v>5503</v>
      </c>
      <c r="Y495" s="4">
        <v>126</v>
      </c>
      <c r="Z495" s="4">
        <v>100</v>
      </c>
      <c r="AA495" s="4">
        <v>100</v>
      </c>
      <c r="AB495" s="4">
        <v>2</v>
      </c>
      <c r="AC495" s="4">
        <v>2</v>
      </c>
      <c r="AD495" s="4">
        <v>7</v>
      </c>
      <c r="AE495" s="4">
        <v>7</v>
      </c>
      <c r="AF495" s="4">
        <v>1</v>
      </c>
      <c r="AG495" s="4">
        <v>1</v>
      </c>
      <c r="AH495" s="4">
        <v>2</v>
      </c>
      <c r="AI495" s="4">
        <v>2</v>
      </c>
      <c r="AJ495" s="4">
        <v>1</v>
      </c>
      <c r="AK495" s="4">
        <v>1</v>
      </c>
      <c r="AL495" s="4">
        <v>1</v>
      </c>
      <c r="AM495" s="4">
        <v>1</v>
      </c>
      <c r="AN495" s="4">
        <v>3</v>
      </c>
      <c r="AO495" s="4">
        <v>3</v>
      </c>
      <c r="AP495" s="3" t="s">
        <v>58</v>
      </c>
      <c r="AQ495" s="3" t="s">
        <v>58</v>
      </c>
      <c r="AS495" s="6" t="str">
        <f>HYPERLINK("https://creighton-primo.hosted.exlibrisgroup.com/primo-explore/search?tab=default_tab&amp;search_scope=EVERYTHING&amp;vid=01CRU&amp;lang=en_US&amp;offset=0&amp;query=any,contains,991002777879702656","Catalog Record")</f>
        <v>Catalog Record</v>
      </c>
      <c r="AT495" s="6" t="str">
        <f>HYPERLINK("http://www.worldcat.org/oclc/36476144","WorldCat Record")</f>
        <v>WorldCat Record</v>
      </c>
      <c r="AU495" s="3" t="s">
        <v>6675</v>
      </c>
      <c r="AV495" s="3" t="s">
        <v>6676</v>
      </c>
      <c r="AW495" s="3" t="s">
        <v>6677</v>
      </c>
      <c r="AX495" s="3" t="s">
        <v>6677</v>
      </c>
      <c r="AY495" s="3" t="s">
        <v>6678</v>
      </c>
      <c r="AZ495" s="3" t="s">
        <v>74</v>
      </c>
      <c r="BB495" s="3" t="s">
        <v>6679</v>
      </c>
      <c r="BC495" s="3" t="s">
        <v>6680</v>
      </c>
      <c r="BD495" s="3" t="s">
        <v>6681</v>
      </c>
    </row>
    <row r="496" spans="1:56" ht="45.75" customHeight="1" x14ac:dyDescent="0.25">
      <c r="A496" s="7" t="s">
        <v>58</v>
      </c>
      <c r="B496" s="2" t="s">
        <v>6682</v>
      </c>
      <c r="C496" s="2" t="s">
        <v>6683</v>
      </c>
      <c r="D496" s="2" t="s">
        <v>6684</v>
      </c>
      <c r="F496" s="3" t="s">
        <v>58</v>
      </c>
      <c r="G496" s="3" t="s">
        <v>59</v>
      </c>
      <c r="H496" s="3" t="s">
        <v>58</v>
      </c>
      <c r="I496" s="3" t="s">
        <v>58</v>
      </c>
      <c r="J496" s="3" t="s">
        <v>60</v>
      </c>
      <c r="L496" s="2" t="s">
        <v>6685</v>
      </c>
      <c r="M496" s="3" t="s">
        <v>220</v>
      </c>
      <c r="O496" s="3" t="s">
        <v>65</v>
      </c>
      <c r="P496" s="3" t="s">
        <v>772</v>
      </c>
      <c r="R496" s="3" t="s">
        <v>67</v>
      </c>
      <c r="S496" s="4">
        <v>4</v>
      </c>
      <c r="T496" s="4">
        <v>4</v>
      </c>
      <c r="U496" s="5" t="s">
        <v>5663</v>
      </c>
      <c r="V496" s="5" t="s">
        <v>5663</v>
      </c>
      <c r="W496" s="5" t="s">
        <v>6686</v>
      </c>
      <c r="X496" s="5" t="s">
        <v>6686</v>
      </c>
      <c r="Y496" s="4">
        <v>255</v>
      </c>
      <c r="Z496" s="4">
        <v>207</v>
      </c>
      <c r="AA496" s="4">
        <v>257</v>
      </c>
      <c r="AB496" s="4">
        <v>1</v>
      </c>
      <c r="AC496" s="4">
        <v>1</v>
      </c>
      <c r="AD496" s="4">
        <v>11</v>
      </c>
      <c r="AE496" s="4">
        <v>15</v>
      </c>
      <c r="AF496" s="4">
        <v>2</v>
      </c>
      <c r="AG496" s="4">
        <v>4</v>
      </c>
      <c r="AH496" s="4">
        <v>4</v>
      </c>
      <c r="AI496" s="4">
        <v>7</v>
      </c>
      <c r="AJ496" s="4">
        <v>7</v>
      </c>
      <c r="AK496" s="4">
        <v>8</v>
      </c>
      <c r="AL496" s="4">
        <v>0</v>
      </c>
      <c r="AM496" s="4">
        <v>0</v>
      </c>
      <c r="AN496" s="4">
        <v>1</v>
      </c>
      <c r="AO496" s="4">
        <v>1</v>
      </c>
      <c r="AP496" s="3" t="s">
        <v>58</v>
      </c>
      <c r="AQ496" s="3" t="s">
        <v>58</v>
      </c>
      <c r="AS496" s="6" t="str">
        <f>HYPERLINK("https://creighton-primo.hosted.exlibrisgroup.com/primo-explore/search?tab=default_tab&amp;search_scope=EVERYTHING&amp;vid=01CRU&amp;lang=en_US&amp;offset=0&amp;query=any,contains,991003638419702656","Catalog Record")</f>
        <v>Catalog Record</v>
      </c>
      <c r="AT496" s="6" t="str">
        <f>HYPERLINK("http://www.worldcat.org/oclc/40230588","WorldCat Record")</f>
        <v>WorldCat Record</v>
      </c>
      <c r="AU496" s="3" t="s">
        <v>6687</v>
      </c>
      <c r="AV496" s="3" t="s">
        <v>6688</v>
      </c>
      <c r="AW496" s="3" t="s">
        <v>6689</v>
      </c>
      <c r="AX496" s="3" t="s">
        <v>6689</v>
      </c>
      <c r="AY496" s="3" t="s">
        <v>6690</v>
      </c>
      <c r="AZ496" s="3" t="s">
        <v>74</v>
      </c>
      <c r="BB496" s="3" t="s">
        <v>6691</v>
      </c>
      <c r="BC496" s="3" t="s">
        <v>6692</v>
      </c>
      <c r="BD496" s="3" t="s">
        <v>6693</v>
      </c>
    </row>
    <row r="497" spans="1:56" ht="45.75" customHeight="1" x14ac:dyDescent="0.25">
      <c r="A497" s="7" t="s">
        <v>58</v>
      </c>
      <c r="B497" s="2" t="s">
        <v>6694</v>
      </c>
      <c r="C497" s="2" t="s">
        <v>6695</v>
      </c>
      <c r="D497" s="2" t="s">
        <v>6696</v>
      </c>
      <c r="F497" s="3" t="s">
        <v>58</v>
      </c>
      <c r="G497" s="3" t="s">
        <v>59</v>
      </c>
      <c r="H497" s="3" t="s">
        <v>58</v>
      </c>
      <c r="I497" s="3" t="s">
        <v>58</v>
      </c>
      <c r="J497" s="3" t="s">
        <v>60</v>
      </c>
      <c r="K497" s="2" t="s">
        <v>6697</v>
      </c>
      <c r="L497" s="2" t="s">
        <v>6698</v>
      </c>
      <c r="M497" s="3" t="s">
        <v>1032</v>
      </c>
      <c r="O497" s="3" t="s">
        <v>65</v>
      </c>
      <c r="P497" s="3" t="s">
        <v>84</v>
      </c>
      <c r="R497" s="3" t="s">
        <v>67</v>
      </c>
      <c r="S497" s="4">
        <v>2</v>
      </c>
      <c r="T497" s="4">
        <v>2</v>
      </c>
      <c r="U497" s="5" t="s">
        <v>6699</v>
      </c>
      <c r="V497" s="5" t="s">
        <v>6699</v>
      </c>
      <c r="W497" s="5" t="s">
        <v>6700</v>
      </c>
      <c r="X497" s="5" t="s">
        <v>6700</v>
      </c>
      <c r="Y497" s="4">
        <v>490</v>
      </c>
      <c r="Z497" s="4">
        <v>464</v>
      </c>
      <c r="AA497" s="4">
        <v>474</v>
      </c>
      <c r="AB497" s="4">
        <v>3</v>
      </c>
      <c r="AC497" s="4">
        <v>3</v>
      </c>
      <c r="AD497" s="4">
        <v>23</v>
      </c>
      <c r="AE497" s="4">
        <v>24</v>
      </c>
      <c r="AF497" s="4">
        <v>7</v>
      </c>
      <c r="AG497" s="4">
        <v>8</v>
      </c>
      <c r="AH497" s="4">
        <v>4</v>
      </c>
      <c r="AI497" s="4">
        <v>4</v>
      </c>
      <c r="AJ497" s="4">
        <v>12</v>
      </c>
      <c r="AK497" s="4">
        <v>13</v>
      </c>
      <c r="AL497" s="4">
        <v>2</v>
      </c>
      <c r="AM497" s="4">
        <v>2</v>
      </c>
      <c r="AN497" s="4">
        <v>5</v>
      </c>
      <c r="AO497" s="4">
        <v>5</v>
      </c>
      <c r="AP497" s="3" t="s">
        <v>58</v>
      </c>
      <c r="AQ497" s="3" t="s">
        <v>58</v>
      </c>
      <c r="AS497" s="6" t="str">
        <f>HYPERLINK("https://creighton-primo.hosted.exlibrisgroup.com/primo-explore/search?tab=default_tab&amp;search_scope=EVERYTHING&amp;vid=01CRU&amp;lang=en_US&amp;offset=0&amp;query=any,contains,991002759889702656","Catalog Record")</f>
        <v>Catalog Record</v>
      </c>
      <c r="AT497" s="6" t="str">
        <f>HYPERLINK("http://www.worldcat.org/oclc/36201436","WorldCat Record")</f>
        <v>WorldCat Record</v>
      </c>
      <c r="AU497" s="3" t="s">
        <v>6701</v>
      </c>
      <c r="AV497" s="3" t="s">
        <v>6702</v>
      </c>
      <c r="AW497" s="3" t="s">
        <v>6703</v>
      </c>
      <c r="AX497" s="3" t="s">
        <v>6703</v>
      </c>
      <c r="AY497" s="3" t="s">
        <v>6704</v>
      </c>
      <c r="AZ497" s="3" t="s">
        <v>74</v>
      </c>
      <c r="BB497" s="3" t="s">
        <v>6705</v>
      </c>
      <c r="BC497" s="3" t="s">
        <v>6706</v>
      </c>
      <c r="BD497" s="3" t="s">
        <v>6707</v>
      </c>
    </row>
    <row r="498" spans="1:56" ht="45.75" customHeight="1" x14ac:dyDescent="0.25">
      <c r="A498" s="7" t="s">
        <v>58</v>
      </c>
      <c r="B498" s="2" t="s">
        <v>6708</v>
      </c>
      <c r="C498" s="2" t="s">
        <v>6709</v>
      </c>
      <c r="D498" s="2" t="s">
        <v>6710</v>
      </c>
      <c r="F498" s="3" t="s">
        <v>58</v>
      </c>
      <c r="G498" s="3" t="s">
        <v>59</v>
      </c>
      <c r="H498" s="3" t="s">
        <v>58</v>
      </c>
      <c r="I498" s="3" t="s">
        <v>58</v>
      </c>
      <c r="J498" s="3" t="s">
        <v>60</v>
      </c>
      <c r="K498" s="2" t="s">
        <v>6711</v>
      </c>
      <c r="L498" s="2" t="s">
        <v>6712</v>
      </c>
      <c r="M498" s="3" t="s">
        <v>147</v>
      </c>
      <c r="O498" s="3" t="s">
        <v>65</v>
      </c>
      <c r="P498" s="3" t="s">
        <v>587</v>
      </c>
      <c r="Q498" s="2" t="s">
        <v>6713</v>
      </c>
      <c r="R498" s="3" t="s">
        <v>67</v>
      </c>
      <c r="S498" s="4">
        <v>2</v>
      </c>
      <c r="T498" s="4">
        <v>2</v>
      </c>
      <c r="U498" s="5" t="s">
        <v>5663</v>
      </c>
      <c r="V498" s="5" t="s">
        <v>5663</v>
      </c>
      <c r="W498" s="5" t="s">
        <v>6714</v>
      </c>
      <c r="X498" s="5" t="s">
        <v>6714</v>
      </c>
      <c r="Y498" s="4">
        <v>591</v>
      </c>
      <c r="Z498" s="4">
        <v>535</v>
      </c>
      <c r="AA498" s="4">
        <v>1325</v>
      </c>
      <c r="AB498" s="4">
        <v>3</v>
      </c>
      <c r="AC498" s="4">
        <v>19</v>
      </c>
      <c r="AD498" s="4">
        <v>19</v>
      </c>
      <c r="AE498" s="4">
        <v>45</v>
      </c>
      <c r="AF498" s="4">
        <v>9</v>
      </c>
      <c r="AG498" s="4">
        <v>18</v>
      </c>
      <c r="AH498" s="4">
        <v>6</v>
      </c>
      <c r="AI498" s="4">
        <v>9</v>
      </c>
      <c r="AJ498" s="4">
        <v>8</v>
      </c>
      <c r="AK498" s="4">
        <v>15</v>
      </c>
      <c r="AL498" s="4">
        <v>2</v>
      </c>
      <c r="AM498" s="4">
        <v>11</v>
      </c>
      <c r="AN498" s="4">
        <v>0</v>
      </c>
      <c r="AO498" s="4">
        <v>1</v>
      </c>
      <c r="AP498" s="3" t="s">
        <v>58</v>
      </c>
      <c r="AQ498" s="3" t="s">
        <v>58</v>
      </c>
      <c r="AS498" s="6" t="str">
        <f>HYPERLINK("https://creighton-primo.hosted.exlibrisgroup.com/primo-explore/search?tab=default_tab&amp;search_scope=EVERYTHING&amp;vid=01CRU&amp;lang=en_US&amp;offset=0&amp;query=any,contains,991004736869702656","Catalog Record")</f>
        <v>Catalog Record</v>
      </c>
      <c r="AT498" s="6" t="str">
        <f>HYPERLINK("http://www.worldcat.org/oclc/54365214","WorldCat Record")</f>
        <v>WorldCat Record</v>
      </c>
      <c r="AU498" s="3" t="s">
        <v>6715</v>
      </c>
      <c r="AV498" s="3" t="s">
        <v>6716</v>
      </c>
      <c r="AW498" s="3" t="s">
        <v>6717</v>
      </c>
      <c r="AX498" s="3" t="s">
        <v>6717</v>
      </c>
      <c r="AY498" s="3" t="s">
        <v>6718</v>
      </c>
      <c r="AZ498" s="3" t="s">
        <v>74</v>
      </c>
      <c r="BB498" s="3" t="s">
        <v>6719</v>
      </c>
      <c r="BC498" s="3" t="s">
        <v>6720</v>
      </c>
      <c r="BD498" s="3" t="s">
        <v>6721</v>
      </c>
    </row>
    <row r="499" spans="1:56" ht="45.75" customHeight="1" x14ac:dyDescent="0.25">
      <c r="A499" s="7" t="s">
        <v>58</v>
      </c>
      <c r="B499" s="2" t="s">
        <v>6722</v>
      </c>
      <c r="C499" s="2" t="s">
        <v>6723</v>
      </c>
      <c r="D499" s="2" t="s">
        <v>6724</v>
      </c>
      <c r="F499" s="3" t="s">
        <v>58</v>
      </c>
      <c r="G499" s="3" t="s">
        <v>59</v>
      </c>
      <c r="H499" s="3" t="s">
        <v>58</v>
      </c>
      <c r="I499" s="3" t="s">
        <v>58</v>
      </c>
      <c r="J499" s="3" t="s">
        <v>60</v>
      </c>
      <c r="K499" s="2" t="s">
        <v>6725</v>
      </c>
      <c r="L499" s="2" t="s">
        <v>6726</v>
      </c>
      <c r="M499" s="3" t="s">
        <v>419</v>
      </c>
      <c r="N499" s="2" t="s">
        <v>5706</v>
      </c>
      <c r="O499" s="3" t="s">
        <v>1527</v>
      </c>
      <c r="P499" s="3" t="s">
        <v>5707</v>
      </c>
      <c r="R499" s="3" t="s">
        <v>67</v>
      </c>
      <c r="S499" s="4">
        <v>2</v>
      </c>
      <c r="T499" s="4">
        <v>2</v>
      </c>
      <c r="U499" s="5" t="s">
        <v>6727</v>
      </c>
      <c r="V499" s="5" t="s">
        <v>6727</v>
      </c>
      <c r="W499" s="5" t="s">
        <v>6728</v>
      </c>
      <c r="X499" s="5" t="s">
        <v>6728</v>
      </c>
      <c r="Y499" s="4">
        <v>19</v>
      </c>
      <c r="Z499" s="4">
        <v>17</v>
      </c>
      <c r="AA499" s="4">
        <v>18</v>
      </c>
      <c r="AB499" s="4">
        <v>1</v>
      </c>
      <c r="AC499" s="4">
        <v>1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3" t="s">
        <v>58</v>
      </c>
      <c r="AQ499" s="3" t="s">
        <v>58</v>
      </c>
      <c r="AS499" s="6" t="str">
        <f>HYPERLINK("https://creighton-primo.hosted.exlibrisgroup.com/primo-explore/search?tab=default_tab&amp;search_scope=EVERYTHING&amp;vid=01CRU&amp;lang=en_US&amp;offset=0&amp;query=any,contains,991003547179702656","Catalog Record")</f>
        <v>Catalog Record</v>
      </c>
      <c r="AT499" s="6" t="str">
        <f>HYPERLINK("http://www.worldcat.org/oclc/47807621","WorldCat Record")</f>
        <v>WorldCat Record</v>
      </c>
      <c r="AU499" s="3" t="s">
        <v>6729</v>
      </c>
      <c r="AV499" s="3" t="s">
        <v>6730</v>
      </c>
      <c r="AW499" s="3" t="s">
        <v>6731</v>
      </c>
      <c r="AX499" s="3" t="s">
        <v>6731</v>
      </c>
      <c r="AY499" s="3" t="s">
        <v>6732</v>
      </c>
      <c r="AZ499" s="3" t="s">
        <v>74</v>
      </c>
      <c r="BB499" s="3" t="s">
        <v>6733</v>
      </c>
      <c r="BC499" s="3" t="s">
        <v>6734</v>
      </c>
      <c r="BD499" s="3" t="s">
        <v>6735</v>
      </c>
    </row>
    <row r="500" spans="1:56" ht="45.75" customHeight="1" x14ac:dyDescent="0.25">
      <c r="A500" s="7" t="s">
        <v>58</v>
      </c>
      <c r="B500" s="2" t="s">
        <v>6736</v>
      </c>
      <c r="C500" s="2" t="s">
        <v>6737</v>
      </c>
      <c r="D500" s="2" t="s">
        <v>6738</v>
      </c>
      <c r="F500" s="3" t="s">
        <v>58</v>
      </c>
      <c r="G500" s="3" t="s">
        <v>59</v>
      </c>
      <c r="H500" s="3" t="s">
        <v>58</v>
      </c>
      <c r="I500" s="3" t="s">
        <v>58</v>
      </c>
      <c r="J500" s="3" t="s">
        <v>60</v>
      </c>
      <c r="K500" s="2" t="s">
        <v>6739</v>
      </c>
      <c r="L500" s="2" t="s">
        <v>6740</v>
      </c>
      <c r="M500" s="3" t="s">
        <v>1032</v>
      </c>
      <c r="O500" s="3" t="s">
        <v>65</v>
      </c>
      <c r="P500" s="3" t="s">
        <v>148</v>
      </c>
      <c r="R500" s="3" t="s">
        <v>67</v>
      </c>
      <c r="S500" s="4">
        <v>1</v>
      </c>
      <c r="T500" s="4">
        <v>1</v>
      </c>
      <c r="U500" s="5" t="s">
        <v>6741</v>
      </c>
      <c r="V500" s="5" t="s">
        <v>6741</v>
      </c>
      <c r="W500" s="5" t="s">
        <v>4934</v>
      </c>
      <c r="X500" s="5" t="s">
        <v>4934</v>
      </c>
      <c r="Y500" s="4">
        <v>447</v>
      </c>
      <c r="Z500" s="4">
        <v>375</v>
      </c>
      <c r="AA500" s="4">
        <v>380</v>
      </c>
      <c r="AB500" s="4">
        <v>3</v>
      </c>
      <c r="AC500" s="4">
        <v>3</v>
      </c>
      <c r="AD500" s="4">
        <v>24</v>
      </c>
      <c r="AE500" s="4">
        <v>24</v>
      </c>
      <c r="AF500" s="4">
        <v>7</v>
      </c>
      <c r="AG500" s="4">
        <v>7</v>
      </c>
      <c r="AH500" s="4">
        <v>5</v>
      </c>
      <c r="AI500" s="4">
        <v>5</v>
      </c>
      <c r="AJ500" s="4">
        <v>10</v>
      </c>
      <c r="AK500" s="4">
        <v>10</v>
      </c>
      <c r="AL500" s="4">
        <v>2</v>
      </c>
      <c r="AM500" s="4">
        <v>2</v>
      </c>
      <c r="AN500" s="4">
        <v>6</v>
      </c>
      <c r="AO500" s="4">
        <v>6</v>
      </c>
      <c r="AP500" s="3" t="s">
        <v>58</v>
      </c>
      <c r="AQ500" s="3" t="s">
        <v>58</v>
      </c>
      <c r="AS500" s="6" t="str">
        <f>HYPERLINK("https://creighton-primo.hosted.exlibrisgroup.com/primo-explore/search?tab=default_tab&amp;search_scope=EVERYTHING&amp;vid=01CRU&amp;lang=en_US&amp;offset=0&amp;query=any,contains,991002733079702656","Catalog Record")</f>
        <v>Catalog Record</v>
      </c>
      <c r="AT500" s="6" t="str">
        <f>HYPERLINK("http://www.worldcat.org/oclc/35849105","WorldCat Record")</f>
        <v>WorldCat Record</v>
      </c>
      <c r="AU500" s="3" t="s">
        <v>6742</v>
      </c>
      <c r="AV500" s="3" t="s">
        <v>6743</v>
      </c>
      <c r="AW500" s="3" t="s">
        <v>6744</v>
      </c>
      <c r="AX500" s="3" t="s">
        <v>6744</v>
      </c>
      <c r="AY500" s="3" t="s">
        <v>6745</v>
      </c>
      <c r="AZ500" s="3" t="s">
        <v>74</v>
      </c>
      <c r="BB500" s="3" t="s">
        <v>6746</v>
      </c>
      <c r="BC500" s="3" t="s">
        <v>6747</v>
      </c>
      <c r="BD500" s="3" t="s">
        <v>6748</v>
      </c>
    </row>
    <row r="501" spans="1:56" ht="45.75" customHeight="1" x14ac:dyDescent="0.25">
      <c r="A501" s="7" t="s">
        <v>58</v>
      </c>
      <c r="B501" s="2" t="s">
        <v>6749</v>
      </c>
      <c r="C501" s="2" t="s">
        <v>6750</v>
      </c>
      <c r="D501" s="2" t="s">
        <v>6751</v>
      </c>
      <c r="F501" s="3" t="s">
        <v>58</v>
      </c>
      <c r="G501" s="3" t="s">
        <v>59</v>
      </c>
      <c r="H501" s="3" t="s">
        <v>58</v>
      </c>
      <c r="I501" s="3" t="s">
        <v>58</v>
      </c>
      <c r="J501" s="3" t="s">
        <v>60</v>
      </c>
      <c r="K501" s="2" t="s">
        <v>6752</v>
      </c>
      <c r="L501" s="2" t="s">
        <v>6753</v>
      </c>
      <c r="M501" s="3" t="s">
        <v>867</v>
      </c>
      <c r="O501" s="3" t="s">
        <v>65</v>
      </c>
      <c r="P501" s="3" t="s">
        <v>1282</v>
      </c>
      <c r="R501" s="3" t="s">
        <v>67</v>
      </c>
      <c r="S501" s="4">
        <v>9</v>
      </c>
      <c r="T501" s="4">
        <v>9</v>
      </c>
      <c r="U501" s="5" t="s">
        <v>6754</v>
      </c>
      <c r="V501" s="5" t="s">
        <v>6754</v>
      </c>
      <c r="W501" s="5" t="s">
        <v>6755</v>
      </c>
      <c r="X501" s="5" t="s">
        <v>6755</v>
      </c>
      <c r="Y501" s="4">
        <v>299</v>
      </c>
      <c r="Z501" s="4">
        <v>239</v>
      </c>
      <c r="AA501" s="4">
        <v>241</v>
      </c>
      <c r="AB501" s="4">
        <v>2</v>
      </c>
      <c r="AC501" s="4">
        <v>2</v>
      </c>
      <c r="AD501" s="4">
        <v>12</v>
      </c>
      <c r="AE501" s="4">
        <v>12</v>
      </c>
      <c r="AF501" s="4">
        <v>3</v>
      </c>
      <c r="AG501" s="4">
        <v>3</v>
      </c>
      <c r="AH501" s="4">
        <v>3</v>
      </c>
      <c r="AI501" s="4">
        <v>3</v>
      </c>
      <c r="AJ501" s="4">
        <v>9</v>
      </c>
      <c r="AK501" s="4">
        <v>9</v>
      </c>
      <c r="AL501" s="4">
        <v>1</v>
      </c>
      <c r="AM501" s="4">
        <v>1</v>
      </c>
      <c r="AN501" s="4">
        <v>0</v>
      </c>
      <c r="AO501" s="4">
        <v>0</v>
      </c>
      <c r="AP501" s="3" t="s">
        <v>58</v>
      </c>
      <c r="AQ501" s="3" t="s">
        <v>87</v>
      </c>
      <c r="AR501" s="6" t="str">
        <f>HYPERLINK("http://catalog.hathitrust.org/Record/002560979","HathiTrust Record")</f>
        <v>HathiTrust Record</v>
      </c>
      <c r="AS501" s="6" t="str">
        <f>HYPERLINK("https://creighton-primo.hosted.exlibrisgroup.com/primo-explore/search?tab=default_tab&amp;search_scope=EVERYTHING&amp;vid=01CRU&amp;lang=en_US&amp;offset=0&amp;query=any,contains,991001976719702656","Catalog Record")</f>
        <v>Catalog Record</v>
      </c>
      <c r="AT501" s="6" t="str">
        <f>HYPERLINK("http://www.worldcat.org/oclc/25050733","WorldCat Record")</f>
        <v>WorldCat Record</v>
      </c>
      <c r="AU501" s="3" t="s">
        <v>6756</v>
      </c>
      <c r="AV501" s="3" t="s">
        <v>6757</v>
      </c>
      <c r="AW501" s="3" t="s">
        <v>6758</v>
      </c>
      <c r="AX501" s="3" t="s">
        <v>6758</v>
      </c>
      <c r="AY501" s="3" t="s">
        <v>6759</v>
      </c>
      <c r="AZ501" s="3" t="s">
        <v>74</v>
      </c>
      <c r="BB501" s="3" t="s">
        <v>6760</v>
      </c>
      <c r="BC501" s="3" t="s">
        <v>6761</v>
      </c>
      <c r="BD501" s="3" t="s">
        <v>6762</v>
      </c>
    </row>
    <row r="502" spans="1:56" ht="45.75" customHeight="1" x14ac:dyDescent="0.25">
      <c r="A502" s="7" t="s">
        <v>58</v>
      </c>
      <c r="B502" s="2" t="s">
        <v>6763</v>
      </c>
      <c r="C502" s="2" t="s">
        <v>6764</v>
      </c>
      <c r="D502" s="2" t="s">
        <v>6765</v>
      </c>
      <c r="F502" s="3" t="s">
        <v>58</v>
      </c>
      <c r="G502" s="3" t="s">
        <v>59</v>
      </c>
      <c r="H502" s="3" t="s">
        <v>58</v>
      </c>
      <c r="I502" s="3" t="s">
        <v>58</v>
      </c>
      <c r="J502" s="3" t="s">
        <v>60</v>
      </c>
      <c r="K502" s="2" t="s">
        <v>6766</v>
      </c>
      <c r="L502" s="2" t="s">
        <v>6767</v>
      </c>
      <c r="M502" s="3" t="s">
        <v>220</v>
      </c>
      <c r="N502" s="2" t="s">
        <v>5706</v>
      </c>
      <c r="O502" s="3" t="s">
        <v>1527</v>
      </c>
      <c r="P502" s="3" t="s">
        <v>1528</v>
      </c>
      <c r="Q502" s="2" t="s">
        <v>6768</v>
      </c>
      <c r="R502" s="3" t="s">
        <v>67</v>
      </c>
      <c r="S502" s="4">
        <v>1</v>
      </c>
      <c r="T502" s="4">
        <v>1</v>
      </c>
      <c r="U502" s="5" t="s">
        <v>6769</v>
      </c>
      <c r="V502" s="5" t="s">
        <v>6769</v>
      </c>
      <c r="W502" s="5" t="s">
        <v>6769</v>
      </c>
      <c r="X502" s="5" t="s">
        <v>6769</v>
      </c>
      <c r="Y502" s="4">
        <v>39</v>
      </c>
      <c r="Z502" s="4">
        <v>29</v>
      </c>
      <c r="AA502" s="4">
        <v>30</v>
      </c>
      <c r="AB502" s="4">
        <v>1</v>
      </c>
      <c r="AC502" s="4">
        <v>1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3" t="s">
        <v>58</v>
      </c>
      <c r="AQ502" s="3" t="s">
        <v>58</v>
      </c>
      <c r="AS502" s="6" t="str">
        <f>HYPERLINK("https://creighton-primo.hosted.exlibrisgroup.com/primo-explore/search?tab=default_tab&amp;search_scope=EVERYTHING&amp;vid=01CRU&amp;lang=en_US&amp;offset=0&amp;query=any,contains,991003264729702656","Catalog Record")</f>
        <v>Catalog Record</v>
      </c>
      <c r="AT502" s="6" t="str">
        <f>HYPERLINK("http://www.worldcat.org/oclc/41951757","WorldCat Record")</f>
        <v>WorldCat Record</v>
      </c>
      <c r="AU502" s="3" t="s">
        <v>6770</v>
      </c>
      <c r="AV502" s="3" t="s">
        <v>6771</v>
      </c>
      <c r="AW502" s="3" t="s">
        <v>6772</v>
      </c>
      <c r="AX502" s="3" t="s">
        <v>6772</v>
      </c>
      <c r="AY502" s="3" t="s">
        <v>6773</v>
      </c>
      <c r="AZ502" s="3" t="s">
        <v>74</v>
      </c>
      <c r="BB502" s="3" t="s">
        <v>6774</v>
      </c>
      <c r="BC502" s="3" t="s">
        <v>6775</v>
      </c>
      <c r="BD502" s="3" t="s">
        <v>6776</v>
      </c>
    </row>
    <row r="503" spans="1:56" ht="45.75" customHeight="1" x14ac:dyDescent="0.25">
      <c r="A503" s="7" t="s">
        <v>58</v>
      </c>
      <c r="B503" s="2" t="s">
        <v>6777</v>
      </c>
      <c r="C503" s="2" t="s">
        <v>6778</v>
      </c>
      <c r="D503" s="2" t="s">
        <v>6779</v>
      </c>
      <c r="F503" s="3" t="s">
        <v>58</v>
      </c>
      <c r="G503" s="3" t="s">
        <v>59</v>
      </c>
      <c r="H503" s="3" t="s">
        <v>58</v>
      </c>
      <c r="I503" s="3" t="s">
        <v>58</v>
      </c>
      <c r="J503" s="3" t="s">
        <v>60</v>
      </c>
      <c r="K503" s="2" t="s">
        <v>6780</v>
      </c>
      <c r="L503" s="2" t="s">
        <v>6781</v>
      </c>
      <c r="M503" s="3" t="s">
        <v>629</v>
      </c>
      <c r="O503" s="3" t="s">
        <v>65</v>
      </c>
      <c r="P503" s="3" t="s">
        <v>336</v>
      </c>
      <c r="R503" s="3" t="s">
        <v>67</v>
      </c>
      <c r="S503" s="4">
        <v>15</v>
      </c>
      <c r="T503" s="4">
        <v>15</v>
      </c>
      <c r="U503" s="5" t="s">
        <v>6782</v>
      </c>
      <c r="V503" s="5" t="s">
        <v>6782</v>
      </c>
      <c r="W503" s="5" t="s">
        <v>6783</v>
      </c>
      <c r="X503" s="5" t="s">
        <v>6783</v>
      </c>
      <c r="Y503" s="4">
        <v>742</v>
      </c>
      <c r="Z503" s="4">
        <v>634</v>
      </c>
      <c r="AA503" s="4">
        <v>700</v>
      </c>
      <c r="AB503" s="4">
        <v>4</v>
      </c>
      <c r="AC503" s="4">
        <v>4</v>
      </c>
      <c r="AD503" s="4">
        <v>31</v>
      </c>
      <c r="AE503" s="4">
        <v>34</v>
      </c>
      <c r="AF503" s="4">
        <v>14</v>
      </c>
      <c r="AG503" s="4">
        <v>16</v>
      </c>
      <c r="AH503" s="4">
        <v>6</v>
      </c>
      <c r="AI503" s="4">
        <v>7</v>
      </c>
      <c r="AJ503" s="4">
        <v>15</v>
      </c>
      <c r="AK503" s="4">
        <v>16</v>
      </c>
      <c r="AL503" s="4">
        <v>3</v>
      </c>
      <c r="AM503" s="4">
        <v>3</v>
      </c>
      <c r="AN503" s="4">
        <v>2</v>
      </c>
      <c r="AO503" s="4">
        <v>2</v>
      </c>
      <c r="AP503" s="3" t="s">
        <v>58</v>
      </c>
      <c r="AQ503" s="3" t="s">
        <v>58</v>
      </c>
      <c r="AS503" s="6" t="str">
        <f>HYPERLINK("https://creighton-primo.hosted.exlibrisgroup.com/primo-explore/search?tab=default_tab&amp;search_scope=EVERYTHING&amp;vid=01CRU&amp;lang=en_US&amp;offset=0&amp;query=any,contains,991002243479702656","Catalog Record")</f>
        <v>Catalog Record</v>
      </c>
      <c r="AT503" s="6" t="str">
        <f>HYPERLINK("http://www.worldcat.org/oclc/28929046","WorldCat Record")</f>
        <v>WorldCat Record</v>
      </c>
      <c r="AU503" s="3" t="s">
        <v>6784</v>
      </c>
      <c r="AV503" s="3" t="s">
        <v>6785</v>
      </c>
      <c r="AW503" s="3" t="s">
        <v>6786</v>
      </c>
      <c r="AX503" s="3" t="s">
        <v>6786</v>
      </c>
      <c r="AY503" s="3" t="s">
        <v>6787</v>
      </c>
      <c r="AZ503" s="3" t="s">
        <v>74</v>
      </c>
      <c r="BB503" s="3" t="s">
        <v>6788</v>
      </c>
      <c r="BC503" s="3" t="s">
        <v>6789</v>
      </c>
      <c r="BD503" s="3" t="s">
        <v>6790</v>
      </c>
    </row>
    <row r="504" spans="1:56" ht="45.75" customHeight="1" x14ac:dyDescent="0.25">
      <c r="A504" s="7" t="s">
        <v>58</v>
      </c>
      <c r="B504" s="2" t="s">
        <v>6791</v>
      </c>
      <c r="C504" s="2" t="s">
        <v>6792</v>
      </c>
      <c r="D504" s="2" t="s">
        <v>6793</v>
      </c>
      <c r="F504" s="3" t="s">
        <v>58</v>
      </c>
      <c r="G504" s="3" t="s">
        <v>59</v>
      </c>
      <c r="H504" s="3" t="s">
        <v>58</v>
      </c>
      <c r="I504" s="3" t="s">
        <v>58</v>
      </c>
      <c r="J504" s="3" t="s">
        <v>60</v>
      </c>
      <c r="K504" s="2" t="s">
        <v>6794</v>
      </c>
      <c r="L504" s="2" t="s">
        <v>6795</v>
      </c>
      <c r="M504" s="3" t="s">
        <v>1032</v>
      </c>
      <c r="O504" s="3" t="s">
        <v>65</v>
      </c>
      <c r="P504" s="3" t="s">
        <v>772</v>
      </c>
      <c r="R504" s="3" t="s">
        <v>67</v>
      </c>
      <c r="S504" s="4">
        <v>5</v>
      </c>
      <c r="T504" s="4">
        <v>5</v>
      </c>
      <c r="U504" s="5" t="s">
        <v>6796</v>
      </c>
      <c r="V504" s="5" t="s">
        <v>6796</v>
      </c>
      <c r="W504" s="5" t="s">
        <v>4919</v>
      </c>
      <c r="X504" s="5" t="s">
        <v>4919</v>
      </c>
      <c r="Y504" s="4">
        <v>232</v>
      </c>
      <c r="Z504" s="4">
        <v>183</v>
      </c>
      <c r="AA504" s="4">
        <v>188</v>
      </c>
      <c r="AB504" s="4">
        <v>1</v>
      </c>
      <c r="AC504" s="4">
        <v>1</v>
      </c>
      <c r="AD504" s="4">
        <v>6</v>
      </c>
      <c r="AE504" s="4">
        <v>6</v>
      </c>
      <c r="AF504" s="4">
        <v>0</v>
      </c>
      <c r="AG504" s="4">
        <v>0</v>
      </c>
      <c r="AH504" s="4">
        <v>3</v>
      </c>
      <c r="AI504" s="4">
        <v>3</v>
      </c>
      <c r="AJ504" s="4">
        <v>5</v>
      </c>
      <c r="AK504" s="4">
        <v>5</v>
      </c>
      <c r="AL504" s="4">
        <v>0</v>
      </c>
      <c r="AM504" s="4">
        <v>0</v>
      </c>
      <c r="AN504" s="4">
        <v>0</v>
      </c>
      <c r="AO504" s="4">
        <v>0</v>
      </c>
      <c r="AP504" s="3" t="s">
        <v>58</v>
      </c>
      <c r="AQ504" s="3" t="s">
        <v>58</v>
      </c>
      <c r="AS504" s="6" t="str">
        <f>HYPERLINK("https://creighton-primo.hosted.exlibrisgroup.com/primo-explore/search?tab=default_tab&amp;search_scope=EVERYTHING&amp;vid=01CRU&amp;lang=en_US&amp;offset=0&amp;query=any,contains,991003260479702656","Catalog Record")</f>
        <v>Catalog Record</v>
      </c>
      <c r="AT504" s="6" t="str">
        <f>HYPERLINK("http://www.worldcat.org/oclc/36284080","WorldCat Record")</f>
        <v>WorldCat Record</v>
      </c>
      <c r="AU504" s="3" t="s">
        <v>6797</v>
      </c>
      <c r="AV504" s="3" t="s">
        <v>6798</v>
      </c>
      <c r="AW504" s="3" t="s">
        <v>6799</v>
      </c>
      <c r="AX504" s="3" t="s">
        <v>6799</v>
      </c>
      <c r="AY504" s="3" t="s">
        <v>6800</v>
      </c>
      <c r="AZ504" s="3" t="s">
        <v>74</v>
      </c>
      <c r="BB504" s="3" t="s">
        <v>6801</v>
      </c>
      <c r="BC504" s="3" t="s">
        <v>6802</v>
      </c>
      <c r="BD504" s="3" t="s">
        <v>6803</v>
      </c>
    </row>
    <row r="505" spans="1:56" ht="45.75" customHeight="1" x14ac:dyDescent="0.25">
      <c r="A505" s="7" t="s">
        <v>58</v>
      </c>
      <c r="B505" s="2" t="s">
        <v>6804</v>
      </c>
      <c r="C505" s="2" t="s">
        <v>6805</v>
      </c>
      <c r="D505" s="2" t="s">
        <v>6806</v>
      </c>
      <c r="F505" s="3" t="s">
        <v>58</v>
      </c>
      <c r="G505" s="3" t="s">
        <v>59</v>
      </c>
      <c r="H505" s="3" t="s">
        <v>58</v>
      </c>
      <c r="I505" s="3" t="s">
        <v>58</v>
      </c>
      <c r="J505" s="3" t="s">
        <v>60</v>
      </c>
      <c r="L505" s="2" t="s">
        <v>6807</v>
      </c>
      <c r="M505" s="3" t="s">
        <v>557</v>
      </c>
      <c r="O505" s="3" t="s">
        <v>65</v>
      </c>
      <c r="P505" s="3" t="s">
        <v>1282</v>
      </c>
      <c r="Q505" s="2" t="s">
        <v>6808</v>
      </c>
      <c r="R505" s="3" t="s">
        <v>67</v>
      </c>
      <c r="S505" s="4">
        <v>4</v>
      </c>
      <c r="T505" s="4">
        <v>4</v>
      </c>
      <c r="U505" s="5" t="s">
        <v>6809</v>
      </c>
      <c r="V505" s="5" t="s">
        <v>6809</v>
      </c>
      <c r="W505" s="5" t="s">
        <v>6810</v>
      </c>
      <c r="X505" s="5" t="s">
        <v>6810</v>
      </c>
      <c r="Y505" s="4">
        <v>287</v>
      </c>
      <c r="Z505" s="4">
        <v>200</v>
      </c>
      <c r="AA505" s="4">
        <v>200</v>
      </c>
      <c r="AB505" s="4">
        <v>2</v>
      </c>
      <c r="AC505" s="4">
        <v>2</v>
      </c>
      <c r="AD505" s="4">
        <v>11</v>
      </c>
      <c r="AE505" s="4">
        <v>11</v>
      </c>
      <c r="AF505" s="4">
        <v>3</v>
      </c>
      <c r="AG505" s="4">
        <v>3</v>
      </c>
      <c r="AH505" s="4">
        <v>4</v>
      </c>
      <c r="AI505" s="4">
        <v>4</v>
      </c>
      <c r="AJ505" s="4">
        <v>5</v>
      </c>
      <c r="AK505" s="4">
        <v>5</v>
      </c>
      <c r="AL505" s="4">
        <v>1</v>
      </c>
      <c r="AM505" s="4">
        <v>1</v>
      </c>
      <c r="AN505" s="4">
        <v>1</v>
      </c>
      <c r="AO505" s="4">
        <v>1</v>
      </c>
      <c r="AP505" s="3" t="s">
        <v>58</v>
      </c>
      <c r="AQ505" s="3" t="s">
        <v>58</v>
      </c>
      <c r="AS505" s="6" t="str">
        <f>HYPERLINK("https://creighton-primo.hosted.exlibrisgroup.com/primo-explore/search?tab=default_tab&amp;search_scope=EVERYTHING&amp;vid=01CRU&amp;lang=en_US&amp;offset=0&amp;query=any,contains,991002194799702656","Catalog Record")</f>
        <v>Catalog Record</v>
      </c>
      <c r="AT505" s="6" t="str">
        <f>HYPERLINK("http://www.worldcat.org/oclc/28218645","WorldCat Record")</f>
        <v>WorldCat Record</v>
      </c>
      <c r="AU505" s="3" t="s">
        <v>6811</v>
      </c>
      <c r="AV505" s="3" t="s">
        <v>6812</v>
      </c>
      <c r="AW505" s="3" t="s">
        <v>6813</v>
      </c>
      <c r="AX505" s="3" t="s">
        <v>6813</v>
      </c>
      <c r="AY505" s="3" t="s">
        <v>6814</v>
      </c>
      <c r="AZ505" s="3" t="s">
        <v>74</v>
      </c>
      <c r="BB505" s="3" t="s">
        <v>6815</v>
      </c>
      <c r="BC505" s="3" t="s">
        <v>6816</v>
      </c>
      <c r="BD505" s="3" t="s">
        <v>6817</v>
      </c>
    </row>
    <row r="506" spans="1:56" ht="45.75" customHeight="1" x14ac:dyDescent="0.25">
      <c r="A506" s="7" t="s">
        <v>58</v>
      </c>
      <c r="B506" s="2" t="s">
        <v>6818</v>
      </c>
      <c r="C506" s="2" t="s">
        <v>6819</v>
      </c>
      <c r="D506" s="2" t="s">
        <v>6820</v>
      </c>
      <c r="F506" s="3" t="s">
        <v>58</v>
      </c>
      <c r="G506" s="3" t="s">
        <v>59</v>
      </c>
      <c r="H506" s="3" t="s">
        <v>58</v>
      </c>
      <c r="I506" s="3" t="s">
        <v>58</v>
      </c>
      <c r="J506" s="3" t="s">
        <v>60</v>
      </c>
      <c r="K506" s="2" t="s">
        <v>6821</v>
      </c>
      <c r="L506" s="2" t="s">
        <v>6822</v>
      </c>
      <c r="M506" s="3" t="s">
        <v>307</v>
      </c>
      <c r="O506" s="3" t="s">
        <v>65</v>
      </c>
      <c r="P506" s="3" t="s">
        <v>84</v>
      </c>
      <c r="R506" s="3" t="s">
        <v>67</v>
      </c>
      <c r="S506" s="4">
        <v>2</v>
      </c>
      <c r="T506" s="4">
        <v>2</v>
      </c>
      <c r="U506" s="5" t="s">
        <v>6823</v>
      </c>
      <c r="V506" s="5" t="s">
        <v>6823</v>
      </c>
      <c r="W506" s="5" t="s">
        <v>6824</v>
      </c>
      <c r="X506" s="5" t="s">
        <v>6824</v>
      </c>
      <c r="Y506" s="4">
        <v>259</v>
      </c>
      <c r="Z506" s="4">
        <v>242</v>
      </c>
      <c r="AA506" s="4">
        <v>247</v>
      </c>
      <c r="AB506" s="4">
        <v>2</v>
      </c>
      <c r="AC506" s="4">
        <v>2</v>
      </c>
      <c r="AD506" s="4">
        <v>25</v>
      </c>
      <c r="AE506" s="4">
        <v>25</v>
      </c>
      <c r="AF506" s="4">
        <v>8</v>
      </c>
      <c r="AG506" s="4">
        <v>8</v>
      </c>
      <c r="AH506" s="4">
        <v>6</v>
      </c>
      <c r="AI506" s="4">
        <v>6</v>
      </c>
      <c r="AJ506" s="4">
        <v>19</v>
      </c>
      <c r="AK506" s="4">
        <v>19</v>
      </c>
      <c r="AL506" s="4">
        <v>1</v>
      </c>
      <c r="AM506" s="4">
        <v>1</v>
      </c>
      <c r="AN506" s="4">
        <v>1</v>
      </c>
      <c r="AO506" s="4">
        <v>1</v>
      </c>
      <c r="AP506" s="3" t="s">
        <v>58</v>
      </c>
      <c r="AQ506" s="3" t="s">
        <v>58</v>
      </c>
      <c r="AS506" s="6" t="str">
        <f>HYPERLINK("https://creighton-primo.hosted.exlibrisgroup.com/primo-explore/search?tab=default_tab&amp;search_scope=EVERYTHING&amp;vid=01CRU&amp;lang=en_US&amp;offset=0&amp;query=any,contains,991002407789702656","Catalog Record")</f>
        <v>Catalog Record</v>
      </c>
      <c r="AT506" s="6" t="str">
        <f>HYPERLINK("http://www.worldcat.org/oclc/31328579","WorldCat Record")</f>
        <v>WorldCat Record</v>
      </c>
      <c r="AU506" s="3" t="s">
        <v>6825</v>
      </c>
      <c r="AV506" s="3" t="s">
        <v>6826</v>
      </c>
      <c r="AW506" s="3" t="s">
        <v>6827</v>
      </c>
      <c r="AX506" s="3" t="s">
        <v>6827</v>
      </c>
      <c r="AY506" s="3" t="s">
        <v>6828</v>
      </c>
      <c r="AZ506" s="3" t="s">
        <v>74</v>
      </c>
      <c r="BB506" s="3" t="s">
        <v>6829</v>
      </c>
      <c r="BC506" s="3" t="s">
        <v>6830</v>
      </c>
      <c r="BD506" s="3" t="s">
        <v>6831</v>
      </c>
    </row>
    <row r="507" spans="1:56" ht="45.75" customHeight="1" x14ac:dyDescent="0.25">
      <c r="A507" s="7" t="s">
        <v>58</v>
      </c>
      <c r="B507" s="2" t="s">
        <v>6832</v>
      </c>
      <c r="C507" s="2" t="s">
        <v>6833</v>
      </c>
      <c r="D507" s="2" t="s">
        <v>6834</v>
      </c>
      <c r="F507" s="3" t="s">
        <v>58</v>
      </c>
      <c r="G507" s="3" t="s">
        <v>59</v>
      </c>
      <c r="H507" s="3" t="s">
        <v>58</v>
      </c>
      <c r="I507" s="3" t="s">
        <v>58</v>
      </c>
      <c r="J507" s="3" t="s">
        <v>60</v>
      </c>
      <c r="L507" s="2" t="s">
        <v>4369</v>
      </c>
      <c r="M507" s="3" t="s">
        <v>116</v>
      </c>
      <c r="O507" s="3" t="s">
        <v>65</v>
      </c>
      <c r="P507" s="3" t="s">
        <v>66</v>
      </c>
      <c r="R507" s="3" t="s">
        <v>67</v>
      </c>
      <c r="S507" s="4">
        <v>1</v>
      </c>
      <c r="T507" s="4">
        <v>1</v>
      </c>
      <c r="U507" s="5" t="s">
        <v>6823</v>
      </c>
      <c r="V507" s="5" t="s">
        <v>6823</v>
      </c>
      <c r="W507" s="5" t="s">
        <v>6835</v>
      </c>
      <c r="X507" s="5" t="s">
        <v>6835</v>
      </c>
      <c r="Y507" s="4">
        <v>534</v>
      </c>
      <c r="Z507" s="4">
        <v>438</v>
      </c>
      <c r="AA507" s="4">
        <v>444</v>
      </c>
      <c r="AB507" s="4">
        <v>5</v>
      </c>
      <c r="AC507" s="4">
        <v>5</v>
      </c>
      <c r="AD507" s="4">
        <v>25</v>
      </c>
      <c r="AE507" s="4">
        <v>25</v>
      </c>
      <c r="AF507" s="4">
        <v>10</v>
      </c>
      <c r="AG507" s="4">
        <v>10</v>
      </c>
      <c r="AH507" s="4">
        <v>7</v>
      </c>
      <c r="AI507" s="4">
        <v>7</v>
      </c>
      <c r="AJ507" s="4">
        <v>10</v>
      </c>
      <c r="AK507" s="4">
        <v>10</v>
      </c>
      <c r="AL507" s="4">
        <v>4</v>
      </c>
      <c r="AM507" s="4">
        <v>4</v>
      </c>
      <c r="AN507" s="4">
        <v>2</v>
      </c>
      <c r="AO507" s="4">
        <v>2</v>
      </c>
      <c r="AP507" s="3" t="s">
        <v>58</v>
      </c>
      <c r="AQ507" s="3" t="s">
        <v>58</v>
      </c>
      <c r="AS507" s="6" t="str">
        <f>HYPERLINK("https://creighton-primo.hosted.exlibrisgroup.com/primo-explore/search?tab=default_tab&amp;search_scope=EVERYTHING&amp;vid=01CRU&amp;lang=en_US&amp;offset=0&amp;query=any,contains,991002906789702656","Catalog Record")</f>
        <v>Catalog Record</v>
      </c>
      <c r="AT507" s="6" t="str">
        <f>HYPERLINK("http://www.worldcat.org/oclc/38390596","WorldCat Record")</f>
        <v>WorldCat Record</v>
      </c>
      <c r="AU507" s="3" t="s">
        <v>6836</v>
      </c>
      <c r="AV507" s="3" t="s">
        <v>6837</v>
      </c>
      <c r="AW507" s="3" t="s">
        <v>6838</v>
      </c>
      <c r="AX507" s="3" t="s">
        <v>6838</v>
      </c>
      <c r="AY507" s="3" t="s">
        <v>6839</v>
      </c>
      <c r="AZ507" s="3" t="s">
        <v>74</v>
      </c>
      <c r="BB507" s="3" t="s">
        <v>6840</v>
      </c>
      <c r="BC507" s="3" t="s">
        <v>6841</v>
      </c>
      <c r="BD507" s="3" t="s">
        <v>6842</v>
      </c>
    </row>
    <row r="508" spans="1:56" ht="45.75" customHeight="1" x14ac:dyDescent="0.25">
      <c r="A508" s="7" t="s">
        <v>58</v>
      </c>
      <c r="B508" s="2" t="s">
        <v>6843</v>
      </c>
      <c r="C508" s="2" t="s">
        <v>6844</v>
      </c>
      <c r="D508" s="2" t="s">
        <v>6845</v>
      </c>
      <c r="F508" s="3" t="s">
        <v>58</v>
      </c>
      <c r="G508" s="3" t="s">
        <v>59</v>
      </c>
      <c r="H508" s="3" t="s">
        <v>58</v>
      </c>
      <c r="I508" s="3" t="s">
        <v>58</v>
      </c>
      <c r="J508" s="3" t="s">
        <v>60</v>
      </c>
      <c r="L508" s="2" t="s">
        <v>6846</v>
      </c>
      <c r="M508" s="3" t="s">
        <v>1088</v>
      </c>
      <c r="O508" s="3" t="s">
        <v>65</v>
      </c>
      <c r="P508" s="3" t="s">
        <v>84</v>
      </c>
      <c r="R508" s="3" t="s">
        <v>67</v>
      </c>
      <c r="S508" s="4">
        <v>5</v>
      </c>
      <c r="T508" s="4">
        <v>5</v>
      </c>
      <c r="U508" s="5" t="s">
        <v>6847</v>
      </c>
      <c r="V508" s="5" t="s">
        <v>6847</v>
      </c>
      <c r="W508" s="5" t="s">
        <v>6848</v>
      </c>
      <c r="X508" s="5" t="s">
        <v>6848</v>
      </c>
      <c r="Y508" s="4">
        <v>312</v>
      </c>
      <c r="Z508" s="4">
        <v>263</v>
      </c>
      <c r="AA508" s="4">
        <v>268</v>
      </c>
      <c r="AB508" s="4">
        <v>3</v>
      </c>
      <c r="AC508" s="4">
        <v>3</v>
      </c>
      <c r="AD508" s="4">
        <v>18</v>
      </c>
      <c r="AE508" s="4">
        <v>18</v>
      </c>
      <c r="AF508" s="4">
        <v>7</v>
      </c>
      <c r="AG508" s="4">
        <v>7</v>
      </c>
      <c r="AH508" s="4">
        <v>5</v>
      </c>
      <c r="AI508" s="4">
        <v>5</v>
      </c>
      <c r="AJ508" s="4">
        <v>8</v>
      </c>
      <c r="AK508" s="4">
        <v>8</v>
      </c>
      <c r="AL508" s="4">
        <v>2</v>
      </c>
      <c r="AM508" s="4">
        <v>2</v>
      </c>
      <c r="AN508" s="4">
        <v>2</v>
      </c>
      <c r="AO508" s="4">
        <v>2</v>
      </c>
      <c r="AP508" s="3" t="s">
        <v>58</v>
      </c>
      <c r="AQ508" s="3" t="s">
        <v>58</v>
      </c>
      <c r="AS508" s="6" t="str">
        <f>HYPERLINK("https://creighton-primo.hosted.exlibrisgroup.com/primo-explore/search?tab=default_tab&amp;search_scope=EVERYTHING&amp;vid=01CRU&amp;lang=en_US&amp;offset=0&amp;query=any,contains,991000568399702656","Catalog Record")</f>
        <v>Catalog Record</v>
      </c>
      <c r="AT508" s="6" t="str">
        <f>HYPERLINK("http://www.worldcat.org/oclc/11623856","WorldCat Record")</f>
        <v>WorldCat Record</v>
      </c>
      <c r="AU508" s="3" t="s">
        <v>6849</v>
      </c>
      <c r="AV508" s="3" t="s">
        <v>6850</v>
      </c>
      <c r="AW508" s="3" t="s">
        <v>6851</v>
      </c>
      <c r="AX508" s="3" t="s">
        <v>6851</v>
      </c>
      <c r="AY508" s="3" t="s">
        <v>6852</v>
      </c>
      <c r="AZ508" s="3" t="s">
        <v>74</v>
      </c>
      <c r="BB508" s="3" t="s">
        <v>6853</v>
      </c>
      <c r="BC508" s="3" t="s">
        <v>6854</v>
      </c>
      <c r="BD508" s="3" t="s">
        <v>6855</v>
      </c>
    </row>
    <row r="509" spans="1:56" ht="45.75" customHeight="1" x14ac:dyDescent="0.25">
      <c r="A509" s="7" t="s">
        <v>58</v>
      </c>
      <c r="B509" s="2" t="s">
        <v>6856</v>
      </c>
      <c r="C509" s="2" t="s">
        <v>6857</v>
      </c>
      <c r="D509" s="2" t="s">
        <v>6858</v>
      </c>
      <c r="F509" s="3" t="s">
        <v>58</v>
      </c>
      <c r="G509" s="3" t="s">
        <v>59</v>
      </c>
      <c r="H509" s="3" t="s">
        <v>58</v>
      </c>
      <c r="I509" s="3" t="s">
        <v>58</v>
      </c>
      <c r="J509" s="3" t="s">
        <v>60</v>
      </c>
      <c r="K509" s="2" t="s">
        <v>6859</v>
      </c>
      <c r="L509" s="2" t="s">
        <v>6860</v>
      </c>
      <c r="M509" s="3" t="s">
        <v>63</v>
      </c>
      <c r="N509" s="2" t="s">
        <v>543</v>
      </c>
      <c r="O509" s="3" t="s">
        <v>65</v>
      </c>
      <c r="P509" s="3" t="s">
        <v>84</v>
      </c>
      <c r="R509" s="3" t="s">
        <v>67</v>
      </c>
      <c r="S509" s="4">
        <v>1</v>
      </c>
      <c r="T509" s="4">
        <v>1</v>
      </c>
      <c r="U509" s="5" t="s">
        <v>6861</v>
      </c>
      <c r="V509" s="5" t="s">
        <v>6861</v>
      </c>
      <c r="W509" s="5" t="s">
        <v>6861</v>
      </c>
      <c r="X509" s="5" t="s">
        <v>6861</v>
      </c>
      <c r="Y509" s="4">
        <v>776</v>
      </c>
      <c r="Z509" s="4">
        <v>600</v>
      </c>
      <c r="AA509" s="4">
        <v>601</v>
      </c>
      <c r="AB509" s="4">
        <v>3</v>
      </c>
      <c r="AC509" s="4">
        <v>3</v>
      </c>
      <c r="AD509" s="4">
        <v>25</v>
      </c>
      <c r="AE509" s="4">
        <v>25</v>
      </c>
      <c r="AF509" s="4">
        <v>12</v>
      </c>
      <c r="AG509" s="4">
        <v>12</v>
      </c>
      <c r="AH509" s="4">
        <v>8</v>
      </c>
      <c r="AI509" s="4">
        <v>8</v>
      </c>
      <c r="AJ509" s="4">
        <v>13</v>
      </c>
      <c r="AK509" s="4">
        <v>13</v>
      </c>
      <c r="AL509" s="4">
        <v>2</v>
      </c>
      <c r="AM509" s="4">
        <v>2</v>
      </c>
      <c r="AN509" s="4">
        <v>0</v>
      </c>
      <c r="AO509" s="4">
        <v>0</v>
      </c>
      <c r="AP509" s="3" t="s">
        <v>58</v>
      </c>
      <c r="AQ509" s="3" t="s">
        <v>58</v>
      </c>
      <c r="AS509" s="6" t="str">
        <f>HYPERLINK("https://creighton-primo.hosted.exlibrisgroup.com/primo-explore/search?tab=default_tab&amp;search_scope=EVERYTHING&amp;vid=01CRU&amp;lang=en_US&amp;offset=0&amp;query=any,contains,991005307369702656","Catalog Record")</f>
        <v>Catalog Record</v>
      </c>
      <c r="AT509" s="6" t="str">
        <f>HYPERLINK("http://www.worldcat.org/oclc/57134404","WorldCat Record")</f>
        <v>WorldCat Record</v>
      </c>
      <c r="AU509" s="3" t="s">
        <v>6862</v>
      </c>
      <c r="AV509" s="3" t="s">
        <v>6863</v>
      </c>
      <c r="AW509" s="3" t="s">
        <v>6864</v>
      </c>
      <c r="AX509" s="3" t="s">
        <v>6864</v>
      </c>
      <c r="AY509" s="3" t="s">
        <v>6865</v>
      </c>
      <c r="AZ509" s="3" t="s">
        <v>74</v>
      </c>
      <c r="BB509" s="3" t="s">
        <v>6866</v>
      </c>
      <c r="BC509" s="3" t="s">
        <v>6867</v>
      </c>
      <c r="BD509" s="3" t="s">
        <v>6868</v>
      </c>
    </row>
    <row r="510" spans="1:56" ht="45.75" customHeight="1" x14ac:dyDescent="0.25">
      <c r="A510" s="7" t="s">
        <v>58</v>
      </c>
      <c r="B510" s="2" t="s">
        <v>6869</v>
      </c>
      <c r="C510" s="2" t="s">
        <v>6870</v>
      </c>
      <c r="D510" s="2" t="s">
        <v>6871</v>
      </c>
      <c r="F510" s="3" t="s">
        <v>58</v>
      </c>
      <c r="G510" s="3" t="s">
        <v>59</v>
      </c>
      <c r="H510" s="3" t="s">
        <v>58</v>
      </c>
      <c r="I510" s="3" t="s">
        <v>58</v>
      </c>
      <c r="J510" s="3" t="s">
        <v>60</v>
      </c>
      <c r="K510" s="2" t="s">
        <v>6872</v>
      </c>
      <c r="L510" s="2" t="s">
        <v>6873</v>
      </c>
      <c r="M510" s="3" t="s">
        <v>220</v>
      </c>
      <c r="O510" s="3" t="s">
        <v>65</v>
      </c>
      <c r="P510" s="3" t="s">
        <v>190</v>
      </c>
      <c r="R510" s="3" t="s">
        <v>67</v>
      </c>
      <c r="S510" s="4">
        <v>18</v>
      </c>
      <c r="T510" s="4">
        <v>18</v>
      </c>
      <c r="U510" s="5" t="s">
        <v>6874</v>
      </c>
      <c r="V510" s="5" t="s">
        <v>6874</v>
      </c>
      <c r="W510" s="5" t="s">
        <v>6875</v>
      </c>
      <c r="X510" s="5" t="s">
        <v>6875</v>
      </c>
      <c r="Y510" s="4">
        <v>441</v>
      </c>
      <c r="Z510" s="4">
        <v>342</v>
      </c>
      <c r="AA510" s="4">
        <v>347</v>
      </c>
      <c r="AB510" s="4">
        <v>2</v>
      </c>
      <c r="AC510" s="4">
        <v>2</v>
      </c>
      <c r="AD510" s="4">
        <v>16</v>
      </c>
      <c r="AE510" s="4">
        <v>16</v>
      </c>
      <c r="AF510" s="4">
        <v>5</v>
      </c>
      <c r="AG510" s="4">
        <v>5</v>
      </c>
      <c r="AH510" s="4">
        <v>7</v>
      </c>
      <c r="AI510" s="4">
        <v>7</v>
      </c>
      <c r="AJ510" s="4">
        <v>8</v>
      </c>
      <c r="AK510" s="4">
        <v>8</v>
      </c>
      <c r="AL510" s="4">
        <v>1</v>
      </c>
      <c r="AM510" s="4">
        <v>1</v>
      </c>
      <c r="AN510" s="4">
        <v>0</v>
      </c>
      <c r="AO510" s="4">
        <v>0</v>
      </c>
      <c r="AP510" s="3" t="s">
        <v>58</v>
      </c>
      <c r="AQ510" s="3" t="s">
        <v>58</v>
      </c>
      <c r="AS510" s="6" t="str">
        <f>HYPERLINK("https://creighton-primo.hosted.exlibrisgroup.com/primo-explore/search?tab=default_tab&amp;search_scope=EVERYTHING&amp;vid=01CRU&amp;lang=en_US&amp;offset=0&amp;query=any,contains,991005429129702656","Catalog Record")</f>
        <v>Catalog Record</v>
      </c>
      <c r="AT510" s="6" t="str">
        <f>HYPERLINK("http://www.worldcat.org/oclc/39498617","WorldCat Record")</f>
        <v>WorldCat Record</v>
      </c>
      <c r="AU510" s="3" t="s">
        <v>6876</v>
      </c>
      <c r="AV510" s="3" t="s">
        <v>6877</v>
      </c>
      <c r="AW510" s="3" t="s">
        <v>6878</v>
      </c>
      <c r="AX510" s="3" t="s">
        <v>6878</v>
      </c>
      <c r="AY510" s="3" t="s">
        <v>6879</v>
      </c>
      <c r="AZ510" s="3" t="s">
        <v>74</v>
      </c>
      <c r="BB510" s="3" t="s">
        <v>6880</v>
      </c>
      <c r="BC510" s="3" t="s">
        <v>6881</v>
      </c>
      <c r="BD510" s="3" t="s">
        <v>6882</v>
      </c>
    </row>
    <row r="511" spans="1:56" ht="45.75" customHeight="1" x14ac:dyDescent="0.25">
      <c r="A511" s="7" t="s">
        <v>58</v>
      </c>
      <c r="B511" s="2" t="s">
        <v>6883</v>
      </c>
      <c r="C511" s="2" t="s">
        <v>6884</v>
      </c>
      <c r="D511" s="2" t="s">
        <v>6885</v>
      </c>
      <c r="F511" s="3" t="s">
        <v>58</v>
      </c>
      <c r="G511" s="3" t="s">
        <v>59</v>
      </c>
      <c r="H511" s="3" t="s">
        <v>58</v>
      </c>
      <c r="I511" s="3" t="s">
        <v>58</v>
      </c>
      <c r="J511" s="3" t="s">
        <v>60</v>
      </c>
      <c r="L511" s="2" t="s">
        <v>6886</v>
      </c>
      <c r="M511" s="3" t="s">
        <v>1209</v>
      </c>
      <c r="O511" s="3" t="s">
        <v>65</v>
      </c>
      <c r="P511" s="3" t="s">
        <v>6887</v>
      </c>
      <c r="Q511" s="2" t="s">
        <v>6888</v>
      </c>
      <c r="R511" s="3" t="s">
        <v>67</v>
      </c>
      <c r="S511" s="4">
        <v>7</v>
      </c>
      <c r="T511" s="4">
        <v>7</v>
      </c>
      <c r="U511" s="5" t="s">
        <v>4002</v>
      </c>
      <c r="V511" s="5" t="s">
        <v>4002</v>
      </c>
      <c r="W511" s="5" t="s">
        <v>6557</v>
      </c>
      <c r="X511" s="5" t="s">
        <v>6557</v>
      </c>
      <c r="Y511" s="4">
        <v>153</v>
      </c>
      <c r="Z511" s="4">
        <v>77</v>
      </c>
      <c r="AA511" s="4">
        <v>77</v>
      </c>
      <c r="AB511" s="4">
        <v>1</v>
      </c>
      <c r="AC511" s="4">
        <v>1</v>
      </c>
      <c r="AD511" s="4">
        <v>3</v>
      </c>
      <c r="AE511" s="4">
        <v>3</v>
      </c>
      <c r="AF511" s="4">
        <v>1</v>
      </c>
      <c r="AG511" s="4">
        <v>1</v>
      </c>
      <c r="AH511" s="4">
        <v>1</v>
      </c>
      <c r="AI511" s="4">
        <v>1</v>
      </c>
      <c r="AJ511" s="4">
        <v>2</v>
      </c>
      <c r="AK511" s="4">
        <v>2</v>
      </c>
      <c r="AL511" s="4">
        <v>0</v>
      </c>
      <c r="AM511" s="4">
        <v>0</v>
      </c>
      <c r="AN511" s="4">
        <v>0</v>
      </c>
      <c r="AO511" s="4">
        <v>0</v>
      </c>
      <c r="AP511" s="3" t="s">
        <v>58</v>
      </c>
      <c r="AQ511" s="3" t="s">
        <v>58</v>
      </c>
      <c r="AS511" s="6" t="str">
        <f>HYPERLINK("https://creighton-primo.hosted.exlibrisgroup.com/primo-explore/search?tab=default_tab&amp;search_scope=EVERYTHING&amp;vid=01CRU&amp;lang=en_US&amp;offset=0&amp;query=any,contains,991001287719702656","Catalog Record")</f>
        <v>Catalog Record</v>
      </c>
      <c r="AT511" s="6" t="str">
        <f>HYPERLINK("http://www.worldcat.org/oclc/17977909","WorldCat Record")</f>
        <v>WorldCat Record</v>
      </c>
      <c r="AU511" s="3" t="s">
        <v>6889</v>
      </c>
      <c r="AV511" s="3" t="s">
        <v>6890</v>
      </c>
      <c r="AW511" s="3" t="s">
        <v>6891</v>
      </c>
      <c r="AX511" s="3" t="s">
        <v>6891</v>
      </c>
      <c r="AY511" s="3" t="s">
        <v>6892</v>
      </c>
      <c r="AZ511" s="3" t="s">
        <v>74</v>
      </c>
      <c r="BB511" s="3" t="s">
        <v>6893</v>
      </c>
      <c r="BC511" s="3" t="s">
        <v>6894</v>
      </c>
      <c r="BD511" s="3" t="s">
        <v>6895</v>
      </c>
    </row>
    <row r="512" spans="1:56" ht="45.75" customHeight="1" x14ac:dyDescent="0.25">
      <c r="A512" s="7" t="s">
        <v>58</v>
      </c>
      <c r="B512" s="2" t="s">
        <v>6896</v>
      </c>
      <c r="C512" s="2" t="s">
        <v>6897</v>
      </c>
      <c r="D512" s="2" t="s">
        <v>6898</v>
      </c>
      <c r="F512" s="3" t="s">
        <v>58</v>
      </c>
      <c r="G512" s="3" t="s">
        <v>59</v>
      </c>
      <c r="H512" s="3" t="s">
        <v>58</v>
      </c>
      <c r="I512" s="3" t="s">
        <v>58</v>
      </c>
      <c r="J512" s="3" t="s">
        <v>60</v>
      </c>
      <c r="K512" s="2" t="s">
        <v>6899</v>
      </c>
      <c r="L512" s="2" t="s">
        <v>6900</v>
      </c>
      <c r="M512" s="3" t="s">
        <v>419</v>
      </c>
      <c r="N512" s="2" t="s">
        <v>5706</v>
      </c>
      <c r="O512" s="3" t="s">
        <v>1527</v>
      </c>
      <c r="P512" s="3" t="s">
        <v>5707</v>
      </c>
      <c r="R512" s="3" t="s">
        <v>67</v>
      </c>
      <c r="S512" s="4">
        <v>1</v>
      </c>
      <c r="T512" s="4">
        <v>1</v>
      </c>
      <c r="U512" s="5" t="s">
        <v>6727</v>
      </c>
      <c r="V512" s="5" t="s">
        <v>6727</v>
      </c>
      <c r="W512" s="5" t="s">
        <v>6728</v>
      </c>
      <c r="X512" s="5" t="s">
        <v>6728</v>
      </c>
      <c r="Y512" s="4">
        <v>11</v>
      </c>
      <c r="Z512" s="4">
        <v>11</v>
      </c>
      <c r="AA512" s="4">
        <v>11</v>
      </c>
      <c r="AB512" s="4">
        <v>1</v>
      </c>
      <c r="AC512" s="4">
        <v>1</v>
      </c>
      <c r="AD512" s="4">
        <v>1</v>
      </c>
      <c r="AE512" s="4">
        <v>1</v>
      </c>
      <c r="AF512" s="4">
        <v>0</v>
      </c>
      <c r="AG512" s="4">
        <v>0</v>
      </c>
      <c r="AH512" s="4">
        <v>1</v>
      </c>
      <c r="AI512" s="4">
        <v>1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3" t="s">
        <v>58</v>
      </c>
      <c r="AQ512" s="3" t="s">
        <v>58</v>
      </c>
      <c r="AS512" s="6" t="str">
        <f>HYPERLINK("https://creighton-primo.hosted.exlibrisgroup.com/primo-explore/search?tab=default_tab&amp;search_scope=EVERYTHING&amp;vid=01CRU&amp;lang=en_US&amp;offset=0&amp;query=any,contains,991003625739702656","Catalog Record")</f>
        <v>Catalog Record</v>
      </c>
      <c r="AT512" s="6" t="str">
        <f>HYPERLINK("http://www.worldcat.org/oclc/47195146","WorldCat Record")</f>
        <v>WorldCat Record</v>
      </c>
      <c r="AU512" s="3" t="s">
        <v>6901</v>
      </c>
      <c r="AV512" s="3" t="s">
        <v>6902</v>
      </c>
      <c r="AW512" s="3" t="s">
        <v>6903</v>
      </c>
      <c r="AX512" s="3" t="s">
        <v>6903</v>
      </c>
      <c r="AY512" s="3" t="s">
        <v>6904</v>
      </c>
      <c r="AZ512" s="3" t="s">
        <v>74</v>
      </c>
      <c r="BC512" s="3" t="s">
        <v>6905</v>
      </c>
      <c r="BD512" s="3" t="s">
        <v>6906</v>
      </c>
    </row>
    <row r="513" spans="1:56" ht="45.75" customHeight="1" x14ac:dyDescent="0.25">
      <c r="A513" s="7" t="s">
        <v>58</v>
      </c>
      <c r="B513" s="2" t="s">
        <v>6907</v>
      </c>
      <c r="C513" s="2" t="s">
        <v>6908</v>
      </c>
      <c r="D513" s="2" t="s">
        <v>6909</v>
      </c>
      <c r="F513" s="3" t="s">
        <v>58</v>
      </c>
      <c r="G513" s="3" t="s">
        <v>59</v>
      </c>
      <c r="H513" s="3" t="s">
        <v>58</v>
      </c>
      <c r="I513" s="3" t="s">
        <v>58</v>
      </c>
      <c r="J513" s="3" t="s">
        <v>60</v>
      </c>
      <c r="L513" s="2" t="s">
        <v>6910</v>
      </c>
      <c r="M513" s="3" t="s">
        <v>203</v>
      </c>
      <c r="O513" s="3" t="s">
        <v>65</v>
      </c>
      <c r="P513" s="3" t="s">
        <v>175</v>
      </c>
      <c r="R513" s="3" t="s">
        <v>67</v>
      </c>
      <c r="S513" s="4">
        <v>1</v>
      </c>
      <c r="T513" s="4">
        <v>1</v>
      </c>
      <c r="U513" s="5" t="s">
        <v>6911</v>
      </c>
      <c r="V513" s="5" t="s">
        <v>6911</v>
      </c>
      <c r="W513" s="5" t="s">
        <v>6912</v>
      </c>
      <c r="X513" s="5" t="s">
        <v>6912</v>
      </c>
      <c r="Y513" s="4">
        <v>15</v>
      </c>
      <c r="Z513" s="4">
        <v>8</v>
      </c>
      <c r="AA513" s="4">
        <v>215</v>
      </c>
      <c r="AB513" s="4">
        <v>1</v>
      </c>
      <c r="AC513" s="4">
        <v>2</v>
      </c>
      <c r="AD513" s="4">
        <v>0</v>
      </c>
      <c r="AE513" s="4">
        <v>13</v>
      </c>
      <c r="AF513" s="4">
        <v>0</v>
      </c>
      <c r="AG513" s="4">
        <v>3</v>
      </c>
      <c r="AH513" s="4">
        <v>0</v>
      </c>
      <c r="AI513" s="4">
        <v>4</v>
      </c>
      <c r="AJ513" s="4">
        <v>0</v>
      </c>
      <c r="AK513" s="4">
        <v>8</v>
      </c>
      <c r="AL513" s="4">
        <v>0</v>
      </c>
      <c r="AM513" s="4">
        <v>1</v>
      </c>
      <c r="AN513" s="4">
        <v>0</v>
      </c>
      <c r="AO513" s="4">
        <v>0</v>
      </c>
      <c r="AP513" s="3" t="s">
        <v>58</v>
      </c>
      <c r="AQ513" s="3" t="s">
        <v>58</v>
      </c>
      <c r="AS513" s="6" t="str">
        <f>HYPERLINK("https://creighton-primo.hosted.exlibrisgroup.com/primo-explore/search?tab=default_tab&amp;search_scope=EVERYTHING&amp;vid=01CRU&amp;lang=en_US&amp;offset=0&amp;query=any,contains,991004525719702656","Catalog Record")</f>
        <v>Catalog Record</v>
      </c>
      <c r="AT513" s="6" t="str">
        <f>HYPERLINK("http://www.worldcat.org/oclc/49737780","WorldCat Record")</f>
        <v>WorldCat Record</v>
      </c>
      <c r="AU513" s="3" t="s">
        <v>6913</v>
      </c>
      <c r="AV513" s="3" t="s">
        <v>6914</v>
      </c>
      <c r="AW513" s="3" t="s">
        <v>6915</v>
      </c>
      <c r="AX513" s="3" t="s">
        <v>6915</v>
      </c>
      <c r="AY513" s="3" t="s">
        <v>6916</v>
      </c>
      <c r="AZ513" s="3" t="s">
        <v>74</v>
      </c>
      <c r="BB513" s="3" t="s">
        <v>6917</v>
      </c>
      <c r="BC513" s="3" t="s">
        <v>6918</v>
      </c>
      <c r="BD513" s="3" t="s">
        <v>6919</v>
      </c>
    </row>
    <row r="514" spans="1:56" ht="45.75" customHeight="1" x14ac:dyDescent="0.25">
      <c r="A514" s="7" t="s">
        <v>58</v>
      </c>
      <c r="B514" s="2" t="s">
        <v>6920</v>
      </c>
      <c r="C514" s="2" t="s">
        <v>6921</v>
      </c>
      <c r="D514" s="2" t="s">
        <v>6922</v>
      </c>
      <c r="F514" s="3" t="s">
        <v>58</v>
      </c>
      <c r="G514" s="3" t="s">
        <v>59</v>
      </c>
      <c r="H514" s="3" t="s">
        <v>58</v>
      </c>
      <c r="I514" s="3" t="s">
        <v>58</v>
      </c>
      <c r="J514" s="3" t="s">
        <v>60</v>
      </c>
      <c r="L514" s="2" t="s">
        <v>6923</v>
      </c>
      <c r="M514" s="3" t="s">
        <v>131</v>
      </c>
      <c r="O514" s="3" t="s">
        <v>65</v>
      </c>
      <c r="P514" s="3" t="s">
        <v>6924</v>
      </c>
      <c r="Q514" s="2" t="s">
        <v>6925</v>
      </c>
      <c r="R514" s="3" t="s">
        <v>67</v>
      </c>
      <c r="S514" s="4">
        <v>1</v>
      </c>
      <c r="T514" s="4">
        <v>1</v>
      </c>
      <c r="U514" s="5" t="s">
        <v>6926</v>
      </c>
      <c r="V514" s="5" t="s">
        <v>6926</v>
      </c>
      <c r="W514" s="5" t="s">
        <v>6926</v>
      </c>
      <c r="X514" s="5" t="s">
        <v>6926</v>
      </c>
      <c r="Y514" s="4">
        <v>362</v>
      </c>
      <c r="Z514" s="4">
        <v>249</v>
      </c>
      <c r="AA514" s="4">
        <v>255</v>
      </c>
      <c r="AB514" s="4">
        <v>2</v>
      </c>
      <c r="AC514" s="4">
        <v>2</v>
      </c>
      <c r="AD514" s="4">
        <v>12</v>
      </c>
      <c r="AE514" s="4">
        <v>12</v>
      </c>
      <c r="AF514" s="4">
        <v>5</v>
      </c>
      <c r="AG514" s="4">
        <v>5</v>
      </c>
      <c r="AH514" s="4">
        <v>6</v>
      </c>
      <c r="AI514" s="4">
        <v>6</v>
      </c>
      <c r="AJ514" s="4">
        <v>4</v>
      </c>
      <c r="AK514" s="4">
        <v>4</v>
      </c>
      <c r="AL514" s="4">
        <v>1</v>
      </c>
      <c r="AM514" s="4">
        <v>1</v>
      </c>
      <c r="AN514" s="4">
        <v>0</v>
      </c>
      <c r="AO514" s="4">
        <v>0</v>
      </c>
      <c r="AP514" s="3" t="s">
        <v>58</v>
      </c>
      <c r="AQ514" s="3" t="s">
        <v>58</v>
      </c>
      <c r="AS514" s="6" t="str">
        <f>HYPERLINK("https://creighton-primo.hosted.exlibrisgroup.com/primo-explore/search?tab=default_tab&amp;search_scope=EVERYTHING&amp;vid=01CRU&amp;lang=en_US&amp;offset=0&amp;query=any,contains,991005131859702656","Catalog Record")</f>
        <v>Catalog Record</v>
      </c>
      <c r="AT514" s="6" t="str">
        <f>HYPERLINK("http://www.worldcat.org/oclc/62679817","WorldCat Record")</f>
        <v>WorldCat Record</v>
      </c>
      <c r="AU514" s="3" t="s">
        <v>6927</v>
      </c>
      <c r="AV514" s="3" t="s">
        <v>6928</v>
      </c>
      <c r="AW514" s="3" t="s">
        <v>6929</v>
      </c>
      <c r="AX514" s="3" t="s">
        <v>6929</v>
      </c>
      <c r="AY514" s="3" t="s">
        <v>6930</v>
      </c>
      <c r="AZ514" s="3" t="s">
        <v>74</v>
      </c>
      <c r="BB514" s="3" t="s">
        <v>6931</v>
      </c>
      <c r="BC514" s="3" t="s">
        <v>6932</v>
      </c>
      <c r="BD514" s="3" t="s">
        <v>6933</v>
      </c>
    </row>
    <row r="515" spans="1:56" ht="45.75" customHeight="1" x14ac:dyDescent="0.25">
      <c r="A515" s="7" t="s">
        <v>58</v>
      </c>
      <c r="B515" s="2" t="s">
        <v>6934</v>
      </c>
      <c r="C515" s="2" t="s">
        <v>6935</v>
      </c>
      <c r="D515" s="2" t="s">
        <v>6936</v>
      </c>
      <c r="F515" s="3" t="s">
        <v>58</v>
      </c>
      <c r="G515" s="3" t="s">
        <v>59</v>
      </c>
      <c r="H515" s="3" t="s">
        <v>58</v>
      </c>
      <c r="I515" s="3" t="s">
        <v>58</v>
      </c>
      <c r="J515" s="3" t="s">
        <v>60</v>
      </c>
      <c r="L515" s="2" t="s">
        <v>4931</v>
      </c>
      <c r="M515" s="3" t="s">
        <v>1032</v>
      </c>
      <c r="O515" s="3" t="s">
        <v>65</v>
      </c>
      <c r="P515" s="3" t="s">
        <v>587</v>
      </c>
      <c r="R515" s="3" t="s">
        <v>67</v>
      </c>
      <c r="S515" s="4">
        <v>8</v>
      </c>
      <c r="T515" s="4">
        <v>8</v>
      </c>
      <c r="U515" s="5" t="s">
        <v>6570</v>
      </c>
      <c r="V515" s="5" t="s">
        <v>6570</v>
      </c>
      <c r="W515" s="5" t="s">
        <v>4568</v>
      </c>
      <c r="X515" s="5" t="s">
        <v>4568</v>
      </c>
      <c r="Y515" s="4">
        <v>168</v>
      </c>
      <c r="Z515" s="4">
        <v>154</v>
      </c>
      <c r="AA515" s="4">
        <v>157</v>
      </c>
      <c r="AB515" s="4">
        <v>2</v>
      </c>
      <c r="AC515" s="4">
        <v>2</v>
      </c>
      <c r="AD515" s="4">
        <v>10</v>
      </c>
      <c r="AE515" s="4">
        <v>10</v>
      </c>
      <c r="AF515" s="4">
        <v>1</v>
      </c>
      <c r="AG515" s="4">
        <v>1</v>
      </c>
      <c r="AH515" s="4">
        <v>3</v>
      </c>
      <c r="AI515" s="4">
        <v>3</v>
      </c>
      <c r="AJ515" s="4">
        <v>7</v>
      </c>
      <c r="AK515" s="4">
        <v>7</v>
      </c>
      <c r="AL515" s="4">
        <v>1</v>
      </c>
      <c r="AM515" s="4">
        <v>1</v>
      </c>
      <c r="AN515" s="4">
        <v>0</v>
      </c>
      <c r="AO515" s="4">
        <v>0</v>
      </c>
      <c r="AP515" s="3" t="s">
        <v>58</v>
      </c>
      <c r="AQ515" s="3" t="s">
        <v>87</v>
      </c>
      <c r="AR515" s="6" t="str">
        <f>HYPERLINK("http://catalog.hathitrust.org/Record/003148566","HathiTrust Record")</f>
        <v>HathiTrust Record</v>
      </c>
      <c r="AS515" s="6" t="str">
        <f>HYPERLINK("https://creighton-primo.hosted.exlibrisgroup.com/primo-explore/search?tab=default_tab&amp;search_scope=EVERYTHING&amp;vid=01CRU&amp;lang=en_US&amp;offset=0&amp;query=any,contains,991003662319702656","Catalog Record")</f>
        <v>Catalog Record</v>
      </c>
      <c r="AT515" s="6" t="str">
        <f>HYPERLINK("http://www.worldcat.org/oclc/35646529","WorldCat Record")</f>
        <v>WorldCat Record</v>
      </c>
      <c r="AU515" s="3" t="s">
        <v>6937</v>
      </c>
      <c r="AV515" s="3" t="s">
        <v>6938</v>
      </c>
      <c r="AW515" s="3" t="s">
        <v>6939</v>
      </c>
      <c r="AX515" s="3" t="s">
        <v>6939</v>
      </c>
      <c r="AY515" s="3" t="s">
        <v>6940</v>
      </c>
      <c r="AZ515" s="3" t="s">
        <v>74</v>
      </c>
      <c r="BB515" s="3" t="s">
        <v>6941</v>
      </c>
      <c r="BC515" s="3" t="s">
        <v>6942</v>
      </c>
      <c r="BD515" s="3" t="s">
        <v>6943</v>
      </c>
    </row>
    <row r="516" spans="1:56" ht="45.75" customHeight="1" x14ac:dyDescent="0.25">
      <c r="A516" s="7" t="s">
        <v>58</v>
      </c>
      <c r="B516" s="2" t="s">
        <v>6944</v>
      </c>
      <c r="C516" s="2" t="s">
        <v>6945</v>
      </c>
      <c r="D516" s="2" t="s">
        <v>6946</v>
      </c>
      <c r="F516" s="3" t="s">
        <v>58</v>
      </c>
      <c r="G516" s="3" t="s">
        <v>59</v>
      </c>
      <c r="H516" s="3" t="s">
        <v>58</v>
      </c>
      <c r="I516" s="3" t="s">
        <v>58</v>
      </c>
      <c r="J516" s="3" t="s">
        <v>60</v>
      </c>
      <c r="K516" s="2" t="s">
        <v>6947</v>
      </c>
      <c r="L516" s="2" t="s">
        <v>6948</v>
      </c>
      <c r="M516" s="3" t="s">
        <v>116</v>
      </c>
      <c r="N516" s="2" t="s">
        <v>6949</v>
      </c>
      <c r="O516" s="3" t="s">
        <v>65</v>
      </c>
      <c r="P516" s="3" t="s">
        <v>772</v>
      </c>
      <c r="Q516" s="2" t="s">
        <v>6950</v>
      </c>
      <c r="R516" s="3" t="s">
        <v>67</v>
      </c>
      <c r="S516" s="4">
        <v>5</v>
      </c>
      <c r="T516" s="4">
        <v>5</v>
      </c>
      <c r="U516" s="5" t="s">
        <v>1472</v>
      </c>
      <c r="V516" s="5" t="s">
        <v>1472</v>
      </c>
      <c r="W516" s="5" t="s">
        <v>6951</v>
      </c>
      <c r="X516" s="5" t="s">
        <v>6951</v>
      </c>
      <c r="Y516" s="4">
        <v>153</v>
      </c>
      <c r="Z516" s="4">
        <v>149</v>
      </c>
      <c r="AA516" s="4">
        <v>158</v>
      </c>
      <c r="AB516" s="4">
        <v>3</v>
      </c>
      <c r="AC516" s="4">
        <v>3</v>
      </c>
      <c r="AD516" s="4">
        <v>1</v>
      </c>
      <c r="AE516" s="4">
        <v>1</v>
      </c>
      <c r="AF516" s="4">
        <v>0</v>
      </c>
      <c r="AG516" s="4">
        <v>0</v>
      </c>
      <c r="AH516" s="4">
        <v>0</v>
      </c>
      <c r="AI516" s="4">
        <v>0</v>
      </c>
      <c r="AJ516" s="4">
        <v>0</v>
      </c>
      <c r="AK516" s="4">
        <v>0</v>
      </c>
      <c r="AL516" s="4">
        <v>1</v>
      </c>
      <c r="AM516" s="4">
        <v>1</v>
      </c>
      <c r="AN516" s="4">
        <v>0</v>
      </c>
      <c r="AO516" s="4">
        <v>0</v>
      </c>
      <c r="AP516" s="3" t="s">
        <v>58</v>
      </c>
      <c r="AQ516" s="3" t="s">
        <v>87</v>
      </c>
      <c r="AR516" s="6" t="str">
        <f>HYPERLINK("http://catalog.hathitrust.org/Record/003303899","HathiTrust Record")</f>
        <v>HathiTrust Record</v>
      </c>
      <c r="AS516" s="6" t="str">
        <f>HYPERLINK("https://creighton-primo.hosted.exlibrisgroup.com/primo-explore/search?tab=default_tab&amp;search_scope=EVERYTHING&amp;vid=01CRU&amp;lang=en_US&amp;offset=0&amp;query=any,contains,991002951049702656","Catalog Record")</f>
        <v>Catalog Record</v>
      </c>
      <c r="AT516" s="6" t="str">
        <f>HYPERLINK("http://www.worldcat.org/oclc/39328353","WorldCat Record")</f>
        <v>WorldCat Record</v>
      </c>
      <c r="AU516" s="3" t="s">
        <v>6952</v>
      </c>
      <c r="AV516" s="3" t="s">
        <v>6953</v>
      </c>
      <c r="AW516" s="3" t="s">
        <v>6954</v>
      </c>
      <c r="AX516" s="3" t="s">
        <v>6954</v>
      </c>
      <c r="AY516" s="3" t="s">
        <v>6955</v>
      </c>
      <c r="AZ516" s="3" t="s">
        <v>74</v>
      </c>
      <c r="BB516" s="3" t="s">
        <v>6956</v>
      </c>
      <c r="BC516" s="3" t="s">
        <v>6957</v>
      </c>
      <c r="BD516" s="3" t="s">
        <v>6958</v>
      </c>
    </row>
    <row r="517" spans="1:56" ht="45.75" customHeight="1" x14ac:dyDescent="0.25">
      <c r="A517" s="7" t="s">
        <v>58</v>
      </c>
      <c r="B517" s="2" t="s">
        <v>6959</v>
      </c>
      <c r="C517" s="2" t="s">
        <v>6960</v>
      </c>
      <c r="D517" s="2" t="s">
        <v>6961</v>
      </c>
      <c r="F517" s="3" t="s">
        <v>58</v>
      </c>
      <c r="G517" s="3" t="s">
        <v>59</v>
      </c>
      <c r="H517" s="3" t="s">
        <v>58</v>
      </c>
      <c r="I517" s="3" t="s">
        <v>58</v>
      </c>
      <c r="J517" s="3" t="s">
        <v>60</v>
      </c>
      <c r="K517" s="2" t="s">
        <v>6962</v>
      </c>
      <c r="L517" s="2" t="s">
        <v>6963</v>
      </c>
      <c r="M517" s="3" t="s">
        <v>1032</v>
      </c>
      <c r="O517" s="3" t="s">
        <v>65</v>
      </c>
      <c r="P517" s="3" t="s">
        <v>190</v>
      </c>
      <c r="R517" s="3" t="s">
        <v>67</v>
      </c>
      <c r="S517" s="4">
        <v>3</v>
      </c>
      <c r="T517" s="4">
        <v>3</v>
      </c>
      <c r="U517" s="5" t="s">
        <v>2971</v>
      </c>
      <c r="V517" s="5" t="s">
        <v>2971</v>
      </c>
      <c r="W517" s="5" t="s">
        <v>6964</v>
      </c>
      <c r="X517" s="5" t="s">
        <v>6964</v>
      </c>
      <c r="Y517" s="4">
        <v>165</v>
      </c>
      <c r="Z517" s="4">
        <v>151</v>
      </c>
      <c r="AA517" s="4">
        <v>154</v>
      </c>
      <c r="AB517" s="4">
        <v>3</v>
      </c>
      <c r="AC517" s="4">
        <v>3</v>
      </c>
      <c r="AD517" s="4">
        <v>5</v>
      </c>
      <c r="AE517" s="4">
        <v>5</v>
      </c>
      <c r="AF517" s="4">
        <v>0</v>
      </c>
      <c r="AG517" s="4">
        <v>0</v>
      </c>
      <c r="AH517" s="4">
        <v>1</v>
      </c>
      <c r="AI517" s="4">
        <v>1</v>
      </c>
      <c r="AJ517" s="4">
        <v>3</v>
      </c>
      <c r="AK517" s="4">
        <v>3</v>
      </c>
      <c r="AL517" s="4">
        <v>2</v>
      </c>
      <c r="AM517" s="4">
        <v>2</v>
      </c>
      <c r="AN517" s="4">
        <v>0</v>
      </c>
      <c r="AO517" s="4">
        <v>0</v>
      </c>
      <c r="AP517" s="3" t="s">
        <v>58</v>
      </c>
      <c r="AQ517" s="3" t="s">
        <v>87</v>
      </c>
      <c r="AR517" s="6" t="str">
        <f>HYPERLINK("http://catalog.hathitrust.org/Record/003941591","HathiTrust Record")</f>
        <v>HathiTrust Record</v>
      </c>
      <c r="AS517" s="6" t="str">
        <f>HYPERLINK("https://creighton-primo.hosted.exlibrisgroup.com/primo-explore/search?tab=default_tab&amp;search_scope=EVERYTHING&amp;vid=01CRU&amp;lang=en_US&amp;offset=0&amp;query=any,contains,991003330469702656","Catalog Record")</f>
        <v>Catalog Record</v>
      </c>
      <c r="AT517" s="6" t="str">
        <f>HYPERLINK("http://www.worldcat.org/oclc/36351480","WorldCat Record")</f>
        <v>WorldCat Record</v>
      </c>
      <c r="AU517" s="3" t="s">
        <v>6965</v>
      </c>
      <c r="AV517" s="3" t="s">
        <v>6966</v>
      </c>
      <c r="AW517" s="3" t="s">
        <v>6967</v>
      </c>
      <c r="AX517" s="3" t="s">
        <v>6967</v>
      </c>
      <c r="AY517" s="3" t="s">
        <v>6968</v>
      </c>
      <c r="AZ517" s="3" t="s">
        <v>74</v>
      </c>
      <c r="BB517" s="3" t="s">
        <v>6969</v>
      </c>
      <c r="BC517" s="3" t="s">
        <v>6970</v>
      </c>
      <c r="BD517" s="3" t="s">
        <v>6971</v>
      </c>
    </row>
    <row r="518" spans="1:56" ht="45.75" customHeight="1" x14ac:dyDescent="0.25">
      <c r="A518" s="7" t="s">
        <v>58</v>
      </c>
      <c r="B518" s="2" t="s">
        <v>6972</v>
      </c>
      <c r="C518" s="2" t="s">
        <v>6973</v>
      </c>
      <c r="D518" s="2" t="s">
        <v>6974</v>
      </c>
      <c r="F518" s="3" t="s">
        <v>58</v>
      </c>
      <c r="G518" s="3" t="s">
        <v>59</v>
      </c>
      <c r="H518" s="3" t="s">
        <v>58</v>
      </c>
      <c r="I518" s="3" t="s">
        <v>58</v>
      </c>
      <c r="J518" s="3" t="s">
        <v>60</v>
      </c>
      <c r="K518" s="2" t="s">
        <v>6975</v>
      </c>
      <c r="L518" s="2" t="s">
        <v>6976</v>
      </c>
      <c r="M518" s="3" t="s">
        <v>742</v>
      </c>
      <c r="O518" s="3" t="s">
        <v>65</v>
      </c>
      <c r="P518" s="3" t="s">
        <v>84</v>
      </c>
      <c r="R518" s="3" t="s">
        <v>67</v>
      </c>
      <c r="S518" s="4">
        <v>5</v>
      </c>
      <c r="T518" s="4">
        <v>5</v>
      </c>
      <c r="U518" s="5" t="s">
        <v>6977</v>
      </c>
      <c r="V518" s="5" t="s">
        <v>6977</v>
      </c>
      <c r="W518" s="5" t="s">
        <v>6978</v>
      </c>
      <c r="X518" s="5" t="s">
        <v>6978</v>
      </c>
      <c r="Y518" s="4">
        <v>328</v>
      </c>
      <c r="Z518" s="4">
        <v>289</v>
      </c>
      <c r="AA518" s="4">
        <v>296</v>
      </c>
      <c r="AB518" s="4">
        <v>3</v>
      </c>
      <c r="AC518" s="4">
        <v>3</v>
      </c>
      <c r="AD518" s="4">
        <v>16</v>
      </c>
      <c r="AE518" s="4">
        <v>16</v>
      </c>
      <c r="AF518" s="4">
        <v>6</v>
      </c>
      <c r="AG518" s="4">
        <v>6</v>
      </c>
      <c r="AH518" s="4">
        <v>4</v>
      </c>
      <c r="AI518" s="4">
        <v>4</v>
      </c>
      <c r="AJ518" s="4">
        <v>9</v>
      </c>
      <c r="AK518" s="4">
        <v>9</v>
      </c>
      <c r="AL518" s="4">
        <v>2</v>
      </c>
      <c r="AM518" s="4">
        <v>2</v>
      </c>
      <c r="AN518" s="4">
        <v>0</v>
      </c>
      <c r="AO518" s="4">
        <v>0</v>
      </c>
      <c r="AP518" s="3" t="s">
        <v>58</v>
      </c>
      <c r="AQ518" s="3" t="s">
        <v>87</v>
      </c>
      <c r="AR518" s="6" t="str">
        <f>HYPERLINK("http://catalog.hathitrust.org/Record/001538718","HathiTrust Record")</f>
        <v>HathiTrust Record</v>
      </c>
      <c r="AS518" s="6" t="str">
        <f>HYPERLINK("https://creighton-primo.hosted.exlibrisgroup.com/primo-explore/search?tab=default_tab&amp;search_scope=EVERYTHING&amp;vid=01CRU&amp;lang=en_US&amp;offset=0&amp;query=any,contains,991001386039702656","Catalog Record")</f>
        <v>Catalog Record</v>
      </c>
      <c r="AT518" s="6" t="str">
        <f>HYPERLINK("http://www.worldcat.org/oclc/18715915","WorldCat Record")</f>
        <v>WorldCat Record</v>
      </c>
      <c r="AU518" s="3" t="s">
        <v>6979</v>
      </c>
      <c r="AV518" s="3" t="s">
        <v>6980</v>
      </c>
      <c r="AW518" s="3" t="s">
        <v>6981</v>
      </c>
      <c r="AX518" s="3" t="s">
        <v>6981</v>
      </c>
      <c r="AY518" s="3" t="s">
        <v>6982</v>
      </c>
      <c r="AZ518" s="3" t="s">
        <v>74</v>
      </c>
      <c r="BB518" s="3" t="s">
        <v>6983</v>
      </c>
      <c r="BC518" s="3" t="s">
        <v>6984</v>
      </c>
      <c r="BD518" s="3" t="s">
        <v>6985</v>
      </c>
    </row>
    <row r="519" spans="1:56" ht="45.75" customHeight="1" x14ac:dyDescent="0.25">
      <c r="A519" s="7" t="s">
        <v>58</v>
      </c>
      <c r="B519" s="2" t="s">
        <v>6986</v>
      </c>
      <c r="C519" s="2" t="s">
        <v>6987</v>
      </c>
      <c r="D519" s="2" t="s">
        <v>6988</v>
      </c>
      <c r="F519" s="3" t="s">
        <v>58</v>
      </c>
      <c r="G519" s="3" t="s">
        <v>59</v>
      </c>
      <c r="H519" s="3" t="s">
        <v>58</v>
      </c>
      <c r="I519" s="3" t="s">
        <v>58</v>
      </c>
      <c r="J519" s="3" t="s">
        <v>60</v>
      </c>
      <c r="K519" s="2" t="s">
        <v>6989</v>
      </c>
      <c r="L519" s="2" t="s">
        <v>6990</v>
      </c>
      <c r="M519" s="3" t="s">
        <v>1544</v>
      </c>
      <c r="O519" s="3" t="s">
        <v>65</v>
      </c>
      <c r="P519" s="3" t="s">
        <v>529</v>
      </c>
      <c r="Q519" s="2" t="s">
        <v>6991</v>
      </c>
      <c r="R519" s="3" t="s">
        <v>67</v>
      </c>
      <c r="S519" s="4">
        <v>1</v>
      </c>
      <c r="T519" s="4">
        <v>1</v>
      </c>
      <c r="U519" s="5" t="s">
        <v>6992</v>
      </c>
      <c r="V519" s="5" t="s">
        <v>6992</v>
      </c>
      <c r="W519" s="5" t="s">
        <v>1407</v>
      </c>
      <c r="X519" s="5" t="s">
        <v>1407</v>
      </c>
      <c r="Y519" s="4">
        <v>572</v>
      </c>
      <c r="Z519" s="4">
        <v>470</v>
      </c>
      <c r="AA519" s="4">
        <v>476</v>
      </c>
      <c r="AB519" s="4">
        <v>5</v>
      </c>
      <c r="AC519" s="4">
        <v>5</v>
      </c>
      <c r="AD519" s="4">
        <v>24</v>
      </c>
      <c r="AE519" s="4">
        <v>24</v>
      </c>
      <c r="AF519" s="4">
        <v>8</v>
      </c>
      <c r="AG519" s="4">
        <v>8</v>
      </c>
      <c r="AH519" s="4">
        <v>8</v>
      </c>
      <c r="AI519" s="4">
        <v>8</v>
      </c>
      <c r="AJ519" s="4">
        <v>9</v>
      </c>
      <c r="AK519" s="4">
        <v>9</v>
      </c>
      <c r="AL519" s="4">
        <v>4</v>
      </c>
      <c r="AM519" s="4">
        <v>4</v>
      </c>
      <c r="AN519" s="4">
        <v>1</v>
      </c>
      <c r="AO519" s="4">
        <v>1</v>
      </c>
      <c r="AP519" s="3" t="s">
        <v>58</v>
      </c>
      <c r="AQ519" s="3" t="s">
        <v>58</v>
      </c>
      <c r="AS519" s="6" t="str">
        <f>HYPERLINK("https://creighton-primo.hosted.exlibrisgroup.com/primo-explore/search?tab=default_tab&amp;search_scope=EVERYTHING&amp;vid=01CRU&amp;lang=en_US&amp;offset=0&amp;query=any,contains,991001256539702656","Catalog Record")</f>
        <v>Catalog Record</v>
      </c>
      <c r="AT519" s="6" t="str">
        <f>HYPERLINK("http://www.worldcat.org/oclc/209123","WorldCat Record")</f>
        <v>WorldCat Record</v>
      </c>
      <c r="AU519" s="3" t="s">
        <v>6993</v>
      </c>
      <c r="AV519" s="3" t="s">
        <v>6994</v>
      </c>
      <c r="AW519" s="3" t="s">
        <v>6995</v>
      </c>
      <c r="AX519" s="3" t="s">
        <v>6995</v>
      </c>
      <c r="AY519" s="3" t="s">
        <v>6996</v>
      </c>
      <c r="AZ519" s="3" t="s">
        <v>74</v>
      </c>
      <c r="BB519" s="3" t="s">
        <v>6997</v>
      </c>
      <c r="BC519" s="3" t="s">
        <v>6998</v>
      </c>
      <c r="BD519" s="3" t="s">
        <v>6999</v>
      </c>
    </row>
    <row r="520" spans="1:56" ht="45.75" customHeight="1" x14ac:dyDescent="0.25">
      <c r="A520" s="7" t="s">
        <v>58</v>
      </c>
      <c r="B520" s="2" t="s">
        <v>7000</v>
      </c>
      <c r="C520" s="2" t="s">
        <v>7001</v>
      </c>
      <c r="D520" s="2" t="s">
        <v>7002</v>
      </c>
      <c r="F520" s="3" t="s">
        <v>58</v>
      </c>
      <c r="G520" s="3" t="s">
        <v>59</v>
      </c>
      <c r="H520" s="3" t="s">
        <v>58</v>
      </c>
      <c r="I520" s="3" t="s">
        <v>58</v>
      </c>
      <c r="J520" s="3" t="s">
        <v>60</v>
      </c>
      <c r="K520" s="2" t="s">
        <v>7003</v>
      </c>
      <c r="L520" s="2" t="s">
        <v>7004</v>
      </c>
      <c r="M520" s="3" t="s">
        <v>1209</v>
      </c>
      <c r="O520" s="3" t="s">
        <v>65</v>
      </c>
      <c r="P520" s="3" t="s">
        <v>175</v>
      </c>
      <c r="Q520" s="2" t="s">
        <v>7005</v>
      </c>
      <c r="R520" s="3" t="s">
        <v>67</v>
      </c>
      <c r="S520" s="4">
        <v>6</v>
      </c>
      <c r="T520" s="4">
        <v>6</v>
      </c>
      <c r="U520" s="5" t="s">
        <v>6992</v>
      </c>
      <c r="V520" s="5" t="s">
        <v>6992</v>
      </c>
      <c r="W520" s="5" t="s">
        <v>7006</v>
      </c>
      <c r="X520" s="5" t="s">
        <v>7006</v>
      </c>
      <c r="Y520" s="4">
        <v>824</v>
      </c>
      <c r="Z520" s="4">
        <v>663</v>
      </c>
      <c r="AA520" s="4">
        <v>779</v>
      </c>
      <c r="AB520" s="4">
        <v>2</v>
      </c>
      <c r="AC520" s="4">
        <v>3</v>
      </c>
      <c r="AD520" s="4">
        <v>25</v>
      </c>
      <c r="AE520" s="4">
        <v>33</v>
      </c>
      <c r="AF520" s="4">
        <v>10</v>
      </c>
      <c r="AG520" s="4">
        <v>13</v>
      </c>
      <c r="AH520" s="4">
        <v>7</v>
      </c>
      <c r="AI520" s="4">
        <v>10</v>
      </c>
      <c r="AJ520" s="4">
        <v>14</v>
      </c>
      <c r="AK520" s="4">
        <v>17</v>
      </c>
      <c r="AL520" s="4">
        <v>1</v>
      </c>
      <c r="AM520" s="4">
        <v>2</v>
      </c>
      <c r="AN520" s="4">
        <v>0</v>
      </c>
      <c r="AO520" s="4">
        <v>0</v>
      </c>
      <c r="AP520" s="3" t="s">
        <v>58</v>
      </c>
      <c r="AQ520" s="3" t="s">
        <v>58</v>
      </c>
      <c r="AS520" s="6" t="str">
        <f>HYPERLINK("https://creighton-primo.hosted.exlibrisgroup.com/primo-explore/search?tab=default_tab&amp;search_scope=EVERYTHING&amp;vid=01CRU&amp;lang=en_US&amp;offset=0&amp;query=any,contains,991001079579702656","Catalog Record")</f>
        <v>Catalog Record</v>
      </c>
      <c r="AT520" s="6" t="str">
        <f>HYPERLINK("http://www.worldcat.org/oclc/16084062","WorldCat Record")</f>
        <v>WorldCat Record</v>
      </c>
      <c r="AU520" s="3" t="s">
        <v>7007</v>
      </c>
      <c r="AV520" s="3" t="s">
        <v>7008</v>
      </c>
      <c r="AW520" s="3" t="s">
        <v>7009</v>
      </c>
      <c r="AX520" s="3" t="s">
        <v>7009</v>
      </c>
      <c r="AY520" s="3" t="s">
        <v>7010</v>
      </c>
      <c r="AZ520" s="3" t="s">
        <v>74</v>
      </c>
      <c r="BB520" s="3" t="s">
        <v>7011</v>
      </c>
      <c r="BC520" s="3" t="s">
        <v>7012</v>
      </c>
      <c r="BD520" s="3" t="s">
        <v>7013</v>
      </c>
    </row>
    <row r="521" spans="1:56" ht="45.75" customHeight="1" x14ac:dyDescent="0.25">
      <c r="A521" s="7" t="s">
        <v>58</v>
      </c>
      <c r="B521" s="2" t="s">
        <v>7014</v>
      </c>
      <c r="C521" s="2" t="s">
        <v>7015</v>
      </c>
      <c r="D521" s="2" t="s">
        <v>7016</v>
      </c>
      <c r="F521" s="3" t="s">
        <v>58</v>
      </c>
      <c r="G521" s="3" t="s">
        <v>59</v>
      </c>
      <c r="H521" s="3" t="s">
        <v>58</v>
      </c>
      <c r="I521" s="3" t="s">
        <v>58</v>
      </c>
      <c r="J521" s="3" t="s">
        <v>60</v>
      </c>
      <c r="K521" s="2" t="s">
        <v>7017</v>
      </c>
      <c r="L521" s="2" t="s">
        <v>7018</v>
      </c>
      <c r="M521" s="3" t="s">
        <v>263</v>
      </c>
      <c r="O521" s="3" t="s">
        <v>65</v>
      </c>
      <c r="P521" s="3" t="s">
        <v>772</v>
      </c>
      <c r="R521" s="3" t="s">
        <v>67</v>
      </c>
      <c r="S521" s="4">
        <v>19</v>
      </c>
      <c r="T521" s="4">
        <v>19</v>
      </c>
      <c r="U521" s="5" t="s">
        <v>7019</v>
      </c>
      <c r="V521" s="5" t="s">
        <v>7019</v>
      </c>
      <c r="W521" s="5" t="s">
        <v>7020</v>
      </c>
      <c r="X521" s="5" t="s">
        <v>7020</v>
      </c>
      <c r="Y521" s="4">
        <v>406</v>
      </c>
      <c r="Z521" s="4">
        <v>361</v>
      </c>
      <c r="AA521" s="4">
        <v>518</v>
      </c>
      <c r="AB521" s="4">
        <v>3</v>
      </c>
      <c r="AC521" s="4">
        <v>3</v>
      </c>
      <c r="AD521" s="4">
        <v>14</v>
      </c>
      <c r="AE521" s="4">
        <v>17</v>
      </c>
      <c r="AF521" s="4">
        <v>4</v>
      </c>
      <c r="AG521" s="4">
        <v>5</v>
      </c>
      <c r="AH521" s="4">
        <v>5</v>
      </c>
      <c r="AI521" s="4">
        <v>5</v>
      </c>
      <c r="AJ521" s="4">
        <v>6</v>
      </c>
      <c r="AK521" s="4">
        <v>8</v>
      </c>
      <c r="AL521" s="4">
        <v>2</v>
      </c>
      <c r="AM521" s="4">
        <v>2</v>
      </c>
      <c r="AN521" s="4">
        <v>1</v>
      </c>
      <c r="AO521" s="4">
        <v>1</v>
      </c>
      <c r="AP521" s="3" t="s">
        <v>58</v>
      </c>
      <c r="AQ521" s="3" t="s">
        <v>87</v>
      </c>
      <c r="AR521" s="6" t="str">
        <f>HYPERLINK("http://catalog.hathitrust.org/Record/003040241","HathiTrust Record")</f>
        <v>HathiTrust Record</v>
      </c>
      <c r="AS521" s="6" t="str">
        <f>HYPERLINK("https://creighton-primo.hosted.exlibrisgroup.com/primo-explore/search?tab=default_tab&amp;search_scope=EVERYTHING&amp;vid=01CRU&amp;lang=en_US&amp;offset=0&amp;query=any,contains,991002560099702656","Catalog Record")</f>
        <v>Catalog Record</v>
      </c>
      <c r="AT521" s="6" t="str">
        <f>HYPERLINK("http://www.worldcat.org/oclc/33277000","WorldCat Record")</f>
        <v>WorldCat Record</v>
      </c>
      <c r="AU521" s="3" t="s">
        <v>7021</v>
      </c>
      <c r="AV521" s="3" t="s">
        <v>7022</v>
      </c>
      <c r="AW521" s="3" t="s">
        <v>7023</v>
      </c>
      <c r="AX521" s="3" t="s">
        <v>7023</v>
      </c>
      <c r="AY521" s="3" t="s">
        <v>7024</v>
      </c>
      <c r="AZ521" s="3" t="s">
        <v>74</v>
      </c>
      <c r="BB521" s="3" t="s">
        <v>7025</v>
      </c>
      <c r="BC521" s="3" t="s">
        <v>7026</v>
      </c>
      <c r="BD521" s="3" t="s">
        <v>7027</v>
      </c>
    </row>
    <row r="522" spans="1:56" ht="45.75" customHeight="1" x14ac:dyDescent="0.25">
      <c r="A522" s="7" t="s">
        <v>58</v>
      </c>
      <c r="B522" s="2" t="s">
        <v>7028</v>
      </c>
      <c r="C522" s="2" t="s">
        <v>7029</v>
      </c>
      <c r="D522" s="2" t="s">
        <v>7030</v>
      </c>
      <c r="F522" s="3" t="s">
        <v>58</v>
      </c>
      <c r="G522" s="3" t="s">
        <v>59</v>
      </c>
      <c r="H522" s="3" t="s">
        <v>58</v>
      </c>
      <c r="I522" s="3" t="s">
        <v>58</v>
      </c>
      <c r="J522" s="3" t="s">
        <v>60</v>
      </c>
      <c r="K522" s="2" t="s">
        <v>7031</v>
      </c>
      <c r="L522" s="2" t="s">
        <v>7032</v>
      </c>
      <c r="M522" s="3" t="s">
        <v>1088</v>
      </c>
      <c r="O522" s="3" t="s">
        <v>65</v>
      </c>
      <c r="P522" s="3" t="s">
        <v>336</v>
      </c>
      <c r="R522" s="3" t="s">
        <v>67</v>
      </c>
      <c r="S522" s="4">
        <v>7</v>
      </c>
      <c r="T522" s="4">
        <v>7</v>
      </c>
      <c r="U522" s="5" t="s">
        <v>7033</v>
      </c>
      <c r="V522" s="5" t="s">
        <v>7033</v>
      </c>
      <c r="W522" s="5" t="s">
        <v>4776</v>
      </c>
      <c r="X522" s="5" t="s">
        <v>4776</v>
      </c>
      <c r="Y522" s="4">
        <v>368</v>
      </c>
      <c r="Z522" s="4">
        <v>296</v>
      </c>
      <c r="AA522" s="4">
        <v>297</v>
      </c>
      <c r="AB522" s="4">
        <v>4</v>
      </c>
      <c r="AC522" s="4">
        <v>4</v>
      </c>
      <c r="AD522" s="4">
        <v>12</v>
      </c>
      <c r="AE522" s="4">
        <v>12</v>
      </c>
      <c r="AF522" s="4">
        <v>2</v>
      </c>
      <c r="AG522" s="4">
        <v>2</v>
      </c>
      <c r="AH522" s="4">
        <v>3</v>
      </c>
      <c r="AI522" s="4">
        <v>3</v>
      </c>
      <c r="AJ522" s="4">
        <v>5</v>
      </c>
      <c r="AK522" s="4">
        <v>5</v>
      </c>
      <c r="AL522" s="4">
        <v>3</v>
      </c>
      <c r="AM522" s="4">
        <v>3</v>
      </c>
      <c r="AN522" s="4">
        <v>0</v>
      </c>
      <c r="AO522" s="4">
        <v>0</v>
      </c>
      <c r="AP522" s="3" t="s">
        <v>58</v>
      </c>
      <c r="AQ522" s="3" t="s">
        <v>58</v>
      </c>
      <c r="AS522" s="6" t="str">
        <f>HYPERLINK("https://creighton-primo.hosted.exlibrisgroup.com/primo-explore/search?tab=default_tab&amp;search_scope=EVERYTHING&amp;vid=01CRU&amp;lang=en_US&amp;offset=0&amp;query=any,contains,991000604139702656","Catalog Record")</f>
        <v>Catalog Record</v>
      </c>
      <c r="AT522" s="6" t="str">
        <f>HYPERLINK("http://www.worldcat.org/oclc/11849274","WorldCat Record")</f>
        <v>WorldCat Record</v>
      </c>
      <c r="AU522" s="3" t="s">
        <v>7034</v>
      </c>
      <c r="AV522" s="3" t="s">
        <v>7035</v>
      </c>
      <c r="AW522" s="3" t="s">
        <v>7036</v>
      </c>
      <c r="AX522" s="3" t="s">
        <v>7036</v>
      </c>
      <c r="AY522" s="3" t="s">
        <v>7037</v>
      </c>
      <c r="AZ522" s="3" t="s">
        <v>74</v>
      </c>
      <c r="BB522" s="3" t="s">
        <v>7038</v>
      </c>
      <c r="BC522" s="3" t="s">
        <v>7039</v>
      </c>
      <c r="BD522" s="3" t="s">
        <v>7040</v>
      </c>
    </row>
    <row r="523" spans="1:56" ht="45.75" customHeight="1" x14ac:dyDescent="0.25">
      <c r="A523" s="7" t="s">
        <v>58</v>
      </c>
      <c r="B523" s="2" t="s">
        <v>7041</v>
      </c>
      <c r="C523" s="2" t="s">
        <v>7042</v>
      </c>
      <c r="D523" s="2" t="s">
        <v>7043</v>
      </c>
      <c r="F523" s="3" t="s">
        <v>58</v>
      </c>
      <c r="G523" s="3" t="s">
        <v>59</v>
      </c>
      <c r="H523" s="3" t="s">
        <v>58</v>
      </c>
      <c r="I523" s="3" t="s">
        <v>58</v>
      </c>
      <c r="J523" s="3" t="s">
        <v>60</v>
      </c>
      <c r="K523" s="2" t="s">
        <v>7044</v>
      </c>
      <c r="L523" s="2" t="s">
        <v>7045</v>
      </c>
      <c r="M523" s="3" t="s">
        <v>147</v>
      </c>
      <c r="O523" s="3" t="s">
        <v>65</v>
      </c>
      <c r="P523" s="3" t="s">
        <v>84</v>
      </c>
      <c r="R523" s="3" t="s">
        <v>67</v>
      </c>
      <c r="S523" s="4">
        <v>5</v>
      </c>
      <c r="T523" s="4">
        <v>5</v>
      </c>
      <c r="U523" s="5" t="s">
        <v>7046</v>
      </c>
      <c r="V523" s="5" t="s">
        <v>7046</v>
      </c>
      <c r="W523" s="5" t="s">
        <v>7047</v>
      </c>
      <c r="X523" s="5" t="s">
        <v>7047</v>
      </c>
      <c r="Y523" s="4">
        <v>684</v>
      </c>
      <c r="Z523" s="4">
        <v>660</v>
      </c>
      <c r="AA523" s="4">
        <v>663</v>
      </c>
      <c r="AB523" s="4">
        <v>6</v>
      </c>
      <c r="AC523" s="4">
        <v>6</v>
      </c>
      <c r="AD523" s="4">
        <v>12</v>
      </c>
      <c r="AE523" s="4">
        <v>12</v>
      </c>
      <c r="AF523" s="4">
        <v>3</v>
      </c>
      <c r="AG523" s="4">
        <v>3</v>
      </c>
      <c r="AH523" s="4">
        <v>3</v>
      </c>
      <c r="AI523" s="4">
        <v>3</v>
      </c>
      <c r="AJ523" s="4">
        <v>4</v>
      </c>
      <c r="AK523" s="4">
        <v>4</v>
      </c>
      <c r="AL523" s="4">
        <v>1</v>
      </c>
      <c r="AM523" s="4">
        <v>1</v>
      </c>
      <c r="AN523" s="4">
        <v>3</v>
      </c>
      <c r="AO523" s="4">
        <v>3</v>
      </c>
      <c r="AP523" s="3" t="s">
        <v>58</v>
      </c>
      <c r="AQ523" s="3" t="s">
        <v>58</v>
      </c>
      <c r="AS523" s="6" t="str">
        <f>HYPERLINK("https://creighton-primo.hosted.exlibrisgroup.com/primo-explore/search?tab=default_tab&amp;search_scope=EVERYTHING&amp;vid=01CRU&amp;lang=en_US&amp;offset=0&amp;query=any,contains,991004390489702656","Catalog Record")</f>
        <v>Catalog Record</v>
      </c>
      <c r="AT523" s="6" t="str">
        <f>HYPERLINK("http://www.worldcat.org/oclc/55474030","WorldCat Record")</f>
        <v>WorldCat Record</v>
      </c>
      <c r="AU523" s="3" t="s">
        <v>7048</v>
      </c>
      <c r="AV523" s="3" t="s">
        <v>7049</v>
      </c>
      <c r="AW523" s="3" t="s">
        <v>7050</v>
      </c>
      <c r="AX523" s="3" t="s">
        <v>7050</v>
      </c>
      <c r="AY523" s="3" t="s">
        <v>7051</v>
      </c>
      <c r="AZ523" s="3" t="s">
        <v>74</v>
      </c>
      <c r="BB523" s="3" t="s">
        <v>7052</v>
      </c>
      <c r="BC523" s="3" t="s">
        <v>7053</v>
      </c>
      <c r="BD523" s="3" t="s">
        <v>7054</v>
      </c>
    </row>
    <row r="524" spans="1:56" ht="45.75" customHeight="1" x14ac:dyDescent="0.25">
      <c r="A524" s="7" t="s">
        <v>58</v>
      </c>
      <c r="B524" s="2" t="s">
        <v>7055</v>
      </c>
      <c r="C524" s="2" t="s">
        <v>7056</v>
      </c>
      <c r="D524" s="2" t="s">
        <v>7057</v>
      </c>
      <c r="F524" s="3" t="s">
        <v>58</v>
      </c>
      <c r="G524" s="3" t="s">
        <v>59</v>
      </c>
      <c r="H524" s="3" t="s">
        <v>58</v>
      </c>
      <c r="I524" s="3" t="s">
        <v>58</v>
      </c>
      <c r="J524" s="3" t="s">
        <v>60</v>
      </c>
      <c r="K524" s="2" t="s">
        <v>7058</v>
      </c>
      <c r="L524" s="2" t="s">
        <v>7059</v>
      </c>
      <c r="M524" s="3" t="s">
        <v>131</v>
      </c>
      <c r="N524" s="2" t="s">
        <v>7060</v>
      </c>
      <c r="O524" s="3" t="s">
        <v>65</v>
      </c>
      <c r="P524" s="3" t="s">
        <v>84</v>
      </c>
      <c r="R524" s="3" t="s">
        <v>67</v>
      </c>
      <c r="S524" s="4">
        <v>3</v>
      </c>
      <c r="T524" s="4">
        <v>3</v>
      </c>
      <c r="U524" s="5" t="s">
        <v>7061</v>
      </c>
      <c r="V524" s="5" t="s">
        <v>7061</v>
      </c>
      <c r="W524" s="5" t="s">
        <v>4592</v>
      </c>
      <c r="X524" s="5" t="s">
        <v>4592</v>
      </c>
      <c r="Y524" s="4">
        <v>194</v>
      </c>
      <c r="Z524" s="4">
        <v>162</v>
      </c>
      <c r="AA524" s="4">
        <v>1197</v>
      </c>
      <c r="AB524" s="4">
        <v>1</v>
      </c>
      <c r="AC524" s="4">
        <v>7</v>
      </c>
      <c r="AD524" s="4">
        <v>0</v>
      </c>
      <c r="AE524" s="4">
        <v>24</v>
      </c>
      <c r="AF524" s="4">
        <v>0</v>
      </c>
      <c r="AG524" s="4">
        <v>8</v>
      </c>
      <c r="AH524" s="4">
        <v>0</v>
      </c>
      <c r="AI524" s="4">
        <v>5</v>
      </c>
      <c r="AJ524" s="4">
        <v>0</v>
      </c>
      <c r="AK524" s="4">
        <v>8</v>
      </c>
      <c r="AL524" s="4">
        <v>0</v>
      </c>
      <c r="AM524" s="4">
        <v>5</v>
      </c>
      <c r="AN524" s="4">
        <v>0</v>
      </c>
      <c r="AO524" s="4">
        <v>1</v>
      </c>
      <c r="AP524" s="3" t="s">
        <v>58</v>
      </c>
      <c r="AQ524" s="3" t="s">
        <v>58</v>
      </c>
      <c r="AS524" s="6" t="str">
        <f>HYPERLINK("https://creighton-primo.hosted.exlibrisgroup.com/primo-explore/search?tab=default_tab&amp;search_scope=EVERYTHING&amp;vid=01CRU&amp;lang=en_US&amp;offset=0&amp;query=any,contains,991004906499702656","Catalog Record")</f>
        <v>Catalog Record</v>
      </c>
      <c r="AT524" s="6" t="str">
        <f>HYPERLINK("http://www.worldcat.org/oclc/70826532","WorldCat Record")</f>
        <v>WorldCat Record</v>
      </c>
      <c r="AU524" s="3" t="s">
        <v>7062</v>
      </c>
      <c r="AV524" s="3" t="s">
        <v>7063</v>
      </c>
      <c r="AW524" s="3" t="s">
        <v>7064</v>
      </c>
      <c r="AX524" s="3" t="s">
        <v>7064</v>
      </c>
      <c r="AY524" s="3" t="s">
        <v>7065</v>
      </c>
      <c r="AZ524" s="3" t="s">
        <v>74</v>
      </c>
      <c r="BB524" s="3" t="s">
        <v>7066</v>
      </c>
      <c r="BC524" s="3" t="s">
        <v>7067</v>
      </c>
      <c r="BD524" s="3" t="s">
        <v>7068</v>
      </c>
    </row>
    <row r="525" spans="1:56" ht="45.75" customHeight="1" x14ac:dyDescent="0.25">
      <c r="A525" s="7" t="s">
        <v>58</v>
      </c>
      <c r="B525" s="2" t="s">
        <v>7069</v>
      </c>
      <c r="C525" s="2" t="s">
        <v>7070</v>
      </c>
      <c r="D525" s="2" t="s">
        <v>7071</v>
      </c>
      <c r="F525" s="3" t="s">
        <v>58</v>
      </c>
      <c r="G525" s="3" t="s">
        <v>59</v>
      </c>
      <c r="H525" s="3" t="s">
        <v>58</v>
      </c>
      <c r="I525" s="3" t="s">
        <v>58</v>
      </c>
      <c r="J525" s="3" t="s">
        <v>60</v>
      </c>
      <c r="K525" s="2" t="s">
        <v>7058</v>
      </c>
      <c r="L525" s="2" t="s">
        <v>7072</v>
      </c>
      <c r="M525" s="3" t="s">
        <v>290</v>
      </c>
      <c r="O525" s="3" t="s">
        <v>65</v>
      </c>
      <c r="P525" s="3" t="s">
        <v>84</v>
      </c>
      <c r="R525" s="3" t="s">
        <v>67</v>
      </c>
      <c r="S525" s="4">
        <v>6</v>
      </c>
      <c r="T525" s="4">
        <v>6</v>
      </c>
      <c r="U525" s="5" t="s">
        <v>7073</v>
      </c>
      <c r="V525" s="5" t="s">
        <v>7073</v>
      </c>
      <c r="W525" s="5" t="s">
        <v>7074</v>
      </c>
      <c r="X525" s="5" t="s">
        <v>7074</v>
      </c>
      <c r="Y525" s="4">
        <v>2196</v>
      </c>
      <c r="Z525" s="4">
        <v>2086</v>
      </c>
      <c r="AA525" s="4">
        <v>2773</v>
      </c>
      <c r="AB525" s="4">
        <v>24</v>
      </c>
      <c r="AC525" s="4">
        <v>30</v>
      </c>
      <c r="AD525" s="4">
        <v>50</v>
      </c>
      <c r="AE525" s="4">
        <v>60</v>
      </c>
      <c r="AF525" s="4">
        <v>22</v>
      </c>
      <c r="AG525" s="4">
        <v>25</v>
      </c>
      <c r="AH525" s="4">
        <v>8</v>
      </c>
      <c r="AI525" s="4">
        <v>10</v>
      </c>
      <c r="AJ525" s="4">
        <v>18</v>
      </c>
      <c r="AK525" s="4">
        <v>23</v>
      </c>
      <c r="AL525" s="4">
        <v>11</v>
      </c>
      <c r="AM525" s="4">
        <v>13</v>
      </c>
      <c r="AN525" s="4">
        <v>2</v>
      </c>
      <c r="AO525" s="4">
        <v>2</v>
      </c>
      <c r="AP525" s="3" t="s">
        <v>58</v>
      </c>
      <c r="AQ525" s="3" t="s">
        <v>58</v>
      </c>
      <c r="AS525" s="6" t="str">
        <f>HYPERLINK("https://creighton-primo.hosted.exlibrisgroup.com/primo-explore/search?tab=default_tab&amp;search_scope=EVERYTHING&amp;vid=01CRU&amp;lang=en_US&amp;offset=0&amp;query=any,contains,991003682249702656","Catalog Record")</f>
        <v>Catalog Record</v>
      </c>
      <c r="AT525" s="6" t="str">
        <f>HYPERLINK("http://www.worldcat.org/oclc/48241401","WorldCat Record")</f>
        <v>WorldCat Record</v>
      </c>
      <c r="AU525" s="3" t="s">
        <v>7075</v>
      </c>
      <c r="AV525" s="3" t="s">
        <v>7076</v>
      </c>
      <c r="AW525" s="3" t="s">
        <v>7077</v>
      </c>
      <c r="AX525" s="3" t="s">
        <v>7077</v>
      </c>
      <c r="AY525" s="3" t="s">
        <v>7078</v>
      </c>
      <c r="AZ525" s="3" t="s">
        <v>74</v>
      </c>
      <c r="BB525" s="3" t="s">
        <v>7079</v>
      </c>
      <c r="BC525" s="3" t="s">
        <v>7080</v>
      </c>
      <c r="BD525" s="3" t="s">
        <v>7081</v>
      </c>
    </row>
    <row r="526" spans="1:56" ht="45.75" customHeight="1" x14ac:dyDescent="0.25">
      <c r="A526" s="7" t="s">
        <v>58</v>
      </c>
      <c r="B526" s="2" t="s">
        <v>7082</v>
      </c>
      <c r="C526" s="2" t="s">
        <v>7083</v>
      </c>
      <c r="D526" s="2" t="s">
        <v>7084</v>
      </c>
      <c r="F526" s="3" t="s">
        <v>58</v>
      </c>
      <c r="G526" s="3" t="s">
        <v>59</v>
      </c>
      <c r="H526" s="3" t="s">
        <v>58</v>
      </c>
      <c r="I526" s="3" t="s">
        <v>58</v>
      </c>
      <c r="J526" s="3" t="s">
        <v>60</v>
      </c>
      <c r="K526" s="2" t="s">
        <v>7085</v>
      </c>
      <c r="L526" s="2" t="s">
        <v>7086</v>
      </c>
      <c r="M526" s="3" t="s">
        <v>290</v>
      </c>
      <c r="O526" s="3" t="s">
        <v>65</v>
      </c>
      <c r="P526" s="3" t="s">
        <v>132</v>
      </c>
      <c r="R526" s="3" t="s">
        <v>67</v>
      </c>
      <c r="S526" s="4">
        <v>4</v>
      </c>
      <c r="T526" s="4">
        <v>4</v>
      </c>
      <c r="U526" s="5" t="s">
        <v>7087</v>
      </c>
      <c r="V526" s="5" t="s">
        <v>7087</v>
      </c>
      <c r="W526" s="5" t="s">
        <v>6094</v>
      </c>
      <c r="X526" s="5" t="s">
        <v>6094</v>
      </c>
      <c r="Y526" s="4">
        <v>1267</v>
      </c>
      <c r="Z526" s="4">
        <v>1162</v>
      </c>
      <c r="AA526" s="4">
        <v>1859</v>
      </c>
      <c r="AB526" s="4">
        <v>15</v>
      </c>
      <c r="AC526" s="4">
        <v>19</v>
      </c>
      <c r="AD526" s="4">
        <v>26</v>
      </c>
      <c r="AE526" s="4">
        <v>37</v>
      </c>
      <c r="AF526" s="4">
        <v>10</v>
      </c>
      <c r="AG526" s="4">
        <v>14</v>
      </c>
      <c r="AH526" s="4">
        <v>5</v>
      </c>
      <c r="AI526" s="4">
        <v>6</v>
      </c>
      <c r="AJ526" s="4">
        <v>10</v>
      </c>
      <c r="AK526" s="4">
        <v>16</v>
      </c>
      <c r="AL526" s="4">
        <v>6</v>
      </c>
      <c r="AM526" s="4">
        <v>9</v>
      </c>
      <c r="AN526" s="4">
        <v>1</v>
      </c>
      <c r="AO526" s="4">
        <v>1</v>
      </c>
      <c r="AP526" s="3" t="s">
        <v>58</v>
      </c>
      <c r="AQ526" s="3" t="s">
        <v>58</v>
      </c>
      <c r="AS526" s="6" t="str">
        <f>HYPERLINK("https://creighton-primo.hosted.exlibrisgroup.com/primo-explore/search?tab=default_tab&amp;search_scope=EVERYTHING&amp;vid=01CRU&amp;lang=en_US&amp;offset=0&amp;query=any,contains,991003651339702656","Catalog Record")</f>
        <v>Catalog Record</v>
      </c>
      <c r="AT526" s="6" t="str">
        <f>HYPERLINK("http://www.worldcat.org/oclc/48093501","WorldCat Record")</f>
        <v>WorldCat Record</v>
      </c>
      <c r="AU526" s="3" t="s">
        <v>7088</v>
      </c>
      <c r="AV526" s="3" t="s">
        <v>7089</v>
      </c>
      <c r="AW526" s="3" t="s">
        <v>7090</v>
      </c>
      <c r="AX526" s="3" t="s">
        <v>7090</v>
      </c>
      <c r="AY526" s="3" t="s">
        <v>7091</v>
      </c>
      <c r="AZ526" s="3" t="s">
        <v>74</v>
      </c>
      <c r="BB526" s="3" t="s">
        <v>7092</v>
      </c>
      <c r="BC526" s="3" t="s">
        <v>7093</v>
      </c>
      <c r="BD526" s="3" t="s">
        <v>7094</v>
      </c>
    </row>
    <row r="527" spans="1:56" ht="45.75" customHeight="1" x14ac:dyDescent="0.25">
      <c r="A527" s="7" t="s">
        <v>58</v>
      </c>
      <c r="B527" s="2" t="s">
        <v>7095</v>
      </c>
      <c r="C527" s="2" t="s">
        <v>7096</v>
      </c>
      <c r="D527" s="2" t="s">
        <v>7097</v>
      </c>
      <c r="F527" s="3" t="s">
        <v>58</v>
      </c>
      <c r="G527" s="3" t="s">
        <v>59</v>
      </c>
      <c r="H527" s="3" t="s">
        <v>58</v>
      </c>
      <c r="I527" s="3" t="s">
        <v>58</v>
      </c>
      <c r="J527" s="3" t="s">
        <v>60</v>
      </c>
      <c r="K527" s="2" t="s">
        <v>7098</v>
      </c>
      <c r="L527" s="2" t="s">
        <v>7099</v>
      </c>
      <c r="M527" s="3" t="s">
        <v>248</v>
      </c>
      <c r="O527" s="3" t="s">
        <v>65</v>
      </c>
      <c r="P527" s="3" t="s">
        <v>66</v>
      </c>
      <c r="R527" s="3" t="s">
        <v>67</v>
      </c>
      <c r="S527" s="4">
        <v>5</v>
      </c>
      <c r="T527" s="4">
        <v>5</v>
      </c>
      <c r="U527" s="5" t="s">
        <v>7100</v>
      </c>
      <c r="V527" s="5" t="s">
        <v>7100</v>
      </c>
      <c r="W527" s="5" t="s">
        <v>7101</v>
      </c>
      <c r="X527" s="5" t="s">
        <v>7101</v>
      </c>
      <c r="Y527" s="4">
        <v>387</v>
      </c>
      <c r="Z527" s="4">
        <v>314</v>
      </c>
      <c r="AA527" s="4">
        <v>314</v>
      </c>
      <c r="AB527" s="4">
        <v>2</v>
      </c>
      <c r="AC527" s="4">
        <v>2</v>
      </c>
      <c r="AD527" s="4">
        <v>14</v>
      </c>
      <c r="AE527" s="4">
        <v>14</v>
      </c>
      <c r="AF527" s="4">
        <v>6</v>
      </c>
      <c r="AG527" s="4">
        <v>6</v>
      </c>
      <c r="AH527" s="4">
        <v>3</v>
      </c>
      <c r="AI527" s="4">
        <v>3</v>
      </c>
      <c r="AJ527" s="4">
        <v>7</v>
      </c>
      <c r="AK527" s="4">
        <v>7</v>
      </c>
      <c r="AL527" s="4">
        <v>1</v>
      </c>
      <c r="AM527" s="4">
        <v>1</v>
      </c>
      <c r="AN527" s="4">
        <v>1</v>
      </c>
      <c r="AO527" s="4">
        <v>1</v>
      </c>
      <c r="AP527" s="3" t="s">
        <v>58</v>
      </c>
      <c r="AQ527" s="3" t="s">
        <v>58</v>
      </c>
      <c r="AS527" s="6" t="str">
        <f>HYPERLINK("https://creighton-primo.hosted.exlibrisgroup.com/primo-explore/search?tab=default_tab&amp;search_scope=EVERYTHING&amp;vid=01CRU&amp;lang=en_US&amp;offset=0&amp;query=any,contains,991005112639702656","Catalog Record")</f>
        <v>Catalog Record</v>
      </c>
      <c r="AT527" s="6" t="str">
        <f>HYPERLINK("http://www.worldcat.org/oclc/69104294","WorldCat Record")</f>
        <v>WorldCat Record</v>
      </c>
      <c r="AU527" s="3" t="s">
        <v>7102</v>
      </c>
      <c r="AV527" s="3" t="s">
        <v>7103</v>
      </c>
      <c r="AW527" s="3" t="s">
        <v>7104</v>
      </c>
      <c r="AX527" s="3" t="s">
        <v>7104</v>
      </c>
      <c r="AY527" s="3" t="s">
        <v>7105</v>
      </c>
      <c r="AZ527" s="3" t="s">
        <v>74</v>
      </c>
      <c r="BB527" s="3" t="s">
        <v>7106</v>
      </c>
      <c r="BC527" s="3" t="s">
        <v>7107</v>
      </c>
      <c r="BD527" s="3" t="s">
        <v>7108</v>
      </c>
    </row>
    <row r="528" spans="1:56" ht="45.75" customHeight="1" x14ac:dyDescent="0.25">
      <c r="A528" s="7" t="s">
        <v>58</v>
      </c>
      <c r="B528" s="2" t="s">
        <v>7109</v>
      </c>
      <c r="C528" s="2" t="s">
        <v>7110</v>
      </c>
      <c r="D528" s="2" t="s">
        <v>7111</v>
      </c>
      <c r="F528" s="3" t="s">
        <v>58</v>
      </c>
      <c r="G528" s="3" t="s">
        <v>59</v>
      </c>
      <c r="H528" s="3" t="s">
        <v>58</v>
      </c>
      <c r="I528" s="3" t="s">
        <v>58</v>
      </c>
      <c r="J528" s="3" t="s">
        <v>60</v>
      </c>
      <c r="K528" s="2" t="s">
        <v>7112</v>
      </c>
      <c r="L528" s="2" t="s">
        <v>7113</v>
      </c>
      <c r="M528" s="3" t="s">
        <v>100</v>
      </c>
      <c r="O528" s="3" t="s">
        <v>65</v>
      </c>
      <c r="P528" s="3" t="s">
        <v>66</v>
      </c>
      <c r="Q528" s="2" t="s">
        <v>7114</v>
      </c>
      <c r="R528" s="3" t="s">
        <v>67</v>
      </c>
      <c r="S528" s="4">
        <v>6</v>
      </c>
      <c r="T528" s="4">
        <v>6</v>
      </c>
      <c r="U528" s="5" t="s">
        <v>7115</v>
      </c>
      <c r="V528" s="5" t="s">
        <v>7115</v>
      </c>
      <c r="W528" s="5" t="s">
        <v>7116</v>
      </c>
      <c r="X528" s="5" t="s">
        <v>7116</v>
      </c>
      <c r="Y528" s="4">
        <v>632</v>
      </c>
      <c r="Z528" s="4">
        <v>522</v>
      </c>
      <c r="AA528" s="4">
        <v>529</v>
      </c>
      <c r="AB528" s="4">
        <v>3</v>
      </c>
      <c r="AC528" s="4">
        <v>3</v>
      </c>
      <c r="AD528" s="4">
        <v>27</v>
      </c>
      <c r="AE528" s="4">
        <v>27</v>
      </c>
      <c r="AF528" s="4">
        <v>8</v>
      </c>
      <c r="AG528" s="4">
        <v>8</v>
      </c>
      <c r="AH528" s="4">
        <v>6</v>
      </c>
      <c r="AI528" s="4">
        <v>6</v>
      </c>
      <c r="AJ528" s="4">
        <v>13</v>
      </c>
      <c r="AK528" s="4">
        <v>13</v>
      </c>
      <c r="AL528" s="4">
        <v>2</v>
      </c>
      <c r="AM528" s="4">
        <v>2</v>
      </c>
      <c r="AN528" s="4">
        <v>5</v>
      </c>
      <c r="AO528" s="4">
        <v>5</v>
      </c>
      <c r="AP528" s="3" t="s">
        <v>58</v>
      </c>
      <c r="AQ528" s="3" t="s">
        <v>87</v>
      </c>
      <c r="AR528" s="6" t="str">
        <f>HYPERLINK("http://catalog.hathitrust.org/Record/000705302","HathiTrust Record")</f>
        <v>HathiTrust Record</v>
      </c>
      <c r="AS528" s="6" t="str">
        <f>HYPERLINK("https://creighton-primo.hosted.exlibrisgroup.com/primo-explore/search?tab=default_tab&amp;search_scope=EVERYTHING&amp;vid=01CRU&amp;lang=en_US&amp;offset=0&amp;query=any,contains,991003927539702656","Catalog Record")</f>
        <v>Catalog Record</v>
      </c>
      <c r="AT528" s="6" t="str">
        <f>HYPERLINK("http://www.worldcat.org/oclc/1887541","WorldCat Record")</f>
        <v>WorldCat Record</v>
      </c>
      <c r="AU528" s="3" t="s">
        <v>7117</v>
      </c>
      <c r="AV528" s="3" t="s">
        <v>7118</v>
      </c>
      <c r="AW528" s="3" t="s">
        <v>7119</v>
      </c>
      <c r="AX528" s="3" t="s">
        <v>7119</v>
      </c>
      <c r="AY528" s="3" t="s">
        <v>7120</v>
      </c>
      <c r="AZ528" s="3" t="s">
        <v>74</v>
      </c>
      <c r="BB528" s="3" t="s">
        <v>7121</v>
      </c>
      <c r="BC528" s="3" t="s">
        <v>7122</v>
      </c>
      <c r="BD528" s="3" t="s">
        <v>7123</v>
      </c>
    </row>
    <row r="529" spans="1:56" ht="45.75" customHeight="1" x14ac:dyDescent="0.25">
      <c r="A529" s="7" t="s">
        <v>58</v>
      </c>
      <c r="B529" s="2" t="s">
        <v>7124</v>
      </c>
      <c r="C529" s="2" t="s">
        <v>7125</v>
      </c>
      <c r="D529" s="2" t="s">
        <v>7126</v>
      </c>
      <c r="F529" s="3" t="s">
        <v>58</v>
      </c>
      <c r="G529" s="3" t="s">
        <v>59</v>
      </c>
      <c r="H529" s="3" t="s">
        <v>58</v>
      </c>
      <c r="I529" s="3" t="s">
        <v>58</v>
      </c>
      <c r="J529" s="3" t="s">
        <v>60</v>
      </c>
      <c r="K529" s="2" t="s">
        <v>7127</v>
      </c>
      <c r="L529" s="2" t="s">
        <v>7128</v>
      </c>
      <c r="M529" s="3" t="s">
        <v>147</v>
      </c>
      <c r="O529" s="3" t="s">
        <v>65</v>
      </c>
      <c r="P529" s="3" t="s">
        <v>84</v>
      </c>
      <c r="R529" s="3" t="s">
        <v>67</v>
      </c>
      <c r="S529" s="4">
        <v>3</v>
      </c>
      <c r="T529" s="4">
        <v>3</v>
      </c>
      <c r="U529" s="5" t="s">
        <v>7115</v>
      </c>
      <c r="V529" s="5" t="s">
        <v>7115</v>
      </c>
      <c r="W529" s="5" t="s">
        <v>7033</v>
      </c>
      <c r="X529" s="5" t="s">
        <v>7033</v>
      </c>
      <c r="Y529" s="4">
        <v>192</v>
      </c>
      <c r="Z529" s="4">
        <v>112</v>
      </c>
      <c r="AA529" s="4">
        <v>1190</v>
      </c>
      <c r="AB529" s="4">
        <v>1</v>
      </c>
      <c r="AC529" s="4">
        <v>7</v>
      </c>
      <c r="AD529" s="4">
        <v>2</v>
      </c>
      <c r="AE529" s="4">
        <v>42</v>
      </c>
      <c r="AF529" s="4">
        <v>1</v>
      </c>
      <c r="AG529" s="4">
        <v>18</v>
      </c>
      <c r="AH529" s="4">
        <v>0</v>
      </c>
      <c r="AI529" s="4">
        <v>10</v>
      </c>
      <c r="AJ529" s="4">
        <v>2</v>
      </c>
      <c r="AK529" s="4">
        <v>20</v>
      </c>
      <c r="AL529" s="4">
        <v>0</v>
      </c>
      <c r="AM529" s="4">
        <v>5</v>
      </c>
      <c r="AN529" s="4">
        <v>0</v>
      </c>
      <c r="AO529" s="4">
        <v>2</v>
      </c>
      <c r="AP529" s="3" t="s">
        <v>58</v>
      </c>
      <c r="AQ529" s="3" t="s">
        <v>58</v>
      </c>
      <c r="AS529" s="6" t="str">
        <f>HYPERLINK("https://creighton-primo.hosted.exlibrisgroup.com/primo-explore/search?tab=default_tab&amp;search_scope=EVERYTHING&amp;vid=01CRU&amp;lang=en_US&amp;offset=0&amp;query=any,contains,991004462079702656","Catalog Record")</f>
        <v>Catalog Record</v>
      </c>
      <c r="AT529" s="6" t="str">
        <f>HYPERLINK("http://www.worldcat.org/oclc/55110958","WorldCat Record")</f>
        <v>WorldCat Record</v>
      </c>
      <c r="AU529" s="3" t="s">
        <v>7129</v>
      </c>
      <c r="AV529" s="3" t="s">
        <v>7130</v>
      </c>
      <c r="AW529" s="3" t="s">
        <v>7131</v>
      </c>
      <c r="AX529" s="3" t="s">
        <v>7131</v>
      </c>
      <c r="AY529" s="3" t="s">
        <v>7132</v>
      </c>
      <c r="AZ529" s="3" t="s">
        <v>74</v>
      </c>
      <c r="BB529" s="3" t="s">
        <v>7133</v>
      </c>
      <c r="BC529" s="3" t="s">
        <v>7134</v>
      </c>
      <c r="BD529" s="3" t="s">
        <v>7135</v>
      </c>
    </row>
    <row r="530" spans="1:56" ht="45.75" customHeight="1" x14ac:dyDescent="0.25">
      <c r="A530" s="7" t="s">
        <v>58</v>
      </c>
      <c r="B530" s="2" t="s">
        <v>7136</v>
      </c>
      <c r="C530" s="2" t="s">
        <v>7137</v>
      </c>
      <c r="D530" s="2" t="s">
        <v>7138</v>
      </c>
      <c r="F530" s="3" t="s">
        <v>58</v>
      </c>
      <c r="G530" s="3" t="s">
        <v>59</v>
      </c>
      <c r="H530" s="3" t="s">
        <v>58</v>
      </c>
      <c r="I530" s="3" t="s">
        <v>58</v>
      </c>
      <c r="J530" s="3" t="s">
        <v>60</v>
      </c>
      <c r="K530" s="2" t="s">
        <v>7139</v>
      </c>
      <c r="L530" s="2" t="s">
        <v>7140</v>
      </c>
      <c r="M530" s="3" t="s">
        <v>203</v>
      </c>
      <c r="N530" s="2" t="s">
        <v>64</v>
      </c>
      <c r="O530" s="3" t="s">
        <v>65</v>
      </c>
      <c r="P530" s="3" t="s">
        <v>1238</v>
      </c>
      <c r="Q530" s="2" t="s">
        <v>7141</v>
      </c>
      <c r="R530" s="3" t="s">
        <v>67</v>
      </c>
      <c r="S530" s="4">
        <v>4</v>
      </c>
      <c r="T530" s="4">
        <v>4</v>
      </c>
      <c r="U530" s="5" t="s">
        <v>7142</v>
      </c>
      <c r="V530" s="5" t="s">
        <v>7142</v>
      </c>
      <c r="W530" s="5" t="s">
        <v>6146</v>
      </c>
      <c r="X530" s="5" t="s">
        <v>6146</v>
      </c>
      <c r="Y530" s="4">
        <v>305</v>
      </c>
      <c r="Z530" s="4">
        <v>265</v>
      </c>
      <c r="AA530" s="4">
        <v>515</v>
      </c>
      <c r="AB530" s="4">
        <v>4</v>
      </c>
      <c r="AC530" s="4">
        <v>6</v>
      </c>
      <c r="AD530" s="4">
        <v>12</v>
      </c>
      <c r="AE530" s="4">
        <v>20</v>
      </c>
      <c r="AF530" s="4">
        <v>4</v>
      </c>
      <c r="AG530" s="4">
        <v>6</v>
      </c>
      <c r="AH530" s="4">
        <v>1</v>
      </c>
      <c r="AI530" s="4">
        <v>1</v>
      </c>
      <c r="AJ530" s="4">
        <v>6</v>
      </c>
      <c r="AK530" s="4">
        <v>8</v>
      </c>
      <c r="AL530" s="4">
        <v>3</v>
      </c>
      <c r="AM530" s="4">
        <v>5</v>
      </c>
      <c r="AN530" s="4">
        <v>1</v>
      </c>
      <c r="AO530" s="4">
        <v>4</v>
      </c>
      <c r="AP530" s="3" t="s">
        <v>58</v>
      </c>
      <c r="AQ530" s="3" t="s">
        <v>58</v>
      </c>
      <c r="AS530" s="6" t="str">
        <f>HYPERLINK("https://creighton-primo.hosted.exlibrisgroup.com/primo-explore/search?tab=default_tab&amp;search_scope=EVERYTHING&amp;vid=01CRU&amp;lang=en_US&amp;offset=0&amp;query=any,contains,991003653729702656","Catalog Record")</f>
        <v>Catalog Record</v>
      </c>
      <c r="AT530" s="6" t="str">
        <f>HYPERLINK("http://www.worldcat.org/oclc/46829127","WorldCat Record")</f>
        <v>WorldCat Record</v>
      </c>
      <c r="AU530" s="3" t="s">
        <v>7143</v>
      </c>
      <c r="AV530" s="3" t="s">
        <v>7144</v>
      </c>
      <c r="AW530" s="3" t="s">
        <v>7145</v>
      </c>
      <c r="AX530" s="3" t="s">
        <v>7145</v>
      </c>
      <c r="AY530" s="3" t="s">
        <v>7146</v>
      </c>
      <c r="AZ530" s="3" t="s">
        <v>74</v>
      </c>
      <c r="BB530" s="3" t="s">
        <v>7147</v>
      </c>
      <c r="BC530" s="3" t="s">
        <v>7148</v>
      </c>
      <c r="BD530" s="3" t="s">
        <v>7149</v>
      </c>
    </row>
    <row r="531" spans="1:56" ht="45.75" customHeight="1" x14ac:dyDescent="0.25">
      <c r="A531" s="7" t="s">
        <v>58</v>
      </c>
      <c r="B531" s="2" t="s">
        <v>7150</v>
      </c>
      <c r="C531" s="2" t="s">
        <v>7151</v>
      </c>
      <c r="D531" s="2" t="s">
        <v>7152</v>
      </c>
      <c r="F531" s="3" t="s">
        <v>58</v>
      </c>
      <c r="G531" s="3" t="s">
        <v>59</v>
      </c>
      <c r="H531" s="3" t="s">
        <v>58</v>
      </c>
      <c r="I531" s="3" t="s">
        <v>58</v>
      </c>
      <c r="J531" s="3" t="s">
        <v>60</v>
      </c>
      <c r="K531" s="2" t="s">
        <v>7153</v>
      </c>
      <c r="L531" s="2" t="s">
        <v>7154</v>
      </c>
      <c r="M531" s="3" t="s">
        <v>83</v>
      </c>
      <c r="N531" s="2" t="s">
        <v>543</v>
      </c>
      <c r="O531" s="3" t="s">
        <v>65</v>
      </c>
      <c r="P531" s="3" t="s">
        <v>84</v>
      </c>
      <c r="R531" s="3" t="s">
        <v>67</v>
      </c>
      <c r="S531" s="4">
        <v>6</v>
      </c>
      <c r="T531" s="4">
        <v>6</v>
      </c>
      <c r="U531" s="5" t="s">
        <v>7155</v>
      </c>
      <c r="V531" s="5" t="s">
        <v>7155</v>
      </c>
      <c r="W531" s="5" t="s">
        <v>4293</v>
      </c>
      <c r="X531" s="5" t="s">
        <v>4293</v>
      </c>
      <c r="Y531" s="4">
        <v>211</v>
      </c>
      <c r="Z531" s="4">
        <v>200</v>
      </c>
      <c r="AA531" s="4">
        <v>535</v>
      </c>
      <c r="AB531" s="4">
        <v>2</v>
      </c>
      <c r="AC531" s="4">
        <v>4</v>
      </c>
      <c r="AD531" s="4">
        <v>6</v>
      </c>
      <c r="AE531" s="4">
        <v>28</v>
      </c>
      <c r="AF531" s="4">
        <v>0</v>
      </c>
      <c r="AG531" s="4">
        <v>8</v>
      </c>
      <c r="AH531" s="4">
        <v>1</v>
      </c>
      <c r="AI531" s="4">
        <v>6</v>
      </c>
      <c r="AJ531" s="4">
        <v>4</v>
      </c>
      <c r="AK531" s="4">
        <v>15</v>
      </c>
      <c r="AL531" s="4">
        <v>1</v>
      </c>
      <c r="AM531" s="4">
        <v>3</v>
      </c>
      <c r="AN531" s="4">
        <v>1</v>
      </c>
      <c r="AO531" s="4">
        <v>2</v>
      </c>
      <c r="AP531" s="3" t="s">
        <v>58</v>
      </c>
      <c r="AQ531" s="3" t="s">
        <v>87</v>
      </c>
      <c r="AR531" s="6" t="str">
        <f>HYPERLINK("http://catalog.hathitrust.org/Record/000820178","HathiTrust Record")</f>
        <v>HathiTrust Record</v>
      </c>
      <c r="AS531" s="6" t="str">
        <f>HYPERLINK("https://creighton-primo.hosted.exlibrisgroup.com/primo-explore/search?tab=default_tab&amp;search_scope=EVERYTHING&amp;vid=01CRU&amp;lang=en_US&amp;offset=0&amp;query=any,contains,991001017689702656","Catalog Record")</f>
        <v>Catalog Record</v>
      </c>
      <c r="AT531" s="6" t="str">
        <f>HYPERLINK("http://www.worldcat.org/oclc/15337405","WorldCat Record")</f>
        <v>WorldCat Record</v>
      </c>
      <c r="AU531" s="3" t="s">
        <v>7156</v>
      </c>
      <c r="AV531" s="3" t="s">
        <v>7157</v>
      </c>
      <c r="AW531" s="3" t="s">
        <v>7158</v>
      </c>
      <c r="AX531" s="3" t="s">
        <v>7158</v>
      </c>
      <c r="AY531" s="3" t="s">
        <v>7159</v>
      </c>
      <c r="AZ531" s="3" t="s">
        <v>74</v>
      </c>
      <c r="BB531" s="3" t="s">
        <v>7160</v>
      </c>
      <c r="BC531" s="3" t="s">
        <v>7161</v>
      </c>
      <c r="BD531" s="3" t="s">
        <v>7162</v>
      </c>
    </row>
    <row r="532" spans="1:56" ht="45.75" customHeight="1" x14ac:dyDescent="0.25">
      <c r="A532" s="7" t="s">
        <v>58</v>
      </c>
      <c r="B532" s="2" t="s">
        <v>7163</v>
      </c>
      <c r="C532" s="2" t="s">
        <v>7164</v>
      </c>
      <c r="D532" s="2" t="s">
        <v>7165</v>
      </c>
      <c r="F532" s="3" t="s">
        <v>58</v>
      </c>
      <c r="G532" s="3" t="s">
        <v>59</v>
      </c>
      <c r="H532" s="3" t="s">
        <v>58</v>
      </c>
      <c r="I532" s="3" t="s">
        <v>58</v>
      </c>
      <c r="J532" s="3" t="s">
        <v>60</v>
      </c>
      <c r="L532" s="2" t="s">
        <v>7166</v>
      </c>
      <c r="M532" s="3" t="s">
        <v>83</v>
      </c>
      <c r="O532" s="3" t="s">
        <v>65</v>
      </c>
      <c r="P532" s="3" t="s">
        <v>84</v>
      </c>
      <c r="R532" s="3" t="s">
        <v>67</v>
      </c>
      <c r="S532" s="4">
        <v>10</v>
      </c>
      <c r="T532" s="4">
        <v>10</v>
      </c>
      <c r="U532" s="5" t="s">
        <v>6796</v>
      </c>
      <c r="V532" s="5" t="s">
        <v>6796</v>
      </c>
      <c r="W532" s="5" t="s">
        <v>4293</v>
      </c>
      <c r="X532" s="5" t="s">
        <v>4293</v>
      </c>
      <c r="Y532" s="4">
        <v>677</v>
      </c>
      <c r="Z532" s="4">
        <v>608</v>
      </c>
      <c r="AA532" s="4">
        <v>620</v>
      </c>
      <c r="AB532" s="4">
        <v>6</v>
      </c>
      <c r="AC532" s="4">
        <v>6</v>
      </c>
      <c r="AD532" s="4">
        <v>15</v>
      </c>
      <c r="AE532" s="4">
        <v>15</v>
      </c>
      <c r="AF532" s="4">
        <v>2</v>
      </c>
      <c r="AG532" s="4">
        <v>2</v>
      </c>
      <c r="AH532" s="4">
        <v>4</v>
      </c>
      <c r="AI532" s="4">
        <v>4</v>
      </c>
      <c r="AJ532" s="4">
        <v>9</v>
      </c>
      <c r="AK532" s="4">
        <v>9</v>
      </c>
      <c r="AL532" s="4">
        <v>3</v>
      </c>
      <c r="AM532" s="4">
        <v>3</v>
      </c>
      <c r="AN532" s="4">
        <v>2</v>
      </c>
      <c r="AO532" s="4">
        <v>2</v>
      </c>
      <c r="AP532" s="3" t="s">
        <v>58</v>
      </c>
      <c r="AQ532" s="3" t="s">
        <v>58</v>
      </c>
      <c r="AS532" s="6" t="str">
        <f>HYPERLINK("https://creighton-primo.hosted.exlibrisgroup.com/primo-explore/search?tab=default_tab&amp;search_scope=EVERYTHING&amp;vid=01CRU&amp;lang=en_US&amp;offset=0&amp;query=any,contains,991000817709702656","Catalog Record")</f>
        <v>Catalog Record</v>
      </c>
      <c r="AT532" s="6" t="str">
        <f>HYPERLINK("http://www.worldcat.org/oclc/12558426","WorldCat Record")</f>
        <v>WorldCat Record</v>
      </c>
      <c r="AU532" s="3" t="s">
        <v>7167</v>
      </c>
      <c r="AV532" s="3" t="s">
        <v>7168</v>
      </c>
      <c r="AW532" s="3" t="s">
        <v>7169</v>
      </c>
      <c r="AX532" s="3" t="s">
        <v>7169</v>
      </c>
      <c r="AY532" s="3" t="s">
        <v>7170</v>
      </c>
      <c r="AZ532" s="3" t="s">
        <v>74</v>
      </c>
      <c r="BB532" s="3" t="s">
        <v>7171</v>
      </c>
      <c r="BC532" s="3" t="s">
        <v>7172</v>
      </c>
      <c r="BD532" s="3" t="s">
        <v>7173</v>
      </c>
    </row>
    <row r="533" spans="1:56" ht="45.75" customHeight="1" x14ac:dyDescent="0.25">
      <c r="A533" s="7" t="s">
        <v>58</v>
      </c>
      <c r="B533" s="2" t="s">
        <v>7174</v>
      </c>
      <c r="C533" s="2" t="s">
        <v>7175</v>
      </c>
      <c r="D533" s="2" t="s">
        <v>7176</v>
      </c>
      <c r="F533" s="3" t="s">
        <v>58</v>
      </c>
      <c r="G533" s="3" t="s">
        <v>59</v>
      </c>
      <c r="H533" s="3" t="s">
        <v>58</v>
      </c>
      <c r="I533" s="3" t="s">
        <v>58</v>
      </c>
      <c r="J533" s="3" t="s">
        <v>60</v>
      </c>
      <c r="K533" s="2" t="s">
        <v>7177</v>
      </c>
      <c r="L533" s="2" t="s">
        <v>7178</v>
      </c>
      <c r="M533" s="3" t="s">
        <v>573</v>
      </c>
      <c r="O533" s="3" t="s">
        <v>65</v>
      </c>
      <c r="P533" s="3" t="s">
        <v>7179</v>
      </c>
      <c r="Q533" s="2" t="s">
        <v>7180</v>
      </c>
      <c r="R533" s="3" t="s">
        <v>67</v>
      </c>
      <c r="S533" s="4">
        <v>3</v>
      </c>
      <c r="T533" s="4">
        <v>3</v>
      </c>
      <c r="U533" s="5" t="s">
        <v>7181</v>
      </c>
      <c r="V533" s="5" t="s">
        <v>7181</v>
      </c>
      <c r="W533" s="5" t="s">
        <v>7182</v>
      </c>
      <c r="X533" s="5" t="s">
        <v>7182</v>
      </c>
      <c r="Y533" s="4">
        <v>309</v>
      </c>
      <c r="Z533" s="4">
        <v>233</v>
      </c>
      <c r="AA533" s="4">
        <v>253</v>
      </c>
      <c r="AB533" s="4">
        <v>2</v>
      </c>
      <c r="AC533" s="4">
        <v>2</v>
      </c>
      <c r="AD533" s="4">
        <v>15</v>
      </c>
      <c r="AE533" s="4">
        <v>16</v>
      </c>
      <c r="AF533" s="4">
        <v>5</v>
      </c>
      <c r="AG533" s="4">
        <v>6</v>
      </c>
      <c r="AH533" s="4">
        <v>6</v>
      </c>
      <c r="AI533" s="4">
        <v>6</v>
      </c>
      <c r="AJ533" s="4">
        <v>7</v>
      </c>
      <c r="AK533" s="4">
        <v>8</v>
      </c>
      <c r="AL533" s="4">
        <v>1</v>
      </c>
      <c r="AM533" s="4">
        <v>1</v>
      </c>
      <c r="AN533" s="4">
        <v>1</v>
      </c>
      <c r="AO533" s="4">
        <v>1</v>
      </c>
      <c r="AP533" s="3" t="s">
        <v>58</v>
      </c>
      <c r="AQ533" s="3" t="s">
        <v>58</v>
      </c>
      <c r="AS533" s="6" t="str">
        <f>HYPERLINK("https://creighton-primo.hosted.exlibrisgroup.com/primo-explore/search?tab=default_tab&amp;search_scope=EVERYTHING&amp;vid=01CRU&amp;lang=en_US&amp;offset=0&amp;query=any,contains,991004668599702656","Catalog Record")</f>
        <v>Catalog Record</v>
      </c>
      <c r="AT533" s="6" t="str">
        <f>HYPERLINK("http://www.worldcat.org/oclc/53030926","WorldCat Record")</f>
        <v>WorldCat Record</v>
      </c>
      <c r="AU533" s="3" t="s">
        <v>7183</v>
      </c>
      <c r="AV533" s="3" t="s">
        <v>7184</v>
      </c>
      <c r="AW533" s="3" t="s">
        <v>7185</v>
      </c>
      <c r="AX533" s="3" t="s">
        <v>7185</v>
      </c>
      <c r="AY533" s="3" t="s">
        <v>7186</v>
      </c>
      <c r="AZ533" s="3" t="s">
        <v>74</v>
      </c>
      <c r="BB533" s="3" t="s">
        <v>7187</v>
      </c>
      <c r="BC533" s="3" t="s">
        <v>7188</v>
      </c>
      <c r="BD533" s="3" t="s">
        <v>7189</v>
      </c>
    </row>
    <row r="534" spans="1:56" ht="45.75" customHeight="1" x14ac:dyDescent="0.25">
      <c r="A534" s="7" t="s">
        <v>58</v>
      </c>
      <c r="B534" s="2" t="s">
        <v>7190</v>
      </c>
      <c r="C534" s="2" t="s">
        <v>7191</v>
      </c>
      <c r="D534" s="2" t="s">
        <v>7192</v>
      </c>
      <c r="F534" s="3" t="s">
        <v>58</v>
      </c>
      <c r="G534" s="3" t="s">
        <v>59</v>
      </c>
      <c r="H534" s="3" t="s">
        <v>58</v>
      </c>
      <c r="I534" s="3" t="s">
        <v>58</v>
      </c>
      <c r="J534" s="3" t="s">
        <v>60</v>
      </c>
      <c r="L534" s="2" t="s">
        <v>7193</v>
      </c>
      <c r="M534" s="3" t="s">
        <v>800</v>
      </c>
      <c r="O534" s="3" t="s">
        <v>65</v>
      </c>
      <c r="P534" s="3" t="s">
        <v>84</v>
      </c>
      <c r="R534" s="3" t="s">
        <v>67</v>
      </c>
      <c r="S534" s="4">
        <v>14</v>
      </c>
      <c r="T534" s="4">
        <v>14</v>
      </c>
      <c r="U534" s="5" t="s">
        <v>6796</v>
      </c>
      <c r="V534" s="5" t="s">
        <v>6796</v>
      </c>
      <c r="W534" s="5" t="s">
        <v>7194</v>
      </c>
      <c r="X534" s="5" t="s">
        <v>7194</v>
      </c>
      <c r="Y534" s="4">
        <v>149</v>
      </c>
      <c r="Z534" s="4">
        <v>112</v>
      </c>
      <c r="AA534" s="4">
        <v>114</v>
      </c>
      <c r="AB534" s="4">
        <v>2</v>
      </c>
      <c r="AC534" s="4">
        <v>2</v>
      </c>
      <c r="AD534" s="4">
        <v>9</v>
      </c>
      <c r="AE534" s="4">
        <v>9</v>
      </c>
      <c r="AF534" s="4">
        <v>1</v>
      </c>
      <c r="AG534" s="4">
        <v>1</v>
      </c>
      <c r="AH534" s="4">
        <v>1</v>
      </c>
      <c r="AI534" s="4">
        <v>1</v>
      </c>
      <c r="AJ534" s="4">
        <v>1</v>
      </c>
      <c r="AK534" s="4">
        <v>1</v>
      </c>
      <c r="AL534" s="4">
        <v>1</v>
      </c>
      <c r="AM534" s="4">
        <v>1</v>
      </c>
      <c r="AN534" s="4">
        <v>6</v>
      </c>
      <c r="AO534" s="4">
        <v>6</v>
      </c>
      <c r="AP534" s="3" t="s">
        <v>58</v>
      </c>
      <c r="AQ534" s="3" t="s">
        <v>87</v>
      </c>
      <c r="AR534" s="6" t="str">
        <f>HYPERLINK("http://catalog.hathitrust.org/Record/007151739","HathiTrust Record")</f>
        <v>HathiTrust Record</v>
      </c>
      <c r="AS534" s="6" t="str">
        <f>HYPERLINK("https://creighton-primo.hosted.exlibrisgroup.com/primo-explore/search?tab=default_tab&amp;search_scope=EVERYTHING&amp;vid=01CRU&amp;lang=en_US&amp;offset=0&amp;query=any,contains,991001765909702656","Catalog Record")</f>
        <v>Catalog Record</v>
      </c>
      <c r="AT534" s="6" t="str">
        <f>HYPERLINK("http://www.worldcat.org/oclc/22308920","WorldCat Record")</f>
        <v>WorldCat Record</v>
      </c>
      <c r="AU534" s="3" t="s">
        <v>7195</v>
      </c>
      <c r="AV534" s="3" t="s">
        <v>7196</v>
      </c>
      <c r="AW534" s="3" t="s">
        <v>7197</v>
      </c>
      <c r="AX534" s="3" t="s">
        <v>7197</v>
      </c>
      <c r="AY534" s="3" t="s">
        <v>7198</v>
      </c>
      <c r="AZ534" s="3" t="s">
        <v>74</v>
      </c>
      <c r="BB534" s="3" t="s">
        <v>7199</v>
      </c>
      <c r="BC534" s="3" t="s">
        <v>7200</v>
      </c>
      <c r="BD534" s="3" t="s">
        <v>7201</v>
      </c>
    </row>
    <row r="535" spans="1:56" ht="45.75" customHeight="1" x14ac:dyDescent="0.25">
      <c r="A535" s="7" t="s">
        <v>58</v>
      </c>
      <c r="B535" s="2" t="s">
        <v>7202</v>
      </c>
      <c r="C535" s="2" t="s">
        <v>7203</v>
      </c>
      <c r="D535" s="2" t="s">
        <v>7204</v>
      </c>
      <c r="F535" s="3" t="s">
        <v>58</v>
      </c>
      <c r="G535" s="3" t="s">
        <v>59</v>
      </c>
      <c r="H535" s="3" t="s">
        <v>58</v>
      </c>
      <c r="I535" s="3" t="s">
        <v>58</v>
      </c>
      <c r="J535" s="3" t="s">
        <v>60</v>
      </c>
      <c r="K535" s="2" t="s">
        <v>7205</v>
      </c>
      <c r="L535" s="2" t="s">
        <v>7206</v>
      </c>
      <c r="M535" s="3" t="s">
        <v>923</v>
      </c>
      <c r="N535" s="2" t="s">
        <v>685</v>
      </c>
      <c r="O535" s="3" t="s">
        <v>65</v>
      </c>
      <c r="P535" s="3" t="s">
        <v>84</v>
      </c>
      <c r="R535" s="3" t="s">
        <v>67</v>
      </c>
      <c r="S535" s="4">
        <v>8</v>
      </c>
      <c r="T535" s="4">
        <v>8</v>
      </c>
      <c r="U535" s="5" t="s">
        <v>7207</v>
      </c>
      <c r="V535" s="5" t="s">
        <v>7207</v>
      </c>
      <c r="W535" s="5" t="s">
        <v>4293</v>
      </c>
      <c r="X535" s="5" t="s">
        <v>4293</v>
      </c>
      <c r="Y535" s="4">
        <v>901</v>
      </c>
      <c r="Z535" s="4">
        <v>810</v>
      </c>
      <c r="AA535" s="4">
        <v>1216</v>
      </c>
      <c r="AB535" s="4">
        <v>7</v>
      </c>
      <c r="AC535" s="4">
        <v>11</v>
      </c>
      <c r="AD535" s="4">
        <v>26</v>
      </c>
      <c r="AE535" s="4">
        <v>40</v>
      </c>
      <c r="AF535" s="4">
        <v>10</v>
      </c>
      <c r="AG535" s="4">
        <v>15</v>
      </c>
      <c r="AH535" s="4">
        <v>4</v>
      </c>
      <c r="AI535" s="4">
        <v>8</v>
      </c>
      <c r="AJ535" s="4">
        <v>13</v>
      </c>
      <c r="AK535" s="4">
        <v>16</v>
      </c>
      <c r="AL535" s="4">
        <v>3</v>
      </c>
      <c r="AM535" s="4">
        <v>5</v>
      </c>
      <c r="AN535" s="4">
        <v>3</v>
      </c>
      <c r="AO535" s="4">
        <v>5</v>
      </c>
      <c r="AP535" s="3" t="s">
        <v>58</v>
      </c>
      <c r="AQ535" s="3" t="s">
        <v>87</v>
      </c>
      <c r="AR535" s="6" t="str">
        <f>HYPERLINK("http://catalog.hathitrust.org/Record/000104736","HathiTrust Record")</f>
        <v>HathiTrust Record</v>
      </c>
      <c r="AS535" s="6" t="str">
        <f>HYPERLINK("https://creighton-primo.hosted.exlibrisgroup.com/primo-explore/search?tab=default_tab&amp;search_scope=EVERYTHING&amp;vid=01CRU&amp;lang=en_US&amp;offset=0&amp;query=any,contains,991005213919702656","Catalog Record")</f>
        <v>Catalog Record</v>
      </c>
      <c r="AT535" s="6" t="str">
        <f>HYPERLINK("http://www.worldcat.org/oclc/8171688","WorldCat Record")</f>
        <v>WorldCat Record</v>
      </c>
      <c r="AU535" s="3" t="s">
        <v>7208</v>
      </c>
      <c r="AV535" s="3" t="s">
        <v>7209</v>
      </c>
      <c r="AW535" s="3" t="s">
        <v>7210</v>
      </c>
      <c r="AX535" s="3" t="s">
        <v>7210</v>
      </c>
      <c r="AY535" s="3" t="s">
        <v>7211</v>
      </c>
      <c r="AZ535" s="3" t="s">
        <v>74</v>
      </c>
      <c r="BB535" s="3" t="s">
        <v>7212</v>
      </c>
      <c r="BC535" s="3" t="s">
        <v>7213</v>
      </c>
      <c r="BD535" s="3" t="s">
        <v>7214</v>
      </c>
    </row>
    <row r="536" spans="1:56" ht="45.75" customHeight="1" x14ac:dyDescent="0.25">
      <c r="A536" s="7" t="s">
        <v>58</v>
      </c>
      <c r="B536" s="2" t="s">
        <v>7215</v>
      </c>
      <c r="C536" s="2" t="s">
        <v>7216</v>
      </c>
      <c r="D536" s="2" t="s">
        <v>7217</v>
      </c>
      <c r="F536" s="3" t="s">
        <v>58</v>
      </c>
      <c r="G536" s="3" t="s">
        <v>59</v>
      </c>
      <c r="H536" s="3" t="s">
        <v>58</v>
      </c>
      <c r="I536" s="3" t="s">
        <v>58</v>
      </c>
      <c r="J536" s="3" t="s">
        <v>60</v>
      </c>
      <c r="K536" s="2" t="s">
        <v>7218</v>
      </c>
      <c r="L536" s="2" t="s">
        <v>7219</v>
      </c>
      <c r="M536" s="3" t="s">
        <v>573</v>
      </c>
      <c r="O536" s="3" t="s">
        <v>65</v>
      </c>
      <c r="P536" s="3" t="s">
        <v>175</v>
      </c>
      <c r="R536" s="3" t="s">
        <v>67</v>
      </c>
      <c r="S536" s="4">
        <v>2</v>
      </c>
      <c r="T536" s="4">
        <v>2</v>
      </c>
      <c r="U536" s="5" t="s">
        <v>7220</v>
      </c>
      <c r="V536" s="5" t="s">
        <v>7220</v>
      </c>
      <c r="W536" s="5" t="s">
        <v>7221</v>
      </c>
      <c r="X536" s="5" t="s">
        <v>7221</v>
      </c>
      <c r="Y536" s="4">
        <v>489</v>
      </c>
      <c r="Z536" s="4">
        <v>427</v>
      </c>
      <c r="AA536" s="4">
        <v>434</v>
      </c>
      <c r="AB536" s="4">
        <v>3</v>
      </c>
      <c r="AC536" s="4">
        <v>3</v>
      </c>
      <c r="AD536" s="4">
        <v>17</v>
      </c>
      <c r="AE536" s="4">
        <v>17</v>
      </c>
      <c r="AF536" s="4">
        <v>9</v>
      </c>
      <c r="AG536" s="4">
        <v>9</v>
      </c>
      <c r="AH536" s="4">
        <v>5</v>
      </c>
      <c r="AI536" s="4">
        <v>5</v>
      </c>
      <c r="AJ536" s="4">
        <v>7</v>
      </c>
      <c r="AK536" s="4">
        <v>7</v>
      </c>
      <c r="AL536" s="4">
        <v>2</v>
      </c>
      <c r="AM536" s="4">
        <v>2</v>
      </c>
      <c r="AN536" s="4">
        <v>0</v>
      </c>
      <c r="AO536" s="4">
        <v>0</v>
      </c>
      <c r="AP536" s="3" t="s">
        <v>58</v>
      </c>
      <c r="AQ536" s="3" t="s">
        <v>87</v>
      </c>
      <c r="AR536" s="6" t="str">
        <f>HYPERLINK("http://catalog.hathitrust.org/Record/004965888","HathiTrust Record")</f>
        <v>HathiTrust Record</v>
      </c>
      <c r="AS536" s="6" t="str">
        <f>HYPERLINK("https://creighton-primo.hosted.exlibrisgroup.com/primo-explore/search?tab=default_tab&amp;search_scope=EVERYTHING&amp;vid=01CRU&amp;lang=en_US&amp;offset=0&amp;query=any,contains,991004852579702656","Catalog Record")</f>
        <v>Catalog Record</v>
      </c>
      <c r="AT536" s="6" t="str">
        <f>HYPERLINK("http://www.worldcat.org/oclc/52620343","WorldCat Record")</f>
        <v>WorldCat Record</v>
      </c>
      <c r="AU536" s="3" t="s">
        <v>7222</v>
      </c>
      <c r="AV536" s="3" t="s">
        <v>7223</v>
      </c>
      <c r="AW536" s="3" t="s">
        <v>7224</v>
      </c>
      <c r="AX536" s="3" t="s">
        <v>7224</v>
      </c>
      <c r="AY536" s="3" t="s">
        <v>7225</v>
      </c>
      <c r="AZ536" s="3" t="s">
        <v>74</v>
      </c>
      <c r="BB536" s="3" t="s">
        <v>7226</v>
      </c>
      <c r="BC536" s="3" t="s">
        <v>7227</v>
      </c>
      <c r="BD536" s="3" t="s">
        <v>7228</v>
      </c>
    </row>
    <row r="537" spans="1:56" ht="45.75" customHeight="1" x14ac:dyDescent="0.25">
      <c r="A537" s="7" t="s">
        <v>58</v>
      </c>
      <c r="B537" s="2" t="s">
        <v>7229</v>
      </c>
      <c r="C537" s="2" t="s">
        <v>7230</v>
      </c>
      <c r="D537" s="2" t="s">
        <v>7231</v>
      </c>
      <c r="F537" s="3" t="s">
        <v>58</v>
      </c>
      <c r="G537" s="3" t="s">
        <v>59</v>
      </c>
      <c r="H537" s="3" t="s">
        <v>58</v>
      </c>
      <c r="I537" s="3" t="s">
        <v>58</v>
      </c>
      <c r="J537" s="3" t="s">
        <v>60</v>
      </c>
      <c r="K537" s="2" t="s">
        <v>7232</v>
      </c>
      <c r="L537" s="2" t="s">
        <v>7233</v>
      </c>
      <c r="M537" s="3" t="s">
        <v>573</v>
      </c>
      <c r="O537" s="3" t="s">
        <v>65</v>
      </c>
      <c r="P537" s="3" t="s">
        <v>132</v>
      </c>
      <c r="R537" s="3" t="s">
        <v>67</v>
      </c>
      <c r="S537" s="4">
        <v>6</v>
      </c>
      <c r="T537" s="4">
        <v>6</v>
      </c>
      <c r="U537" s="5" t="s">
        <v>7207</v>
      </c>
      <c r="V537" s="5" t="s">
        <v>7207</v>
      </c>
      <c r="W537" s="5" t="s">
        <v>5837</v>
      </c>
      <c r="X537" s="5" t="s">
        <v>5837</v>
      </c>
      <c r="Y537" s="4">
        <v>349</v>
      </c>
      <c r="Z537" s="4">
        <v>234</v>
      </c>
      <c r="AA537" s="4">
        <v>350</v>
      </c>
      <c r="AB537" s="4">
        <v>3</v>
      </c>
      <c r="AC537" s="4">
        <v>3</v>
      </c>
      <c r="AD537" s="4">
        <v>13</v>
      </c>
      <c r="AE537" s="4">
        <v>17</v>
      </c>
      <c r="AF537" s="4">
        <v>4</v>
      </c>
      <c r="AG537" s="4">
        <v>5</v>
      </c>
      <c r="AH537" s="4">
        <v>6</v>
      </c>
      <c r="AI537" s="4">
        <v>7</v>
      </c>
      <c r="AJ537" s="4">
        <v>4</v>
      </c>
      <c r="AK537" s="4">
        <v>6</v>
      </c>
      <c r="AL537" s="4">
        <v>2</v>
      </c>
      <c r="AM537" s="4">
        <v>2</v>
      </c>
      <c r="AN537" s="4">
        <v>1</v>
      </c>
      <c r="AO537" s="4">
        <v>2</v>
      </c>
      <c r="AP537" s="3" t="s">
        <v>58</v>
      </c>
      <c r="AQ537" s="3" t="s">
        <v>87</v>
      </c>
      <c r="AR537" s="6" t="str">
        <f>HYPERLINK("http://catalog.hathitrust.org/Record/004295053","HathiTrust Record")</f>
        <v>HathiTrust Record</v>
      </c>
      <c r="AS537" s="6" t="str">
        <f>HYPERLINK("https://creighton-primo.hosted.exlibrisgroup.com/primo-explore/search?tab=default_tab&amp;search_scope=EVERYTHING&amp;vid=01CRU&amp;lang=en_US&amp;offset=0&amp;query=any,contains,991004500189702656","Catalog Record")</f>
        <v>Catalog Record</v>
      </c>
      <c r="AT537" s="6" t="str">
        <f>HYPERLINK("http://www.worldcat.org/oclc/50348290","WorldCat Record")</f>
        <v>WorldCat Record</v>
      </c>
      <c r="AU537" s="3" t="s">
        <v>7234</v>
      </c>
      <c r="AV537" s="3" t="s">
        <v>7235</v>
      </c>
      <c r="AW537" s="3" t="s">
        <v>7236</v>
      </c>
      <c r="AX537" s="3" t="s">
        <v>7236</v>
      </c>
      <c r="AY537" s="3" t="s">
        <v>7237</v>
      </c>
      <c r="AZ537" s="3" t="s">
        <v>74</v>
      </c>
      <c r="BB537" s="3" t="s">
        <v>7238</v>
      </c>
      <c r="BC537" s="3" t="s">
        <v>7239</v>
      </c>
      <c r="BD537" s="3" t="s">
        <v>7240</v>
      </c>
    </row>
    <row r="538" spans="1:56" ht="45.75" customHeight="1" x14ac:dyDescent="0.25">
      <c r="A538" s="7" t="s">
        <v>58</v>
      </c>
      <c r="B538" s="2" t="s">
        <v>7241</v>
      </c>
      <c r="C538" s="2" t="s">
        <v>7242</v>
      </c>
      <c r="D538" s="2" t="s">
        <v>7243</v>
      </c>
      <c r="F538" s="3" t="s">
        <v>58</v>
      </c>
      <c r="G538" s="3" t="s">
        <v>59</v>
      </c>
      <c r="H538" s="3" t="s">
        <v>58</v>
      </c>
      <c r="I538" s="3" t="s">
        <v>58</v>
      </c>
      <c r="J538" s="3" t="s">
        <v>60</v>
      </c>
      <c r="K538" s="2" t="s">
        <v>7244</v>
      </c>
      <c r="L538" s="2" t="s">
        <v>7245</v>
      </c>
      <c r="M538" s="3" t="s">
        <v>162</v>
      </c>
      <c r="O538" s="3" t="s">
        <v>65</v>
      </c>
      <c r="P538" s="3" t="s">
        <v>175</v>
      </c>
      <c r="Q538" s="2" t="s">
        <v>7246</v>
      </c>
      <c r="R538" s="3" t="s">
        <v>67</v>
      </c>
      <c r="S538" s="4">
        <v>1</v>
      </c>
      <c r="T538" s="4">
        <v>1</v>
      </c>
      <c r="U538" s="5" t="s">
        <v>7247</v>
      </c>
      <c r="V538" s="5" t="s">
        <v>7247</v>
      </c>
      <c r="W538" s="5" t="s">
        <v>7247</v>
      </c>
      <c r="X538" s="5" t="s">
        <v>7247</v>
      </c>
      <c r="Y538" s="4">
        <v>376</v>
      </c>
      <c r="Z538" s="4">
        <v>246</v>
      </c>
      <c r="AA538" s="4">
        <v>608</v>
      </c>
      <c r="AB538" s="4">
        <v>2</v>
      </c>
      <c r="AC538" s="4">
        <v>14</v>
      </c>
      <c r="AD538" s="4">
        <v>17</v>
      </c>
      <c r="AE538" s="4">
        <v>30</v>
      </c>
      <c r="AF538" s="4">
        <v>10</v>
      </c>
      <c r="AG538" s="4">
        <v>14</v>
      </c>
      <c r="AH538" s="4">
        <v>3</v>
      </c>
      <c r="AI538" s="4">
        <v>4</v>
      </c>
      <c r="AJ538" s="4">
        <v>10</v>
      </c>
      <c r="AK538" s="4">
        <v>11</v>
      </c>
      <c r="AL538" s="4">
        <v>1</v>
      </c>
      <c r="AM538" s="4">
        <v>9</v>
      </c>
      <c r="AN538" s="4">
        <v>0</v>
      </c>
      <c r="AO538" s="4">
        <v>0</v>
      </c>
      <c r="AP538" s="3" t="s">
        <v>58</v>
      </c>
      <c r="AQ538" s="3" t="s">
        <v>58</v>
      </c>
      <c r="AS538" s="6" t="str">
        <f>HYPERLINK("https://creighton-primo.hosted.exlibrisgroup.com/primo-explore/search?tab=default_tab&amp;search_scope=EVERYTHING&amp;vid=01CRU&amp;lang=en_US&amp;offset=0&amp;query=any,contains,991005320829702656","Catalog Record")</f>
        <v>Catalog Record</v>
      </c>
      <c r="AT538" s="6" t="str">
        <f>HYPERLINK("http://www.worldcat.org/oclc/171287624","WorldCat Record")</f>
        <v>WorldCat Record</v>
      </c>
      <c r="AU538" s="3" t="s">
        <v>7248</v>
      </c>
      <c r="AV538" s="3" t="s">
        <v>7249</v>
      </c>
      <c r="AW538" s="3" t="s">
        <v>7250</v>
      </c>
      <c r="AX538" s="3" t="s">
        <v>7250</v>
      </c>
      <c r="AY538" s="3" t="s">
        <v>7251</v>
      </c>
      <c r="AZ538" s="3" t="s">
        <v>74</v>
      </c>
      <c r="BB538" s="3" t="s">
        <v>7252</v>
      </c>
      <c r="BC538" s="3" t="s">
        <v>7253</v>
      </c>
      <c r="BD538" s="3" t="s">
        <v>7254</v>
      </c>
    </row>
    <row r="539" spans="1:56" ht="45.75" customHeight="1" x14ac:dyDescent="0.25">
      <c r="A539" s="7" t="s">
        <v>58</v>
      </c>
      <c r="B539" s="2" t="s">
        <v>7255</v>
      </c>
      <c r="C539" s="2" t="s">
        <v>7256</v>
      </c>
      <c r="D539" s="2" t="s">
        <v>7257</v>
      </c>
      <c r="F539" s="3" t="s">
        <v>58</v>
      </c>
      <c r="G539" s="3" t="s">
        <v>59</v>
      </c>
      <c r="H539" s="3" t="s">
        <v>58</v>
      </c>
      <c r="I539" s="3" t="s">
        <v>58</v>
      </c>
      <c r="J539" s="3" t="s">
        <v>60</v>
      </c>
      <c r="K539" s="2" t="s">
        <v>7258</v>
      </c>
      <c r="L539" s="2" t="s">
        <v>7259</v>
      </c>
      <c r="M539" s="3" t="s">
        <v>248</v>
      </c>
      <c r="O539" s="3" t="s">
        <v>65</v>
      </c>
      <c r="P539" s="3" t="s">
        <v>84</v>
      </c>
      <c r="Q539" s="2" t="s">
        <v>7260</v>
      </c>
      <c r="R539" s="3" t="s">
        <v>67</v>
      </c>
      <c r="S539" s="4">
        <v>2</v>
      </c>
      <c r="T539" s="4">
        <v>2</v>
      </c>
      <c r="U539" s="5" t="s">
        <v>7261</v>
      </c>
      <c r="V539" s="5" t="s">
        <v>7261</v>
      </c>
      <c r="W539" s="5" t="s">
        <v>7262</v>
      </c>
      <c r="X539" s="5" t="s">
        <v>7262</v>
      </c>
      <c r="Y539" s="4">
        <v>590</v>
      </c>
      <c r="Z539" s="4">
        <v>530</v>
      </c>
      <c r="AA539" s="4">
        <v>878</v>
      </c>
      <c r="AB539" s="4">
        <v>2</v>
      </c>
      <c r="AC539" s="4">
        <v>5</v>
      </c>
      <c r="AD539" s="4">
        <v>21</v>
      </c>
      <c r="AE539" s="4">
        <v>39</v>
      </c>
      <c r="AF539" s="4">
        <v>9</v>
      </c>
      <c r="AG539" s="4">
        <v>15</v>
      </c>
      <c r="AH539" s="4">
        <v>4</v>
      </c>
      <c r="AI539" s="4">
        <v>9</v>
      </c>
      <c r="AJ539" s="4">
        <v>12</v>
      </c>
      <c r="AK539" s="4">
        <v>17</v>
      </c>
      <c r="AL539" s="4">
        <v>1</v>
      </c>
      <c r="AM539" s="4">
        <v>4</v>
      </c>
      <c r="AN539" s="4">
        <v>3</v>
      </c>
      <c r="AO539" s="4">
        <v>4</v>
      </c>
      <c r="AP539" s="3" t="s">
        <v>58</v>
      </c>
      <c r="AQ539" s="3" t="s">
        <v>58</v>
      </c>
      <c r="AS539" s="6" t="str">
        <f>HYPERLINK("https://creighton-primo.hosted.exlibrisgroup.com/primo-explore/search?tab=default_tab&amp;search_scope=EVERYTHING&amp;vid=01CRU&amp;lang=en_US&amp;offset=0&amp;query=any,contains,991005148149702656","Catalog Record")</f>
        <v>Catalog Record</v>
      </c>
      <c r="AT539" s="6" t="str">
        <f>HYPERLINK("http://www.worldcat.org/oclc/71329875","WorldCat Record")</f>
        <v>WorldCat Record</v>
      </c>
      <c r="AU539" s="3" t="s">
        <v>7263</v>
      </c>
      <c r="AV539" s="3" t="s">
        <v>7264</v>
      </c>
      <c r="AW539" s="3" t="s">
        <v>7265</v>
      </c>
      <c r="AX539" s="3" t="s">
        <v>7265</v>
      </c>
      <c r="AY539" s="3" t="s">
        <v>7266</v>
      </c>
      <c r="AZ539" s="3" t="s">
        <v>74</v>
      </c>
      <c r="BB539" s="3" t="s">
        <v>7267</v>
      </c>
      <c r="BC539" s="3" t="s">
        <v>7268</v>
      </c>
      <c r="BD539" s="3" t="s">
        <v>7269</v>
      </c>
    </row>
    <row r="540" spans="1:56" ht="45.75" customHeight="1" x14ac:dyDescent="0.25">
      <c r="A540" s="7" t="s">
        <v>58</v>
      </c>
      <c r="B540" s="2" t="s">
        <v>7270</v>
      </c>
      <c r="C540" s="2" t="s">
        <v>7271</v>
      </c>
      <c r="D540" s="2" t="s">
        <v>7272</v>
      </c>
      <c r="F540" s="3" t="s">
        <v>58</v>
      </c>
      <c r="G540" s="3" t="s">
        <v>59</v>
      </c>
      <c r="H540" s="3" t="s">
        <v>58</v>
      </c>
      <c r="I540" s="3" t="s">
        <v>58</v>
      </c>
      <c r="J540" s="3" t="s">
        <v>60</v>
      </c>
      <c r="K540" s="2" t="s">
        <v>7273</v>
      </c>
      <c r="L540" s="2" t="s">
        <v>7274</v>
      </c>
      <c r="M540" s="3" t="s">
        <v>162</v>
      </c>
      <c r="O540" s="3" t="s">
        <v>65</v>
      </c>
      <c r="P540" s="3" t="s">
        <v>175</v>
      </c>
      <c r="R540" s="3" t="s">
        <v>67</v>
      </c>
      <c r="S540" s="4">
        <v>2</v>
      </c>
      <c r="T540" s="4">
        <v>2</v>
      </c>
      <c r="U540" s="5" t="s">
        <v>7275</v>
      </c>
      <c r="V540" s="5" t="s">
        <v>7275</v>
      </c>
      <c r="W540" s="5" t="s">
        <v>7276</v>
      </c>
      <c r="X540" s="5" t="s">
        <v>7276</v>
      </c>
      <c r="Y540" s="4">
        <v>402</v>
      </c>
      <c r="Z540" s="4">
        <v>275</v>
      </c>
      <c r="AA540" s="4">
        <v>636</v>
      </c>
      <c r="AB540" s="4">
        <v>1</v>
      </c>
      <c r="AC540" s="4">
        <v>3</v>
      </c>
      <c r="AD540" s="4">
        <v>14</v>
      </c>
      <c r="AE540" s="4">
        <v>16</v>
      </c>
      <c r="AF540" s="4">
        <v>6</v>
      </c>
      <c r="AG540" s="4">
        <v>6</v>
      </c>
      <c r="AH540" s="4">
        <v>2</v>
      </c>
      <c r="AI540" s="4">
        <v>2</v>
      </c>
      <c r="AJ540" s="4">
        <v>6</v>
      </c>
      <c r="AK540" s="4">
        <v>6</v>
      </c>
      <c r="AL540" s="4">
        <v>0</v>
      </c>
      <c r="AM540" s="4">
        <v>2</v>
      </c>
      <c r="AN540" s="4">
        <v>4</v>
      </c>
      <c r="AO540" s="4">
        <v>4</v>
      </c>
      <c r="AP540" s="3" t="s">
        <v>58</v>
      </c>
      <c r="AQ540" s="3" t="s">
        <v>87</v>
      </c>
      <c r="AR540" s="6" t="str">
        <f>HYPERLINK("http://catalog.hathitrust.org/Record/005863915","HathiTrust Record")</f>
        <v>HathiTrust Record</v>
      </c>
      <c r="AS540" s="6" t="str">
        <f>HYPERLINK("https://creighton-primo.hosted.exlibrisgroup.com/primo-explore/search?tab=default_tab&amp;search_scope=EVERYTHING&amp;vid=01CRU&amp;lang=en_US&amp;offset=0&amp;query=any,contains,991005300089702656","Catalog Record")</f>
        <v>Catalog Record</v>
      </c>
      <c r="AT540" s="6" t="str">
        <f>HYPERLINK("http://www.worldcat.org/oclc/174138848","WorldCat Record")</f>
        <v>WorldCat Record</v>
      </c>
      <c r="AU540" s="3" t="s">
        <v>7277</v>
      </c>
      <c r="AV540" s="3" t="s">
        <v>7278</v>
      </c>
      <c r="AW540" s="3" t="s">
        <v>7279</v>
      </c>
      <c r="AX540" s="3" t="s">
        <v>7279</v>
      </c>
      <c r="AY540" s="3" t="s">
        <v>7280</v>
      </c>
      <c r="AZ540" s="3" t="s">
        <v>74</v>
      </c>
      <c r="BB540" s="3" t="s">
        <v>7281</v>
      </c>
      <c r="BC540" s="3" t="s">
        <v>7282</v>
      </c>
      <c r="BD540" s="3" t="s">
        <v>7283</v>
      </c>
    </row>
    <row r="541" spans="1:56" ht="45.75" customHeight="1" x14ac:dyDescent="0.25">
      <c r="A541" s="7" t="s">
        <v>58</v>
      </c>
      <c r="B541" s="2" t="s">
        <v>7284</v>
      </c>
      <c r="C541" s="2" t="s">
        <v>7285</v>
      </c>
      <c r="D541" s="2" t="s">
        <v>7286</v>
      </c>
      <c r="F541" s="3" t="s">
        <v>58</v>
      </c>
      <c r="G541" s="3" t="s">
        <v>59</v>
      </c>
      <c r="H541" s="3" t="s">
        <v>58</v>
      </c>
      <c r="I541" s="3" t="s">
        <v>58</v>
      </c>
      <c r="J541" s="3" t="s">
        <v>60</v>
      </c>
      <c r="L541" s="2" t="s">
        <v>7287</v>
      </c>
      <c r="M541" s="3" t="s">
        <v>1419</v>
      </c>
      <c r="O541" s="3" t="s">
        <v>65</v>
      </c>
      <c r="P541" s="3" t="s">
        <v>587</v>
      </c>
      <c r="Q541" s="2" t="s">
        <v>7288</v>
      </c>
      <c r="R541" s="3" t="s">
        <v>67</v>
      </c>
      <c r="S541" s="4">
        <v>8</v>
      </c>
      <c r="T541" s="4">
        <v>8</v>
      </c>
      <c r="U541" s="5" t="s">
        <v>7289</v>
      </c>
      <c r="V541" s="5" t="s">
        <v>7289</v>
      </c>
      <c r="W541" s="5" t="s">
        <v>4293</v>
      </c>
      <c r="X541" s="5" t="s">
        <v>4293</v>
      </c>
      <c r="Y541" s="4">
        <v>691</v>
      </c>
      <c r="Z541" s="4">
        <v>534</v>
      </c>
      <c r="AA541" s="4">
        <v>839</v>
      </c>
      <c r="AB541" s="4">
        <v>4</v>
      </c>
      <c r="AC541" s="4">
        <v>6</v>
      </c>
      <c r="AD541" s="4">
        <v>26</v>
      </c>
      <c r="AE541" s="4">
        <v>31</v>
      </c>
      <c r="AF541" s="4">
        <v>4</v>
      </c>
      <c r="AG541" s="4">
        <v>7</v>
      </c>
      <c r="AH541" s="4">
        <v>6</v>
      </c>
      <c r="AI541" s="4">
        <v>6</v>
      </c>
      <c r="AJ541" s="4">
        <v>10</v>
      </c>
      <c r="AK541" s="4">
        <v>11</v>
      </c>
      <c r="AL541" s="4">
        <v>3</v>
      </c>
      <c r="AM541" s="4">
        <v>5</v>
      </c>
      <c r="AN541" s="4">
        <v>8</v>
      </c>
      <c r="AO541" s="4">
        <v>8</v>
      </c>
      <c r="AP541" s="3" t="s">
        <v>58</v>
      </c>
      <c r="AQ541" s="3" t="s">
        <v>58</v>
      </c>
      <c r="AS541" s="6" t="str">
        <f>HYPERLINK("https://creighton-primo.hosted.exlibrisgroup.com/primo-explore/search?tab=default_tab&amp;search_scope=EVERYTHING&amp;vid=01CRU&amp;lang=en_US&amp;offset=0&amp;query=any,contains,991004482709702656","Catalog Record")</f>
        <v>Catalog Record</v>
      </c>
      <c r="AT541" s="6" t="str">
        <f>HYPERLINK("http://www.worldcat.org/oclc/3630403","WorldCat Record")</f>
        <v>WorldCat Record</v>
      </c>
      <c r="AU541" s="3" t="s">
        <v>7290</v>
      </c>
      <c r="AV541" s="3" t="s">
        <v>7291</v>
      </c>
      <c r="AW541" s="3" t="s">
        <v>7292</v>
      </c>
      <c r="AX541" s="3" t="s">
        <v>7292</v>
      </c>
      <c r="AY541" s="3" t="s">
        <v>7293</v>
      </c>
      <c r="AZ541" s="3" t="s">
        <v>74</v>
      </c>
      <c r="BB541" s="3" t="s">
        <v>7294</v>
      </c>
      <c r="BC541" s="3" t="s">
        <v>7295</v>
      </c>
      <c r="BD541" s="3" t="s">
        <v>7296</v>
      </c>
    </row>
    <row r="542" spans="1:56" ht="45.75" customHeight="1" x14ac:dyDescent="0.25">
      <c r="A542" s="7" t="s">
        <v>58</v>
      </c>
      <c r="B542" s="2" t="s">
        <v>7297</v>
      </c>
      <c r="C542" s="2" t="s">
        <v>7298</v>
      </c>
      <c r="D542" s="2" t="s">
        <v>7299</v>
      </c>
      <c r="F542" s="3" t="s">
        <v>58</v>
      </c>
      <c r="G542" s="3" t="s">
        <v>59</v>
      </c>
      <c r="H542" s="3" t="s">
        <v>58</v>
      </c>
      <c r="I542" s="3" t="s">
        <v>58</v>
      </c>
      <c r="J542" s="3" t="s">
        <v>60</v>
      </c>
      <c r="L542" s="2" t="s">
        <v>7300</v>
      </c>
      <c r="M542" s="3" t="s">
        <v>1485</v>
      </c>
      <c r="O542" s="3" t="s">
        <v>65</v>
      </c>
      <c r="P542" s="3" t="s">
        <v>84</v>
      </c>
      <c r="Q542" s="2" t="s">
        <v>7301</v>
      </c>
      <c r="R542" s="3" t="s">
        <v>67</v>
      </c>
      <c r="S542" s="4">
        <v>5</v>
      </c>
      <c r="T542" s="4">
        <v>5</v>
      </c>
      <c r="U542" s="5" t="s">
        <v>7115</v>
      </c>
      <c r="V542" s="5" t="s">
        <v>7115</v>
      </c>
      <c r="W542" s="5" t="s">
        <v>1487</v>
      </c>
      <c r="X542" s="5" t="s">
        <v>1487</v>
      </c>
      <c r="Y542" s="4">
        <v>785</v>
      </c>
      <c r="Z542" s="4">
        <v>612</v>
      </c>
      <c r="AA542" s="4">
        <v>618</v>
      </c>
      <c r="AB542" s="4">
        <v>8</v>
      </c>
      <c r="AC542" s="4">
        <v>8</v>
      </c>
      <c r="AD542" s="4">
        <v>38</v>
      </c>
      <c r="AE542" s="4">
        <v>38</v>
      </c>
      <c r="AF542" s="4">
        <v>11</v>
      </c>
      <c r="AG542" s="4">
        <v>11</v>
      </c>
      <c r="AH542" s="4">
        <v>7</v>
      </c>
      <c r="AI542" s="4">
        <v>7</v>
      </c>
      <c r="AJ542" s="4">
        <v>14</v>
      </c>
      <c r="AK542" s="4">
        <v>14</v>
      </c>
      <c r="AL542" s="4">
        <v>7</v>
      </c>
      <c r="AM542" s="4">
        <v>7</v>
      </c>
      <c r="AN542" s="4">
        <v>6</v>
      </c>
      <c r="AO542" s="4">
        <v>6</v>
      </c>
      <c r="AP542" s="3" t="s">
        <v>58</v>
      </c>
      <c r="AQ542" s="3" t="s">
        <v>58</v>
      </c>
      <c r="AS542" s="6" t="str">
        <f>HYPERLINK("https://creighton-primo.hosted.exlibrisgroup.com/primo-explore/search?tab=default_tab&amp;search_scope=EVERYTHING&amp;vid=01CRU&amp;lang=en_US&amp;offset=0&amp;query=any,contains,991003964719702656","Catalog Record")</f>
        <v>Catalog Record</v>
      </c>
      <c r="AT542" s="6" t="str">
        <f>HYPERLINK("http://www.worldcat.org/oclc/1979460","WorldCat Record")</f>
        <v>WorldCat Record</v>
      </c>
      <c r="AU542" s="3" t="s">
        <v>7302</v>
      </c>
      <c r="AV542" s="3" t="s">
        <v>7303</v>
      </c>
      <c r="AW542" s="3" t="s">
        <v>7304</v>
      </c>
      <c r="AX542" s="3" t="s">
        <v>7304</v>
      </c>
      <c r="AY542" s="3" t="s">
        <v>7305</v>
      </c>
      <c r="AZ542" s="3" t="s">
        <v>74</v>
      </c>
      <c r="BB542" s="3" t="s">
        <v>7306</v>
      </c>
      <c r="BC542" s="3" t="s">
        <v>7307</v>
      </c>
      <c r="BD542" s="3" t="s">
        <v>7308</v>
      </c>
    </row>
    <row r="543" spans="1:56" ht="45.75" customHeight="1" x14ac:dyDescent="0.25">
      <c r="A543" s="7" t="s">
        <v>58</v>
      </c>
      <c r="B543" s="2" t="s">
        <v>7309</v>
      </c>
      <c r="C543" s="2" t="s">
        <v>7310</v>
      </c>
      <c r="D543" s="2" t="s">
        <v>7311</v>
      </c>
      <c r="F543" s="3" t="s">
        <v>58</v>
      </c>
      <c r="G543" s="3" t="s">
        <v>59</v>
      </c>
      <c r="H543" s="3" t="s">
        <v>58</v>
      </c>
      <c r="I543" s="3" t="s">
        <v>58</v>
      </c>
      <c r="J543" s="3" t="s">
        <v>60</v>
      </c>
      <c r="L543" s="2" t="s">
        <v>7312</v>
      </c>
      <c r="M543" s="3" t="s">
        <v>63</v>
      </c>
      <c r="O543" s="3" t="s">
        <v>65</v>
      </c>
      <c r="P543" s="3" t="s">
        <v>772</v>
      </c>
      <c r="R543" s="3" t="s">
        <v>67</v>
      </c>
      <c r="S543" s="4">
        <v>2</v>
      </c>
      <c r="T543" s="4">
        <v>2</v>
      </c>
      <c r="U543" s="5" t="s">
        <v>7313</v>
      </c>
      <c r="V543" s="5" t="s">
        <v>7313</v>
      </c>
      <c r="W543" s="5" t="s">
        <v>488</v>
      </c>
      <c r="X543" s="5" t="s">
        <v>488</v>
      </c>
      <c r="Y543" s="4">
        <v>220</v>
      </c>
      <c r="Z543" s="4">
        <v>172</v>
      </c>
      <c r="AA543" s="4">
        <v>189</v>
      </c>
      <c r="AB543" s="4">
        <v>2</v>
      </c>
      <c r="AC543" s="4">
        <v>2</v>
      </c>
      <c r="AD543" s="4">
        <v>10</v>
      </c>
      <c r="AE543" s="4">
        <v>11</v>
      </c>
      <c r="AF543" s="4">
        <v>4</v>
      </c>
      <c r="AG543" s="4">
        <v>5</v>
      </c>
      <c r="AH543" s="4">
        <v>4</v>
      </c>
      <c r="AI543" s="4">
        <v>5</v>
      </c>
      <c r="AJ543" s="4">
        <v>4</v>
      </c>
      <c r="AK543" s="4">
        <v>4</v>
      </c>
      <c r="AL543" s="4">
        <v>1</v>
      </c>
      <c r="AM543" s="4">
        <v>1</v>
      </c>
      <c r="AN543" s="4">
        <v>0</v>
      </c>
      <c r="AO543" s="4">
        <v>0</v>
      </c>
      <c r="AP543" s="3" t="s">
        <v>58</v>
      </c>
      <c r="AQ543" s="3" t="s">
        <v>58</v>
      </c>
      <c r="AS543" s="6" t="str">
        <f>HYPERLINK("https://creighton-primo.hosted.exlibrisgroup.com/primo-explore/search?tab=default_tab&amp;search_scope=EVERYTHING&amp;vid=01CRU&amp;lang=en_US&amp;offset=0&amp;query=any,contains,991004911389702656","Catalog Record")</f>
        <v>Catalog Record</v>
      </c>
      <c r="AT543" s="6" t="str">
        <f>HYPERLINK("http://www.worldcat.org/oclc/61261207","WorldCat Record")</f>
        <v>WorldCat Record</v>
      </c>
      <c r="AU543" s="3" t="s">
        <v>7314</v>
      </c>
      <c r="AV543" s="3" t="s">
        <v>7315</v>
      </c>
      <c r="AW543" s="3" t="s">
        <v>7316</v>
      </c>
      <c r="AX543" s="3" t="s">
        <v>7316</v>
      </c>
      <c r="AY543" s="3" t="s">
        <v>7317</v>
      </c>
      <c r="AZ543" s="3" t="s">
        <v>74</v>
      </c>
      <c r="BB543" s="3" t="s">
        <v>7318</v>
      </c>
      <c r="BC543" s="3" t="s">
        <v>7319</v>
      </c>
      <c r="BD543" s="3" t="s">
        <v>7320</v>
      </c>
    </row>
    <row r="544" spans="1:56" ht="45.75" customHeight="1" x14ac:dyDescent="0.25">
      <c r="A544" s="7" t="s">
        <v>58</v>
      </c>
      <c r="B544" s="2" t="s">
        <v>7321</v>
      </c>
      <c r="C544" s="2" t="s">
        <v>7322</v>
      </c>
      <c r="D544" s="2" t="s">
        <v>7323</v>
      </c>
      <c r="F544" s="3" t="s">
        <v>58</v>
      </c>
      <c r="G544" s="3" t="s">
        <v>59</v>
      </c>
      <c r="H544" s="3" t="s">
        <v>58</v>
      </c>
      <c r="I544" s="3" t="s">
        <v>58</v>
      </c>
      <c r="J544" s="3" t="s">
        <v>60</v>
      </c>
      <c r="K544" s="2" t="s">
        <v>7324</v>
      </c>
      <c r="L544" s="2" t="s">
        <v>7325</v>
      </c>
      <c r="M544" s="3" t="s">
        <v>573</v>
      </c>
      <c r="O544" s="3" t="s">
        <v>65</v>
      </c>
      <c r="P544" s="3" t="s">
        <v>84</v>
      </c>
      <c r="Q544" s="2" t="s">
        <v>6505</v>
      </c>
      <c r="R544" s="3" t="s">
        <v>67</v>
      </c>
      <c r="S544" s="4">
        <v>3</v>
      </c>
      <c r="T544" s="4">
        <v>3</v>
      </c>
      <c r="U544" s="5" t="s">
        <v>7326</v>
      </c>
      <c r="V544" s="5" t="s">
        <v>7326</v>
      </c>
      <c r="W544" s="5" t="s">
        <v>7327</v>
      </c>
      <c r="X544" s="5" t="s">
        <v>7327</v>
      </c>
      <c r="Y544" s="4">
        <v>637</v>
      </c>
      <c r="Z544" s="4">
        <v>545</v>
      </c>
      <c r="AA544" s="4">
        <v>1126</v>
      </c>
      <c r="AB544" s="4">
        <v>4</v>
      </c>
      <c r="AC544" s="4">
        <v>25</v>
      </c>
      <c r="AD544" s="4">
        <v>22</v>
      </c>
      <c r="AE544" s="4">
        <v>34</v>
      </c>
      <c r="AF544" s="4">
        <v>9</v>
      </c>
      <c r="AG544" s="4">
        <v>12</v>
      </c>
      <c r="AH544" s="4">
        <v>6</v>
      </c>
      <c r="AI544" s="4">
        <v>7</v>
      </c>
      <c r="AJ544" s="4">
        <v>10</v>
      </c>
      <c r="AK544" s="4">
        <v>13</v>
      </c>
      <c r="AL544" s="4">
        <v>3</v>
      </c>
      <c r="AM544" s="4">
        <v>10</v>
      </c>
      <c r="AN544" s="4">
        <v>1</v>
      </c>
      <c r="AO544" s="4">
        <v>1</v>
      </c>
      <c r="AP544" s="3" t="s">
        <v>58</v>
      </c>
      <c r="AQ544" s="3" t="s">
        <v>58</v>
      </c>
      <c r="AS544" s="6" t="str">
        <f>HYPERLINK("https://creighton-primo.hosted.exlibrisgroup.com/primo-explore/search?tab=default_tab&amp;search_scope=EVERYTHING&amp;vid=01CRU&amp;lang=en_US&amp;offset=0&amp;query=any,contains,991004363949702656","Catalog Record")</f>
        <v>Catalog Record</v>
      </c>
      <c r="AT544" s="6" t="str">
        <f>HYPERLINK("http://www.worldcat.org/oclc/50448089","WorldCat Record")</f>
        <v>WorldCat Record</v>
      </c>
      <c r="AU544" s="3" t="s">
        <v>7328</v>
      </c>
      <c r="AV544" s="3" t="s">
        <v>7329</v>
      </c>
      <c r="AW544" s="3" t="s">
        <v>7330</v>
      </c>
      <c r="AX544" s="3" t="s">
        <v>7330</v>
      </c>
      <c r="AY544" s="3" t="s">
        <v>7331</v>
      </c>
      <c r="AZ544" s="3" t="s">
        <v>74</v>
      </c>
      <c r="BB544" s="3" t="s">
        <v>7332</v>
      </c>
      <c r="BC544" s="3" t="s">
        <v>7333</v>
      </c>
      <c r="BD544" s="3" t="s">
        <v>7334</v>
      </c>
    </row>
    <row r="545" spans="1:56" ht="45.75" customHeight="1" x14ac:dyDescent="0.25">
      <c r="A545" s="7" t="s">
        <v>58</v>
      </c>
      <c r="B545" s="2" t="s">
        <v>7335</v>
      </c>
      <c r="C545" s="2" t="s">
        <v>7336</v>
      </c>
      <c r="D545" s="2" t="s">
        <v>7337</v>
      </c>
      <c r="F545" s="3" t="s">
        <v>58</v>
      </c>
      <c r="G545" s="3" t="s">
        <v>59</v>
      </c>
      <c r="H545" s="3" t="s">
        <v>58</v>
      </c>
      <c r="I545" s="3" t="s">
        <v>58</v>
      </c>
      <c r="J545" s="3" t="s">
        <v>60</v>
      </c>
      <c r="K545" s="2" t="s">
        <v>7338</v>
      </c>
      <c r="L545" s="2" t="s">
        <v>2272</v>
      </c>
      <c r="M545" s="3" t="s">
        <v>937</v>
      </c>
      <c r="N545" s="2" t="s">
        <v>543</v>
      </c>
      <c r="O545" s="3" t="s">
        <v>65</v>
      </c>
      <c r="P545" s="3" t="s">
        <v>148</v>
      </c>
      <c r="R545" s="3" t="s">
        <v>67</v>
      </c>
      <c r="S545" s="4">
        <v>3</v>
      </c>
      <c r="T545" s="4">
        <v>3</v>
      </c>
      <c r="U545" s="5" t="s">
        <v>7339</v>
      </c>
      <c r="V545" s="5" t="s">
        <v>7339</v>
      </c>
      <c r="W545" s="5" t="s">
        <v>7340</v>
      </c>
      <c r="X545" s="5" t="s">
        <v>7340</v>
      </c>
      <c r="Y545" s="4">
        <v>1076</v>
      </c>
      <c r="Z545" s="4">
        <v>973</v>
      </c>
      <c r="AA545" s="4">
        <v>989</v>
      </c>
      <c r="AB545" s="4">
        <v>6</v>
      </c>
      <c r="AC545" s="4">
        <v>6</v>
      </c>
      <c r="AD545" s="4">
        <v>40</v>
      </c>
      <c r="AE545" s="4">
        <v>40</v>
      </c>
      <c r="AF545" s="4">
        <v>12</v>
      </c>
      <c r="AG545" s="4">
        <v>12</v>
      </c>
      <c r="AH545" s="4">
        <v>11</v>
      </c>
      <c r="AI545" s="4">
        <v>11</v>
      </c>
      <c r="AJ545" s="4">
        <v>16</v>
      </c>
      <c r="AK545" s="4">
        <v>16</v>
      </c>
      <c r="AL545" s="4">
        <v>5</v>
      </c>
      <c r="AM545" s="4">
        <v>5</v>
      </c>
      <c r="AN545" s="4">
        <v>5</v>
      </c>
      <c r="AO545" s="4">
        <v>5</v>
      </c>
      <c r="AP545" s="3" t="s">
        <v>58</v>
      </c>
      <c r="AQ545" s="3" t="s">
        <v>58</v>
      </c>
      <c r="AS545" s="6" t="str">
        <f>HYPERLINK("https://creighton-primo.hosted.exlibrisgroup.com/primo-explore/search?tab=default_tab&amp;search_scope=EVERYTHING&amp;vid=01CRU&amp;lang=en_US&amp;offset=0&amp;query=any,contains,991004281149702656","Catalog Record")</f>
        <v>Catalog Record</v>
      </c>
      <c r="AT545" s="6" t="str">
        <f>HYPERLINK("http://www.worldcat.org/oclc/2911047","WorldCat Record")</f>
        <v>WorldCat Record</v>
      </c>
      <c r="AU545" s="3" t="s">
        <v>7341</v>
      </c>
      <c r="AV545" s="3" t="s">
        <v>7342</v>
      </c>
      <c r="AW545" s="3" t="s">
        <v>7343</v>
      </c>
      <c r="AX545" s="3" t="s">
        <v>7343</v>
      </c>
      <c r="AY545" s="3" t="s">
        <v>7344</v>
      </c>
      <c r="AZ545" s="3" t="s">
        <v>74</v>
      </c>
      <c r="BB545" s="3" t="s">
        <v>7345</v>
      </c>
      <c r="BC545" s="3" t="s">
        <v>7346</v>
      </c>
      <c r="BD545" s="3" t="s">
        <v>7347</v>
      </c>
    </row>
    <row r="546" spans="1:56" ht="45.75" customHeight="1" x14ac:dyDescent="0.25">
      <c r="A546" s="7" t="s">
        <v>58</v>
      </c>
      <c r="B546" s="2" t="s">
        <v>7348</v>
      </c>
      <c r="C546" s="2" t="s">
        <v>7349</v>
      </c>
      <c r="D546" s="2" t="s">
        <v>7350</v>
      </c>
      <c r="F546" s="3" t="s">
        <v>58</v>
      </c>
      <c r="G546" s="3" t="s">
        <v>59</v>
      </c>
      <c r="H546" s="3" t="s">
        <v>58</v>
      </c>
      <c r="I546" s="3" t="s">
        <v>58</v>
      </c>
      <c r="J546" s="3" t="s">
        <v>60</v>
      </c>
      <c r="K546" s="2" t="s">
        <v>7351</v>
      </c>
      <c r="L546" s="2" t="s">
        <v>7352</v>
      </c>
      <c r="M546" s="3" t="s">
        <v>528</v>
      </c>
      <c r="O546" s="3" t="s">
        <v>65</v>
      </c>
      <c r="P546" s="3" t="s">
        <v>84</v>
      </c>
      <c r="R546" s="3" t="s">
        <v>67</v>
      </c>
      <c r="S546" s="4">
        <v>27</v>
      </c>
      <c r="T546" s="4">
        <v>27</v>
      </c>
      <c r="U546" s="5" t="s">
        <v>7115</v>
      </c>
      <c r="V546" s="5" t="s">
        <v>7115</v>
      </c>
      <c r="W546" s="5" t="s">
        <v>7353</v>
      </c>
      <c r="X546" s="5" t="s">
        <v>7353</v>
      </c>
      <c r="Y546" s="4">
        <v>802</v>
      </c>
      <c r="Z546" s="4">
        <v>716</v>
      </c>
      <c r="AA546" s="4">
        <v>722</v>
      </c>
      <c r="AB546" s="4">
        <v>4</v>
      </c>
      <c r="AC546" s="4">
        <v>4</v>
      </c>
      <c r="AD546" s="4">
        <v>25</v>
      </c>
      <c r="AE546" s="4">
        <v>25</v>
      </c>
      <c r="AF546" s="4">
        <v>7</v>
      </c>
      <c r="AG546" s="4">
        <v>7</v>
      </c>
      <c r="AH546" s="4">
        <v>5</v>
      </c>
      <c r="AI546" s="4">
        <v>5</v>
      </c>
      <c r="AJ546" s="4">
        <v>13</v>
      </c>
      <c r="AK546" s="4">
        <v>13</v>
      </c>
      <c r="AL546" s="4">
        <v>3</v>
      </c>
      <c r="AM546" s="4">
        <v>3</v>
      </c>
      <c r="AN546" s="4">
        <v>2</v>
      </c>
      <c r="AO546" s="4">
        <v>2</v>
      </c>
      <c r="AP546" s="3" t="s">
        <v>58</v>
      </c>
      <c r="AQ546" s="3" t="s">
        <v>58</v>
      </c>
      <c r="AS546" s="6" t="str">
        <f>HYPERLINK("https://creighton-primo.hosted.exlibrisgroup.com/primo-explore/search?tab=default_tab&amp;search_scope=EVERYTHING&amp;vid=01CRU&amp;lang=en_US&amp;offset=0&amp;query=any,contains,991001674919702656","Catalog Record")</f>
        <v>Catalog Record</v>
      </c>
      <c r="AT546" s="6" t="str">
        <f>HYPERLINK("http://www.worldcat.org/oclc/21328981","WorldCat Record")</f>
        <v>WorldCat Record</v>
      </c>
      <c r="AU546" s="3" t="s">
        <v>7354</v>
      </c>
      <c r="AV546" s="3" t="s">
        <v>7355</v>
      </c>
      <c r="AW546" s="3" t="s">
        <v>7356</v>
      </c>
      <c r="AX546" s="3" t="s">
        <v>7356</v>
      </c>
      <c r="AY546" s="3" t="s">
        <v>7357</v>
      </c>
      <c r="AZ546" s="3" t="s">
        <v>74</v>
      </c>
      <c r="BB546" s="3" t="s">
        <v>7358</v>
      </c>
      <c r="BC546" s="3" t="s">
        <v>7359</v>
      </c>
      <c r="BD546" s="3" t="s">
        <v>7360</v>
      </c>
    </row>
    <row r="547" spans="1:56" ht="45.75" customHeight="1" x14ac:dyDescent="0.25">
      <c r="A547" s="7" t="s">
        <v>58</v>
      </c>
      <c r="B547" s="2" t="s">
        <v>7361</v>
      </c>
      <c r="C547" s="2" t="s">
        <v>7362</v>
      </c>
      <c r="D547" s="2" t="s">
        <v>7363</v>
      </c>
      <c r="F547" s="3" t="s">
        <v>58</v>
      </c>
      <c r="G547" s="3" t="s">
        <v>59</v>
      </c>
      <c r="H547" s="3" t="s">
        <v>58</v>
      </c>
      <c r="I547" s="3" t="s">
        <v>58</v>
      </c>
      <c r="J547" s="3" t="s">
        <v>60</v>
      </c>
      <c r="K547" s="2" t="s">
        <v>7364</v>
      </c>
      <c r="L547" s="2" t="s">
        <v>7365</v>
      </c>
      <c r="M547" s="3" t="s">
        <v>147</v>
      </c>
      <c r="O547" s="3" t="s">
        <v>65</v>
      </c>
      <c r="P547" s="3" t="s">
        <v>4857</v>
      </c>
      <c r="R547" s="3" t="s">
        <v>67</v>
      </c>
      <c r="S547" s="4">
        <v>4</v>
      </c>
      <c r="T547" s="4">
        <v>4</v>
      </c>
      <c r="U547" s="5" t="s">
        <v>7366</v>
      </c>
      <c r="V547" s="5" t="s">
        <v>7366</v>
      </c>
      <c r="W547" s="5" t="s">
        <v>7367</v>
      </c>
      <c r="X547" s="5" t="s">
        <v>7367</v>
      </c>
      <c r="Y547" s="4">
        <v>318</v>
      </c>
      <c r="Z547" s="4">
        <v>260</v>
      </c>
      <c r="AA547" s="4">
        <v>261</v>
      </c>
      <c r="AB547" s="4">
        <v>2</v>
      </c>
      <c r="AC547" s="4">
        <v>2</v>
      </c>
      <c r="AD547" s="4">
        <v>15</v>
      </c>
      <c r="AE547" s="4">
        <v>15</v>
      </c>
      <c r="AF547" s="4">
        <v>6</v>
      </c>
      <c r="AG547" s="4">
        <v>6</v>
      </c>
      <c r="AH547" s="4">
        <v>3</v>
      </c>
      <c r="AI547" s="4">
        <v>3</v>
      </c>
      <c r="AJ547" s="4">
        <v>8</v>
      </c>
      <c r="AK547" s="4">
        <v>8</v>
      </c>
      <c r="AL547" s="4">
        <v>1</v>
      </c>
      <c r="AM547" s="4">
        <v>1</v>
      </c>
      <c r="AN547" s="4">
        <v>1</v>
      </c>
      <c r="AO547" s="4">
        <v>1</v>
      </c>
      <c r="AP547" s="3" t="s">
        <v>58</v>
      </c>
      <c r="AQ547" s="3" t="s">
        <v>58</v>
      </c>
      <c r="AS547" s="6" t="str">
        <f>HYPERLINK("https://creighton-primo.hosted.exlibrisgroup.com/primo-explore/search?tab=default_tab&amp;search_scope=EVERYTHING&amp;vid=01CRU&amp;lang=en_US&amp;offset=0&amp;query=any,contains,991004463829702656","Catalog Record")</f>
        <v>Catalog Record</v>
      </c>
      <c r="AT547" s="6" t="str">
        <f>HYPERLINK("http://www.worldcat.org/oclc/53138488","WorldCat Record")</f>
        <v>WorldCat Record</v>
      </c>
      <c r="AU547" s="3" t="s">
        <v>7368</v>
      </c>
      <c r="AV547" s="3" t="s">
        <v>7369</v>
      </c>
      <c r="AW547" s="3" t="s">
        <v>7370</v>
      </c>
      <c r="AX547" s="3" t="s">
        <v>7370</v>
      </c>
      <c r="AY547" s="3" t="s">
        <v>7371</v>
      </c>
      <c r="AZ547" s="3" t="s">
        <v>74</v>
      </c>
      <c r="BB547" s="3" t="s">
        <v>7372</v>
      </c>
      <c r="BC547" s="3" t="s">
        <v>7373</v>
      </c>
      <c r="BD547" s="3" t="s">
        <v>7374</v>
      </c>
    </row>
    <row r="548" spans="1:56" ht="45.75" customHeight="1" x14ac:dyDescent="0.25">
      <c r="A548" s="7" t="s">
        <v>58</v>
      </c>
      <c r="B548" s="2" t="s">
        <v>7375</v>
      </c>
      <c r="C548" s="2" t="s">
        <v>7376</v>
      </c>
      <c r="D548" s="2" t="s">
        <v>7377</v>
      </c>
      <c r="F548" s="3" t="s">
        <v>58</v>
      </c>
      <c r="G548" s="3" t="s">
        <v>59</v>
      </c>
      <c r="H548" s="3" t="s">
        <v>58</v>
      </c>
      <c r="I548" s="3" t="s">
        <v>58</v>
      </c>
      <c r="J548" s="3" t="s">
        <v>60</v>
      </c>
      <c r="L548" s="2" t="s">
        <v>7378</v>
      </c>
      <c r="M548" s="3" t="s">
        <v>147</v>
      </c>
      <c r="O548" s="3" t="s">
        <v>65</v>
      </c>
      <c r="P548" s="3" t="s">
        <v>132</v>
      </c>
      <c r="R548" s="3" t="s">
        <v>67</v>
      </c>
      <c r="S548" s="4">
        <v>3</v>
      </c>
      <c r="T548" s="4">
        <v>3</v>
      </c>
      <c r="U548" s="5" t="s">
        <v>7379</v>
      </c>
      <c r="V548" s="5" t="s">
        <v>7379</v>
      </c>
      <c r="W548" s="5" t="s">
        <v>2894</v>
      </c>
      <c r="X548" s="5" t="s">
        <v>2894</v>
      </c>
      <c r="Y548" s="4">
        <v>298</v>
      </c>
      <c r="Z548" s="4">
        <v>201</v>
      </c>
      <c r="AA548" s="4">
        <v>202</v>
      </c>
      <c r="AB548" s="4">
        <v>2</v>
      </c>
      <c r="AC548" s="4">
        <v>2</v>
      </c>
      <c r="AD548" s="4">
        <v>7</v>
      </c>
      <c r="AE548" s="4">
        <v>7</v>
      </c>
      <c r="AF548" s="4">
        <v>1</v>
      </c>
      <c r="AG548" s="4">
        <v>1</v>
      </c>
      <c r="AH548" s="4">
        <v>1</v>
      </c>
      <c r="AI548" s="4">
        <v>1</v>
      </c>
      <c r="AJ548" s="4">
        <v>5</v>
      </c>
      <c r="AK548" s="4">
        <v>5</v>
      </c>
      <c r="AL548" s="4">
        <v>1</v>
      </c>
      <c r="AM548" s="4">
        <v>1</v>
      </c>
      <c r="AN548" s="4">
        <v>1</v>
      </c>
      <c r="AO548" s="4">
        <v>1</v>
      </c>
      <c r="AP548" s="3" t="s">
        <v>58</v>
      </c>
      <c r="AQ548" s="3" t="s">
        <v>58</v>
      </c>
      <c r="AS548" s="6" t="str">
        <f>HYPERLINK("https://creighton-primo.hosted.exlibrisgroup.com/primo-explore/search?tab=default_tab&amp;search_scope=EVERYTHING&amp;vid=01CRU&amp;lang=en_US&amp;offset=0&amp;query=any,contains,991004364329702656","Catalog Record")</f>
        <v>Catalog Record</v>
      </c>
      <c r="AT548" s="6" t="str">
        <f>HYPERLINK("http://www.worldcat.org/oclc/53932606","WorldCat Record")</f>
        <v>WorldCat Record</v>
      </c>
      <c r="AU548" s="3" t="s">
        <v>7380</v>
      </c>
      <c r="AV548" s="3" t="s">
        <v>7381</v>
      </c>
      <c r="AW548" s="3" t="s">
        <v>7382</v>
      </c>
      <c r="AX548" s="3" t="s">
        <v>7382</v>
      </c>
      <c r="AY548" s="3" t="s">
        <v>7383</v>
      </c>
      <c r="AZ548" s="3" t="s">
        <v>74</v>
      </c>
      <c r="BB548" s="3" t="s">
        <v>7384</v>
      </c>
      <c r="BC548" s="3" t="s">
        <v>7385</v>
      </c>
      <c r="BD548" s="3" t="s">
        <v>7386</v>
      </c>
    </row>
    <row r="549" spans="1:56" ht="45.75" customHeight="1" x14ac:dyDescent="0.25">
      <c r="A549" s="7" t="s">
        <v>58</v>
      </c>
      <c r="B549" s="2" t="s">
        <v>7387</v>
      </c>
      <c r="C549" s="2" t="s">
        <v>7388</v>
      </c>
      <c r="D549" s="2" t="s">
        <v>7389</v>
      </c>
      <c r="F549" s="3" t="s">
        <v>58</v>
      </c>
      <c r="G549" s="3" t="s">
        <v>59</v>
      </c>
      <c r="H549" s="3" t="s">
        <v>58</v>
      </c>
      <c r="I549" s="3" t="s">
        <v>58</v>
      </c>
      <c r="J549" s="3" t="s">
        <v>60</v>
      </c>
      <c r="L549" s="2" t="s">
        <v>7390</v>
      </c>
      <c r="M549" s="3" t="s">
        <v>2324</v>
      </c>
      <c r="O549" s="3" t="s">
        <v>65</v>
      </c>
      <c r="P549" s="3" t="s">
        <v>7391</v>
      </c>
      <c r="R549" s="3" t="s">
        <v>67</v>
      </c>
      <c r="S549" s="4">
        <v>17</v>
      </c>
      <c r="T549" s="4">
        <v>17</v>
      </c>
      <c r="U549" s="5" t="s">
        <v>7289</v>
      </c>
      <c r="V549" s="5" t="s">
        <v>7289</v>
      </c>
      <c r="W549" s="5" t="s">
        <v>4293</v>
      </c>
      <c r="X549" s="5" t="s">
        <v>4293</v>
      </c>
      <c r="Y549" s="4">
        <v>553</v>
      </c>
      <c r="Z549" s="4">
        <v>472</v>
      </c>
      <c r="AA549" s="4">
        <v>629</v>
      </c>
      <c r="AB549" s="4">
        <v>5</v>
      </c>
      <c r="AC549" s="4">
        <v>5</v>
      </c>
      <c r="AD549" s="4">
        <v>26</v>
      </c>
      <c r="AE549" s="4">
        <v>29</v>
      </c>
      <c r="AF549" s="4">
        <v>9</v>
      </c>
      <c r="AG549" s="4">
        <v>12</v>
      </c>
      <c r="AH549" s="4">
        <v>6</v>
      </c>
      <c r="AI549" s="4">
        <v>7</v>
      </c>
      <c r="AJ549" s="4">
        <v>12</v>
      </c>
      <c r="AK549" s="4">
        <v>12</v>
      </c>
      <c r="AL549" s="4">
        <v>4</v>
      </c>
      <c r="AM549" s="4">
        <v>4</v>
      </c>
      <c r="AN549" s="4">
        <v>2</v>
      </c>
      <c r="AO549" s="4">
        <v>2</v>
      </c>
      <c r="AP549" s="3" t="s">
        <v>58</v>
      </c>
      <c r="AQ549" s="3" t="s">
        <v>58</v>
      </c>
      <c r="AS549" s="6" t="str">
        <f>HYPERLINK("https://creighton-primo.hosted.exlibrisgroup.com/primo-explore/search?tab=default_tab&amp;search_scope=EVERYTHING&amp;vid=01CRU&amp;lang=en_US&amp;offset=0&amp;query=any,contains,991000150369702656","Catalog Record")</f>
        <v>Catalog Record</v>
      </c>
      <c r="AT549" s="6" t="str">
        <f>HYPERLINK("http://www.worldcat.org/oclc/9198017","WorldCat Record")</f>
        <v>WorldCat Record</v>
      </c>
      <c r="AU549" s="3" t="s">
        <v>7392</v>
      </c>
      <c r="AV549" s="3" t="s">
        <v>7393</v>
      </c>
      <c r="AW549" s="3" t="s">
        <v>7394</v>
      </c>
      <c r="AX549" s="3" t="s">
        <v>7394</v>
      </c>
      <c r="AY549" s="3" t="s">
        <v>7395</v>
      </c>
      <c r="AZ549" s="3" t="s">
        <v>74</v>
      </c>
      <c r="BB549" s="3" t="s">
        <v>7396</v>
      </c>
      <c r="BC549" s="3" t="s">
        <v>7397</v>
      </c>
      <c r="BD549" s="3" t="s">
        <v>7398</v>
      </c>
    </row>
    <row r="550" spans="1:56" ht="45.75" customHeight="1" x14ac:dyDescent="0.25">
      <c r="A550" s="7" t="s">
        <v>58</v>
      </c>
      <c r="B550" s="2" t="s">
        <v>7399</v>
      </c>
      <c r="C550" s="2" t="s">
        <v>7400</v>
      </c>
      <c r="D550" s="2" t="s">
        <v>7401</v>
      </c>
      <c r="F550" s="3" t="s">
        <v>58</v>
      </c>
      <c r="G550" s="3" t="s">
        <v>59</v>
      </c>
      <c r="H550" s="3" t="s">
        <v>58</v>
      </c>
      <c r="I550" s="3" t="s">
        <v>58</v>
      </c>
      <c r="J550" s="3" t="s">
        <v>60</v>
      </c>
      <c r="K550" s="2" t="s">
        <v>7402</v>
      </c>
      <c r="L550" s="2" t="s">
        <v>7403</v>
      </c>
      <c r="M550" s="3" t="s">
        <v>131</v>
      </c>
      <c r="O550" s="3" t="s">
        <v>65</v>
      </c>
      <c r="P550" s="3" t="s">
        <v>175</v>
      </c>
      <c r="R550" s="3" t="s">
        <v>67</v>
      </c>
      <c r="S550" s="4">
        <v>1</v>
      </c>
      <c r="T550" s="4">
        <v>1</v>
      </c>
      <c r="U550" s="5" t="s">
        <v>7404</v>
      </c>
      <c r="V550" s="5" t="s">
        <v>7404</v>
      </c>
      <c r="W550" s="5" t="s">
        <v>7404</v>
      </c>
      <c r="X550" s="5" t="s">
        <v>7404</v>
      </c>
      <c r="Y550" s="4">
        <v>314</v>
      </c>
      <c r="Z550" s="4">
        <v>219</v>
      </c>
      <c r="AA550" s="4">
        <v>252</v>
      </c>
      <c r="AB550" s="4">
        <v>1</v>
      </c>
      <c r="AC550" s="4">
        <v>1</v>
      </c>
      <c r="AD550" s="4">
        <v>8</v>
      </c>
      <c r="AE550" s="4">
        <v>8</v>
      </c>
      <c r="AF550" s="4">
        <v>2</v>
      </c>
      <c r="AG550" s="4">
        <v>2</v>
      </c>
      <c r="AH550" s="4">
        <v>2</v>
      </c>
      <c r="AI550" s="4">
        <v>2</v>
      </c>
      <c r="AJ550" s="4">
        <v>5</v>
      </c>
      <c r="AK550" s="4">
        <v>5</v>
      </c>
      <c r="AL550" s="4">
        <v>0</v>
      </c>
      <c r="AM550" s="4">
        <v>0</v>
      </c>
      <c r="AN550" s="4">
        <v>2</v>
      </c>
      <c r="AO550" s="4">
        <v>2</v>
      </c>
      <c r="AP550" s="3" t="s">
        <v>58</v>
      </c>
      <c r="AQ550" s="3" t="s">
        <v>58</v>
      </c>
      <c r="AS550" s="6" t="str">
        <f>HYPERLINK("https://creighton-primo.hosted.exlibrisgroup.com/primo-explore/search?tab=default_tab&amp;search_scope=EVERYTHING&amp;vid=01CRU&amp;lang=en_US&amp;offset=0&amp;query=any,contains,991005125199702656","Catalog Record")</f>
        <v>Catalog Record</v>
      </c>
      <c r="AT550" s="6" t="str">
        <f>HYPERLINK("http://www.worldcat.org/oclc/62755559","WorldCat Record")</f>
        <v>WorldCat Record</v>
      </c>
      <c r="AU550" s="3" t="s">
        <v>7405</v>
      </c>
      <c r="AV550" s="3" t="s">
        <v>7406</v>
      </c>
      <c r="AW550" s="3" t="s">
        <v>7407</v>
      </c>
      <c r="AX550" s="3" t="s">
        <v>7407</v>
      </c>
      <c r="AY550" s="3" t="s">
        <v>7408</v>
      </c>
      <c r="AZ550" s="3" t="s">
        <v>74</v>
      </c>
      <c r="BB550" s="3" t="s">
        <v>7409</v>
      </c>
      <c r="BC550" s="3" t="s">
        <v>7410</v>
      </c>
      <c r="BD550" s="3" t="s">
        <v>7411</v>
      </c>
    </row>
    <row r="551" spans="1:56" ht="45.75" customHeight="1" x14ac:dyDescent="0.25">
      <c r="A551" s="7" t="s">
        <v>58</v>
      </c>
      <c r="B551" s="2" t="s">
        <v>7412</v>
      </c>
      <c r="C551" s="2" t="s">
        <v>7413</v>
      </c>
      <c r="D551" s="2" t="s">
        <v>7414</v>
      </c>
      <c r="F551" s="3" t="s">
        <v>87</v>
      </c>
      <c r="G551" s="3" t="s">
        <v>59</v>
      </c>
      <c r="H551" s="3" t="s">
        <v>87</v>
      </c>
      <c r="I551" s="3" t="s">
        <v>58</v>
      </c>
      <c r="J551" s="3" t="s">
        <v>60</v>
      </c>
      <c r="K551" s="2" t="s">
        <v>7415</v>
      </c>
      <c r="L551" s="2" t="s">
        <v>7416</v>
      </c>
      <c r="M551" s="3" t="s">
        <v>63</v>
      </c>
      <c r="O551" s="3" t="s">
        <v>65</v>
      </c>
      <c r="P551" s="3" t="s">
        <v>101</v>
      </c>
      <c r="R551" s="3" t="s">
        <v>67</v>
      </c>
      <c r="S551" s="4">
        <v>1</v>
      </c>
      <c r="T551" s="4">
        <v>3</v>
      </c>
      <c r="U551" s="5" t="s">
        <v>7417</v>
      </c>
      <c r="V551" s="5" t="s">
        <v>7417</v>
      </c>
      <c r="W551" s="5" t="s">
        <v>7418</v>
      </c>
      <c r="X551" s="5" t="s">
        <v>7418</v>
      </c>
      <c r="Y551" s="4">
        <v>29</v>
      </c>
      <c r="Z551" s="4">
        <v>20</v>
      </c>
      <c r="AA551" s="4">
        <v>28</v>
      </c>
      <c r="AB551" s="4">
        <v>1</v>
      </c>
      <c r="AC551" s="4">
        <v>1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0</v>
      </c>
      <c r="AP551" s="3" t="s">
        <v>58</v>
      </c>
      <c r="AQ551" s="3" t="s">
        <v>87</v>
      </c>
      <c r="AR551" s="6" t="str">
        <f>HYPERLINK("http://catalog.hathitrust.org/Record/007584093","HathiTrust Record")</f>
        <v>HathiTrust Record</v>
      </c>
      <c r="AS551" s="6" t="str">
        <f>HYPERLINK("https://creighton-primo.hosted.exlibrisgroup.com/primo-explore/search?tab=default_tab&amp;search_scope=EVERYTHING&amp;vid=01CRU&amp;lang=en_US&amp;offset=0&amp;query=any,contains,991004802529702656","Catalog Record")</f>
        <v>Catalog Record</v>
      </c>
      <c r="AT551" s="6" t="str">
        <f>HYPERLINK("http://www.worldcat.org/oclc/56921442","WorldCat Record")</f>
        <v>WorldCat Record</v>
      </c>
      <c r="AU551" s="3" t="s">
        <v>7419</v>
      </c>
      <c r="AV551" s="3" t="s">
        <v>7420</v>
      </c>
      <c r="AW551" s="3" t="s">
        <v>7421</v>
      </c>
      <c r="AX551" s="3" t="s">
        <v>7421</v>
      </c>
      <c r="AY551" s="3" t="s">
        <v>7422</v>
      </c>
      <c r="AZ551" s="3" t="s">
        <v>74</v>
      </c>
      <c r="BB551" s="3" t="s">
        <v>7423</v>
      </c>
      <c r="BC551" s="3" t="s">
        <v>7424</v>
      </c>
      <c r="BD551" s="3" t="s">
        <v>7425</v>
      </c>
    </row>
    <row r="552" spans="1:56" ht="45.75" customHeight="1" x14ac:dyDescent="0.25">
      <c r="A552" s="7" t="s">
        <v>58</v>
      </c>
      <c r="B552" s="2" t="s">
        <v>7426</v>
      </c>
      <c r="C552" s="2" t="s">
        <v>7427</v>
      </c>
      <c r="D552" s="2" t="s">
        <v>7414</v>
      </c>
      <c r="E552" s="3" t="s">
        <v>7428</v>
      </c>
      <c r="F552" s="3" t="s">
        <v>87</v>
      </c>
      <c r="G552" s="3" t="s">
        <v>59</v>
      </c>
      <c r="H552" s="3" t="s">
        <v>58</v>
      </c>
      <c r="I552" s="3" t="s">
        <v>58</v>
      </c>
      <c r="J552" s="3" t="s">
        <v>60</v>
      </c>
      <c r="K552" s="2" t="s">
        <v>7415</v>
      </c>
      <c r="L552" s="2" t="s">
        <v>7416</v>
      </c>
      <c r="M552" s="3" t="s">
        <v>63</v>
      </c>
      <c r="O552" s="3" t="s">
        <v>65</v>
      </c>
      <c r="P552" s="3" t="s">
        <v>101</v>
      </c>
      <c r="R552" s="3" t="s">
        <v>67</v>
      </c>
      <c r="S552" s="4">
        <v>1</v>
      </c>
      <c r="T552" s="4">
        <v>3</v>
      </c>
      <c r="U552" s="5" t="s">
        <v>7417</v>
      </c>
      <c r="V552" s="5" t="s">
        <v>7417</v>
      </c>
      <c r="W552" s="5" t="s">
        <v>7418</v>
      </c>
      <c r="X552" s="5" t="s">
        <v>7418</v>
      </c>
      <c r="Y552" s="4">
        <v>29</v>
      </c>
      <c r="Z552" s="4">
        <v>20</v>
      </c>
      <c r="AA552" s="4">
        <v>28</v>
      </c>
      <c r="AB552" s="4">
        <v>1</v>
      </c>
      <c r="AC552" s="4">
        <v>1</v>
      </c>
      <c r="AD552" s="4">
        <v>0</v>
      </c>
      <c r="AE552" s="4">
        <v>0</v>
      </c>
      <c r="AF552" s="4">
        <v>0</v>
      </c>
      <c r="AG552" s="4">
        <v>0</v>
      </c>
      <c r="AH552" s="4"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3" t="s">
        <v>58</v>
      </c>
      <c r="AQ552" s="3" t="s">
        <v>87</v>
      </c>
      <c r="AR552" s="6" t="str">
        <f>HYPERLINK("http://catalog.hathitrust.org/Record/007584093","HathiTrust Record")</f>
        <v>HathiTrust Record</v>
      </c>
      <c r="AS552" s="6" t="str">
        <f>HYPERLINK("https://creighton-primo.hosted.exlibrisgroup.com/primo-explore/search?tab=default_tab&amp;search_scope=EVERYTHING&amp;vid=01CRU&amp;lang=en_US&amp;offset=0&amp;query=any,contains,991004802529702656","Catalog Record")</f>
        <v>Catalog Record</v>
      </c>
      <c r="AT552" s="6" t="str">
        <f>HYPERLINK("http://www.worldcat.org/oclc/56921442","WorldCat Record")</f>
        <v>WorldCat Record</v>
      </c>
      <c r="AU552" s="3" t="s">
        <v>7419</v>
      </c>
      <c r="AV552" s="3" t="s">
        <v>7420</v>
      </c>
      <c r="AW552" s="3" t="s">
        <v>7421</v>
      </c>
      <c r="AX552" s="3" t="s">
        <v>7421</v>
      </c>
      <c r="AY552" s="3" t="s">
        <v>7422</v>
      </c>
      <c r="AZ552" s="3" t="s">
        <v>74</v>
      </c>
      <c r="BB552" s="3" t="s">
        <v>7423</v>
      </c>
      <c r="BC552" s="3" t="s">
        <v>7429</v>
      </c>
      <c r="BD552" s="3" t="s">
        <v>7430</v>
      </c>
    </row>
    <row r="553" spans="1:56" ht="45.75" customHeight="1" x14ac:dyDescent="0.25">
      <c r="A553" s="7" t="s">
        <v>58</v>
      </c>
      <c r="B553" s="2" t="s">
        <v>7431</v>
      </c>
      <c r="C553" s="2" t="s">
        <v>7432</v>
      </c>
      <c r="D553" s="2" t="s">
        <v>7414</v>
      </c>
      <c r="E553" s="3" t="s">
        <v>7433</v>
      </c>
      <c r="F553" s="3" t="s">
        <v>87</v>
      </c>
      <c r="G553" s="3" t="s">
        <v>59</v>
      </c>
      <c r="H553" s="3" t="s">
        <v>58</v>
      </c>
      <c r="I553" s="3" t="s">
        <v>58</v>
      </c>
      <c r="J553" s="3" t="s">
        <v>60</v>
      </c>
      <c r="K553" s="2" t="s">
        <v>7415</v>
      </c>
      <c r="L553" s="2" t="s">
        <v>7416</v>
      </c>
      <c r="M553" s="3" t="s">
        <v>63</v>
      </c>
      <c r="O553" s="3" t="s">
        <v>65</v>
      </c>
      <c r="P553" s="3" t="s">
        <v>101</v>
      </c>
      <c r="R553" s="3" t="s">
        <v>67</v>
      </c>
      <c r="S553" s="4">
        <v>1</v>
      </c>
      <c r="T553" s="4">
        <v>3</v>
      </c>
      <c r="U553" s="5" t="s">
        <v>7417</v>
      </c>
      <c r="V553" s="5" t="s">
        <v>7417</v>
      </c>
      <c r="W553" s="5" t="s">
        <v>7418</v>
      </c>
      <c r="X553" s="5" t="s">
        <v>7418</v>
      </c>
      <c r="Y553" s="4">
        <v>29</v>
      </c>
      <c r="Z553" s="4">
        <v>20</v>
      </c>
      <c r="AA553" s="4">
        <v>28</v>
      </c>
      <c r="AB553" s="4">
        <v>1</v>
      </c>
      <c r="AC553" s="4">
        <v>1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0</v>
      </c>
      <c r="AP553" s="3" t="s">
        <v>58</v>
      </c>
      <c r="AQ553" s="3" t="s">
        <v>87</v>
      </c>
      <c r="AR553" s="6" t="str">
        <f>HYPERLINK("http://catalog.hathitrust.org/Record/007584093","HathiTrust Record")</f>
        <v>HathiTrust Record</v>
      </c>
      <c r="AS553" s="6" t="str">
        <f>HYPERLINK("https://creighton-primo.hosted.exlibrisgroup.com/primo-explore/search?tab=default_tab&amp;search_scope=EVERYTHING&amp;vid=01CRU&amp;lang=en_US&amp;offset=0&amp;query=any,contains,991004802529702656","Catalog Record")</f>
        <v>Catalog Record</v>
      </c>
      <c r="AT553" s="6" t="str">
        <f>HYPERLINK("http://www.worldcat.org/oclc/56921442","WorldCat Record")</f>
        <v>WorldCat Record</v>
      </c>
      <c r="AU553" s="3" t="s">
        <v>7419</v>
      </c>
      <c r="AV553" s="3" t="s">
        <v>7420</v>
      </c>
      <c r="AW553" s="3" t="s">
        <v>7421</v>
      </c>
      <c r="AX553" s="3" t="s">
        <v>7421</v>
      </c>
      <c r="AY553" s="3" t="s">
        <v>7422</v>
      </c>
      <c r="AZ553" s="3" t="s">
        <v>74</v>
      </c>
      <c r="BB553" s="3" t="s">
        <v>7423</v>
      </c>
      <c r="BC553" s="3" t="s">
        <v>7434</v>
      </c>
      <c r="BD553" s="3" t="s">
        <v>7435</v>
      </c>
    </row>
    <row r="554" spans="1:56" ht="45.75" customHeight="1" x14ac:dyDescent="0.25">
      <c r="A554" s="7" t="s">
        <v>58</v>
      </c>
      <c r="B554" s="2" t="s">
        <v>7436</v>
      </c>
      <c r="C554" s="2" t="s">
        <v>7437</v>
      </c>
      <c r="D554" s="2" t="s">
        <v>7438</v>
      </c>
      <c r="F554" s="3" t="s">
        <v>58</v>
      </c>
      <c r="G554" s="3" t="s">
        <v>59</v>
      </c>
      <c r="H554" s="3" t="s">
        <v>58</v>
      </c>
      <c r="I554" s="3" t="s">
        <v>58</v>
      </c>
      <c r="J554" s="3" t="s">
        <v>60</v>
      </c>
      <c r="K554" s="2" t="s">
        <v>7439</v>
      </c>
      <c r="L554" s="2" t="s">
        <v>7440</v>
      </c>
      <c r="M554" s="3" t="s">
        <v>867</v>
      </c>
      <c r="N554" s="2" t="s">
        <v>543</v>
      </c>
      <c r="O554" s="3" t="s">
        <v>65</v>
      </c>
      <c r="P554" s="3" t="s">
        <v>84</v>
      </c>
      <c r="R554" s="3" t="s">
        <v>67</v>
      </c>
      <c r="S554" s="4">
        <v>11</v>
      </c>
      <c r="T554" s="4">
        <v>11</v>
      </c>
      <c r="U554" s="5" t="s">
        <v>7441</v>
      </c>
      <c r="V554" s="5" t="s">
        <v>7441</v>
      </c>
      <c r="W554" s="5" t="s">
        <v>7442</v>
      </c>
      <c r="X554" s="5" t="s">
        <v>7442</v>
      </c>
      <c r="Y554" s="4">
        <v>512</v>
      </c>
      <c r="Z554" s="4">
        <v>436</v>
      </c>
      <c r="AA554" s="4">
        <v>459</v>
      </c>
      <c r="AB554" s="4">
        <v>3</v>
      </c>
      <c r="AC554" s="4">
        <v>3</v>
      </c>
      <c r="AD554" s="4">
        <v>15</v>
      </c>
      <c r="AE554" s="4">
        <v>15</v>
      </c>
      <c r="AF554" s="4">
        <v>6</v>
      </c>
      <c r="AG554" s="4">
        <v>6</v>
      </c>
      <c r="AH554" s="4">
        <v>3</v>
      </c>
      <c r="AI554" s="4">
        <v>3</v>
      </c>
      <c r="AJ554" s="4">
        <v>7</v>
      </c>
      <c r="AK554" s="4">
        <v>7</v>
      </c>
      <c r="AL554" s="4">
        <v>1</v>
      </c>
      <c r="AM554" s="4">
        <v>1</v>
      </c>
      <c r="AN554" s="4">
        <v>1</v>
      </c>
      <c r="AO554" s="4">
        <v>1</v>
      </c>
      <c r="AP554" s="3" t="s">
        <v>58</v>
      </c>
      <c r="AQ554" s="3" t="s">
        <v>87</v>
      </c>
      <c r="AR554" s="6" t="str">
        <f>HYPERLINK("http://catalog.hathitrust.org/Record/003575768","HathiTrust Record")</f>
        <v>HathiTrust Record</v>
      </c>
      <c r="AS554" s="6" t="str">
        <f>HYPERLINK("https://creighton-primo.hosted.exlibrisgroup.com/primo-explore/search?tab=default_tab&amp;search_scope=EVERYTHING&amp;vid=01CRU&amp;lang=en_US&amp;offset=0&amp;query=any,contains,991001948149702656","Catalog Record")</f>
        <v>Catalog Record</v>
      </c>
      <c r="AT554" s="6" t="str">
        <f>HYPERLINK("http://www.worldcat.org/oclc/24628222","WorldCat Record")</f>
        <v>WorldCat Record</v>
      </c>
      <c r="AU554" s="3" t="s">
        <v>7443</v>
      </c>
      <c r="AV554" s="3" t="s">
        <v>7444</v>
      </c>
      <c r="AW554" s="3" t="s">
        <v>7445</v>
      </c>
      <c r="AX554" s="3" t="s">
        <v>7445</v>
      </c>
      <c r="AY554" s="3" t="s">
        <v>7446</v>
      </c>
      <c r="AZ554" s="3" t="s">
        <v>74</v>
      </c>
      <c r="BB554" s="3" t="s">
        <v>7447</v>
      </c>
      <c r="BC554" s="3" t="s">
        <v>7448</v>
      </c>
      <c r="BD554" s="3" t="s">
        <v>7449</v>
      </c>
    </row>
    <row r="555" spans="1:56" ht="45.75" customHeight="1" x14ac:dyDescent="0.25">
      <c r="A555" s="7" t="s">
        <v>58</v>
      </c>
      <c r="B555" s="2" t="s">
        <v>7450</v>
      </c>
      <c r="C555" s="2" t="s">
        <v>7451</v>
      </c>
      <c r="D555" s="2" t="s">
        <v>7452</v>
      </c>
      <c r="F555" s="3" t="s">
        <v>58</v>
      </c>
      <c r="G555" s="3" t="s">
        <v>59</v>
      </c>
      <c r="H555" s="3" t="s">
        <v>58</v>
      </c>
      <c r="I555" s="3" t="s">
        <v>58</v>
      </c>
      <c r="J555" s="3" t="s">
        <v>60</v>
      </c>
      <c r="K555" s="2" t="s">
        <v>7453</v>
      </c>
      <c r="L555" s="2" t="s">
        <v>7454</v>
      </c>
      <c r="M555" s="3" t="s">
        <v>248</v>
      </c>
      <c r="O555" s="3" t="s">
        <v>65</v>
      </c>
      <c r="P555" s="3" t="s">
        <v>84</v>
      </c>
      <c r="R555" s="3" t="s">
        <v>67</v>
      </c>
      <c r="S555" s="4">
        <v>1</v>
      </c>
      <c r="T555" s="4">
        <v>1</v>
      </c>
      <c r="U555" s="5" t="s">
        <v>4423</v>
      </c>
      <c r="V555" s="5" t="s">
        <v>4423</v>
      </c>
      <c r="W555" s="5" t="s">
        <v>4423</v>
      </c>
      <c r="X555" s="5" t="s">
        <v>4423</v>
      </c>
      <c r="Y555" s="4">
        <v>166</v>
      </c>
      <c r="Z555" s="4">
        <v>144</v>
      </c>
      <c r="AA555" s="4">
        <v>412</v>
      </c>
      <c r="AB555" s="4">
        <v>1</v>
      </c>
      <c r="AC555" s="4">
        <v>5</v>
      </c>
      <c r="AD555" s="4">
        <v>9</v>
      </c>
      <c r="AE555" s="4">
        <v>14</v>
      </c>
      <c r="AF555" s="4">
        <v>3</v>
      </c>
      <c r="AG555" s="4">
        <v>3</v>
      </c>
      <c r="AH555" s="4">
        <v>3</v>
      </c>
      <c r="AI555" s="4">
        <v>3</v>
      </c>
      <c r="AJ555" s="4">
        <v>6</v>
      </c>
      <c r="AK555" s="4">
        <v>7</v>
      </c>
      <c r="AL555" s="4">
        <v>0</v>
      </c>
      <c r="AM555" s="4">
        <v>4</v>
      </c>
      <c r="AN555" s="4">
        <v>1</v>
      </c>
      <c r="AO555" s="4">
        <v>1</v>
      </c>
      <c r="AP555" s="3" t="s">
        <v>58</v>
      </c>
      <c r="AQ555" s="3" t="s">
        <v>58</v>
      </c>
      <c r="AS555" s="6" t="str">
        <f>HYPERLINK("https://creighton-primo.hosted.exlibrisgroup.com/primo-explore/search?tab=default_tab&amp;search_scope=EVERYTHING&amp;vid=01CRU&amp;lang=en_US&amp;offset=0&amp;query=any,contains,991005270219702656","Catalog Record")</f>
        <v>Catalog Record</v>
      </c>
      <c r="AT555" s="6" t="str">
        <f>HYPERLINK("http://www.worldcat.org/oclc/137331469","WorldCat Record")</f>
        <v>WorldCat Record</v>
      </c>
      <c r="AU555" s="3" t="s">
        <v>7455</v>
      </c>
      <c r="AV555" s="3" t="s">
        <v>7456</v>
      </c>
      <c r="AW555" s="3" t="s">
        <v>7457</v>
      </c>
      <c r="AX555" s="3" t="s">
        <v>7457</v>
      </c>
      <c r="AY555" s="3" t="s">
        <v>7458</v>
      </c>
      <c r="AZ555" s="3" t="s">
        <v>74</v>
      </c>
      <c r="BB555" s="3" t="s">
        <v>7459</v>
      </c>
      <c r="BC555" s="3" t="s">
        <v>7460</v>
      </c>
      <c r="BD555" s="3" t="s">
        <v>7461</v>
      </c>
    </row>
    <row r="556" spans="1:56" ht="45.75" customHeight="1" x14ac:dyDescent="0.25">
      <c r="A556" s="7" t="s">
        <v>58</v>
      </c>
      <c r="B556" s="2" t="s">
        <v>7462</v>
      </c>
      <c r="C556" s="2" t="s">
        <v>7463</v>
      </c>
      <c r="D556" s="2" t="s">
        <v>7464</v>
      </c>
      <c r="F556" s="3" t="s">
        <v>58</v>
      </c>
      <c r="G556" s="3" t="s">
        <v>59</v>
      </c>
      <c r="H556" s="3" t="s">
        <v>58</v>
      </c>
      <c r="I556" s="3" t="s">
        <v>58</v>
      </c>
      <c r="J556" s="3" t="s">
        <v>60</v>
      </c>
      <c r="K556" s="2" t="s">
        <v>7465</v>
      </c>
      <c r="L556" s="2" t="s">
        <v>7466</v>
      </c>
      <c r="M556" s="3" t="s">
        <v>220</v>
      </c>
      <c r="O556" s="3" t="s">
        <v>65</v>
      </c>
      <c r="P556" s="3" t="s">
        <v>148</v>
      </c>
      <c r="R556" s="3" t="s">
        <v>67</v>
      </c>
      <c r="S556" s="4">
        <v>8</v>
      </c>
      <c r="T556" s="4">
        <v>8</v>
      </c>
      <c r="U556" s="5" t="s">
        <v>7467</v>
      </c>
      <c r="V556" s="5" t="s">
        <v>7467</v>
      </c>
      <c r="W556" s="5" t="s">
        <v>7468</v>
      </c>
      <c r="X556" s="5" t="s">
        <v>7468</v>
      </c>
      <c r="Y556" s="4">
        <v>1093</v>
      </c>
      <c r="Z556" s="4">
        <v>947</v>
      </c>
      <c r="AA556" s="4">
        <v>1152</v>
      </c>
      <c r="AB556" s="4">
        <v>6</v>
      </c>
      <c r="AC556" s="4">
        <v>7</v>
      </c>
      <c r="AD556" s="4">
        <v>37</v>
      </c>
      <c r="AE556" s="4">
        <v>43</v>
      </c>
      <c r="AF556" s="4">
        <v>16</v>
      </c>
      <c r="AG556" s="4">
        <v>21</v>
      </c>
      <c r="AH556" s="4">
        <v>8</v>
      </c>
      <c r="AI556" s="4">
        <v>9</v>
      </c>
      <c r="AJ556" s="4">
        <v>12</v>
      </c>
      <c r="AK556" s="4">
        <v>13</v>
      </c>
      <c r="AL556" s="4">
        <v>5</v>
      </c>
      <c r="AM556" s="4">
        <v>5</v>
      </c>
      <c r="AN556" s="4">
        <v>5</v>
      </c>
      <c r="AO556" s="4">
        <v>5</v>
      </c>
      <c r="AP556" s="3" t="s">
        <v>58</v>
      </c>
      <c r="AQ556" s="3" t="s">
        <v>58</v>
      </c>
      <c r="AS556" s="6" t="str">
        <f>HYPERLINK("https://creighton-primo.hosted.exlibrisgroup.com/primo-explore/search?tab=default_tab&amp;search_scope=EVERYTHING&amp;vid=01CRU&amp;lang=en_US&amp;offset=0&amp;query=any,contains,991002972519702656","Catalog Record")</f>
        <v>Catalog Record</v>
      </c>
      <c r="AT556" s="6" t="str">
        <f>HYPERLINK("http://www.worldcat.org/oclc/39812131","WorldCat Record")</f>
        <v>WorldCat Record</v>
      </c>
      <c r="AU556" s="3" t="s">
        <v>7469</v>
      </c>
      <c r="AV556" s="3" t="s">
        <v>7470</v>
      </c>
      <c r="AW556" s="3" t="s">
        <v>7471</v>
      </c>
      <c r="AX556" s="3" t="s">
        <v>7471</v>
      </c>
      <c r="AY556" s="3" t="s">
        <v>7472</v>
      </c>
      <c r="AZ556" s="3" t="s">
        <v>74</v>
      </c>
      <c r="BB556" s="3" t="s">
        <v>7473</v>
      </c>
      <c r="BC556" s="3" t="s">
        <v>7474</v>
      </c>
      <c r="BD556" s="3" t="s">
        <v>7475</v>
      </c>
    </row>
    <row r="557" spans="1:56" ht="45.75" customHeight="1" x14ac:dyDescent="0.25">
      <c r="A557" s="7" t="s">
        <v>58</v>
      </c>
      <c r="B557" s="2" t="s">
        <v>7476</v>
      </c>
      <c r="C557" s="2" t="s">
        <v>7477</v>
      </c>
      <c r="D557" s="2" t="s">
        <v>7478</v>
      </c>
      <c r="F557" s="3" t="s">
        <v>58</v>
      </c>
      <c r="G557" s="3" t="s">
        <v>59</v>
      </c>
      <c r="H557" s="3" t="s">
        <v>58</v>
      </c>
      <c r="I557" s="3" t="s">
        <v>58</v>
      </c>
      <c r="J557" s="3" t="s">
        <v>60</v>
      </c>
      <c r="K557" s="2" t="s">
        <v>7479</v>
      </c>
      <c r="L557" s="2" t="s">
        <v>7480</v>
      </c>
      <c r="M557" s="3" t="s">
        <v>147</v>
      </c>
      <c r="O557" s="3" t="s">
        <v>65</v>
      </c>
      <c r="P557" s="3" t="s">
        <v>132</v>
      </c>
      <c r="Q557" s="2" t="s">
        <v>4829</v>
      </c>
      <c r="R557" s="3" t="s">
        <v>67</v>
      </c>
      <c r="S557" s="4">
        <v>2</v>
      </c>
      <c r="T557" s="4">
        <v>2</v>
      </c>
      <c r="U557" s="5" t="s">
        <v>7327</v>
      </c>
      <c r="V557" s="5" t="s">
        <v>7327</v>
      </c>
      <c r="W557" s="5" t="s">
        <v>7481</v>
      </c>
      <c r="X557" s="5" t="s">
        <v>7481</v>
      </c>
      <c r="Y557" s="4">
        <v>559</v>
      </c>
      <c r="Z557" s="4">
        <v>511</v>
      </c>
      <c r="AA557" s="4">
        <v>908</v>
      </c>
      <c r="AB557" s="4">
        <v>2</v>
      </c>
      <c r="AC557" s="4">
        <v>5</v>
      </c>
      <c r="AD557" s="4">
        <v>9</v>
      </c>
      <c r="AE557" s="4">
        <v>18</v>
      </c>
      <c r="AF557" s="4">
        <v>4</v>
      </c>
      <c r="AG557" s="4">
        <v>9</v>
      </c>
      <c r="AH557" s="4">
        <v>2</v>
      </c>
      <c r="AI557" s="4">
        <v>3</v>
      </c>
      <c r="AJ557" s="4">
        <v>5</v>
      </c>
      <c r="AK557" s="4">
        <v>8</v>
      </c>
      <c r="AL557" s="4">
        <v>0</v>
      </c>
      <c r="AM557" s="4">
        <v>3</v>
      </c>
      <c r="AN557" s="4">
        <v>1</v>
      </c>
      <c r="AO557" s="4">
        <v>1</v>
      </c>
      <c r="AP557" s="3" t="s">
        <v>58</v>
      </c>
      <c r="AQ557" s="3" t="s">
        <v>58</v>
      </c>
      <c r="AS557" s="6" t="str">
        <f>HYPERLINK("https://creighton-primo.hosted.exlibrisgroup.com/primo-explore/search?tab=default_tab&amp;search_scope=EVERYTHING&amp;vid=01CRU&amp;lang=en_US&amp;offset=0&amp;query=any,contains,991004382689702656","Catalog Record")</f>
        <v>Catalog Record</v>
      </c>
      <c r="AT557" s="6" t="str">
        <f>HYPERLINK("http://www.worldcat.org/oclc/55055170","WorldCat Record")</f>
        <v>WorldCat Record</v>
      </c>
      <c r="AU557" s="3" t="s">
        <v>7482</v>
      </c>
      <c r="AV557" s="3" t="s">
        <v>7483</v>
      </c>
      <c r="AW557" s="3" t="s">
        <v>7484</v>
      </c>
      <c r="AX557" s="3" t="s">
        <v>7484</v>
      </c>
      <c r="AY557" s="3" t="s">
        <v>7485</v>
      </c>
      <c r="AZ557" s="3" t="s">
        <v>74</v>
      </c>
      <c r="BB557" s="3" t="s">
        <v>7486</v>
      </c>
      <c r="BC557" s="3" t="s">
        <v>7487</v>
      </c>
      <c r="BD557" s="3" t="s">
        <v>7488</v>
      </c>
    </row>
    <row r="558" spans="1:56" ht="45.75" customHeight="1" x14ac:dyDescent="0.25">
      <c r="A558" s="7" t="s">
        <v>58</v>
      </c>
      <c r="B558" s="2" t="s">
        <v>7489</v>
      </c>
      <c r="C558" s="2" t="s">
        <v>7490</v>
      </c>
      <c r="D558" s="2" t="s">
        <v>7491</v>
      </c>
      <c r="F558" s="3" t="s">
        <v>58</v>
      </c>
      <c r="G558" s="3" t="s">
        <v>59</v>
      </c>
      <c r="H558" s="3" t="s">
        <v>58</v>
      </c>
      <c r="I558" s="3" t="s">
        <v>58</v>
      </c>
      <c r="J558" s="3" t="s">
        <v>60</v>
      </c>
      <c r="L558" s="2" t="s">
        <v>7492</v>
      </c>
      <c r="M558" s="3" t="s">
        <v>290</v>
      </c>
      <c r="O558" s="3" t="s">
        <v>65</v>
      </c>
      <c r="P558" s="3" t="s">
        <v>84</v>
      </c>
      <c r="R558" s="3" t="s">
        <v>67</v>
      </c>
      <c r="S558" s="4">
        <v>4</v>
      </c>
      <c r="T558" s="4">
        <v>4</v>
      </c>
      <c r="U558" s="5" t="s">
        <v>7493</v>
      </c>
      <c r="V558" s="5" t="s">
        <v>7493</v>
      </c>
      <c r="W558" s="5" t="s">
        <v>5939</v>
      </c>
      <c r="X558" s="5" t="s">
        <v>5939</v>
      </c>
      <c r="Y558" s="4">
        <v>429</v>
      </c>
      <c r="Z558" s="4">
        <v>386</v>
      </c>
      <c r="AA558" s="4">
        <v>398</v>
      </c>
      <c r="AB558" s="4">
        <v>4</v>
      </c>
      <c r="AC558" s="4">
        <v>4</v>
      </c>
      <c r="AD558" s="4">
        <v>11</v>
      </c>
      <c r="AE558" s="4">
        <v>11</v>
      </c>
      <c r="AF558" s="4">
        <v>4</v>
      </c>
      <c r="AG558" s="4">
        <v>4</v>
      </c>
      <c r="AH558" s="4">
        <v>1</v>
      </c>
      <c r="AI558" s="4">
        <v>1</v>
      </c>
      <c r="AJ558" s="4">
        <v>5</v>
      </c>
      <c r="AK558" s="4">
        <v>5</v>
      </c>
      <c r="AL558" s="4">
        <v>2</v>
      </c>
      <c r="AM558" s="4">
        <v>2</v>
      </c>
      <c r="AN558" s="4">
        <v>3</v>
      </c>
      <c r="AO558" s="4">
        <v>3</v>
      </c>
      <c r="AP558" s="3" t="s">
        <v>58</v>
      </c>
      <c r="AQ558" s="3" t="s">
        <v>58</v>
      </c>
      <c r="AS558" s="6" t="str">
        <f>HYPERLINK("https://creighton-primo.hosted.exlibrisgroup.com/primo-explore/search?tab=default_tab&amp;search_scope=EVERYTHING&amp;vid=01CRU&amp;lang=en_US&amp;offset=0&amp;query=any,contains,991003676679702656","Catalog Record")</f>
        <v>Catalog Record</v>
      </c>
      <c r="AT558" s="6" t="str">
        <f>HYPERLINK("http://www.worldcat.org/oclc/47161164","WorldCat Record")</f>
        <v>WorldCat Record</v>
      </c>
      <c r="AU558" s="3" t="s">
        <v>7494</v>
      </c>
      <c r="AV558" s="3" t="s">
        <v>7495</v>
      </c>
      <c r="AW558" s="3" t="s">
        <v>7496</v>
      </c>
      <c r="AX558" s="3" t="s">
        <v>7496</v>
      </c>
      <c r="AY558" s="3" t="s">
        <v>7497</v>
      </c>
      <c r="AZ558" s="3" t="s">
        <v>74</v>
      </c>
      <c r="BB558" s="3" t="s">
        <v>7498</v>
      </c>
      <c r="BC558" s="3" t="s">
        <v>7499</v>
      </c>
      <c r="BD558" s="3" t="s">
        <v>7500</v>
      </c>
    </row>
    <row r="559" spans="1:56" ht="45.75" customHeight="1" x14ac:dyDescent="0.25">
      <c r="A559" s="7" t="s">
        <v>58</v>
      </c>
      <c r="B559" s="2" t="s">
        <v>7501</v>
      </c>
      <c r="C559" s="2" t="s">
        <v>7502</v>
      </c>
      <c r="D559" s="2" t="s">
        <v>7503</v>
      </c>
      <c r="F559" s="3" t="s">
        <v>58</v>
      </c>
      <c r="G559" s="3" t="s">
        <v>59</v>
      </c>
      <c r="H559" s="3" t="s">
        <v>58</v>
      </c>
      <c r="I559" s="3" t="s">
        <v>58</v>
      </c>
      <c r="J559" s="3" t="s">
        <v>60</v>
      </c>
      <c r="L559" s="2" t="s">
        <v>7504</v>
      </c>
      <c r="M559" s="3" t="s">
        <v>203</v>
      </c>
      <c r="O559" s="3" t="s">
        <v>65</v>
      </c>
      <c r="P559" s="3" t="s">
        <v>148</v>
      </c>
      <c r="R559" s="3" t="s">
        <v>67</v>
      </c>
      <c r="S559" s="4">
        <v>7</v>
      </c>
      <c r="T559" s="4">
        <v>7</v>
      </c>
      <c r="U559" s="5" t="s">
        <v>3332</v>
      </c>
      <c r="V559" s="5" t="s">
        <v>3332</v>
      </c>
      <c r="W559" s="5" t="s">
        <v>7505</v>
      </c>
      <c r="X559" s="5" t="s">
        <v>7505</v>
      </c>
      <c r="Y559" s="4">
        <v>569</v>
      </c>
      <c r="Z559" s="4">
        <v>390</v>
      </c>
      <c r="AA559" s="4">
        <v>390</v>
      </c>
      <c r="AB559" s="4">
        <v>6</v>
      </c>
      <c r="AC559" s="4">
        <v>6</v>
      </c>
      <c r="AD559" s="4">
        <v>23</v>
      </c>
      <c r="AE559" s="4">
        <v>23</v>
      </c>
      <c r="AF559" s="4">
        <v>8</v>
      </c>
      <c r="AG559" s="4">
        <v>8</v>
      </c>
      <c r="AH559" s="4">
        <v>5</v>
      </c>
      <c r="AI559" s="4">
        <v>5</v>
      </c>
      <c r="AJ559" s="4">
        <v>9</v>
      </c>
      <c r="AK559" s="4">
        <v>9</v>
      </c>
      <c r="AL559" s="4">
        <v>5</v>
      </c>
      <c r="AM559" s="4">
        <v>5</v>
      </c>
      <c r="AN559" s="4">
        <v>1</v>
      </c>
      <c r="AO559" s="4">
        <v>1</v>
      </c>
      <c r="AP559" s="3" t="s">
        <v>58</v>
      </c>
      <c r="AQ559" s="3" t="s">
        <v>58</v>
      </c>
      <c r="AS559" s="6" t="str">
        <f>HYPERLINK("https://creighton-primo.hosted.exlibrisgroup.com/primo-explore/search?tab=default_tab&amp;search_scope=EVERYTHING&amp;vid=01CRU&amp;lang=en_US&amp;offset=0&amp;query=any,contains,991004081029702656","Catalog Record")</f>
        <v>Catalog Record</v>
      </c>
      <c r="AT559" s="6" t="str">
        <f>HYPERLINK("http://www.worldcat.org/oclc/50693199","WorldCat Record")</f>
        <v>WorldCat Record</v>
      </c>
      <c r="AU559" s="3" t="s">
        <v>7506</v>
      </c>
      <c r="AV559" s="3" t="s">
        <v>7507</v>
      </c>
      <c r="AW559" s="3" t="s">
        <v>7508</v>
      </c>
      <c r="AX559" s="3" t="s">
        <v>7508</v>
      </c>
      <c r="AY559" s="3" t="s">
        <v>7509</v>
      </c>
      <c r="AZ559" s="3" t="s">
        <v>74</v>
      </c>
      <c r="BB559" s="3" t="s">
        <v>7510</v>
      </c>
      <c r="BC559" s="3" t="s">
        <v>7511</v>
      </c>
      <c r="BD559" s="3" t="s">
        <v>7512</v>
      </c>
    </row>
    <row r="560" spans="1:56" ht="45.75" customHeight="1" x14ac:dyDescent="0.25">
      <c r="A560" s="7" t="s">
        <v>58</v>
      </c>
      <c r="B560" s="2" t="s">
        <v>7513</v>
      </c>
      <c r="C560" s="2" t="s">
        <v>7514</v>
      </c>
      <c r="D560" s="2" t="s">
        <v>7515</v>
      </c>
      <c r="F560" s="3" t="s">
        <v>58</v>
      </c>
      <c r="G560" s="3" t="s">
        <v>59</v>
      </c>
      <c r="H560" s="3" t="s">
        <v>58</v>
      </c>
      <c r="I560" s="3" t="s">
        <v>58</v>
      </c>
      <c r="J560" s="3" t="s">
        <v>60</v>
      </c>
      <c r="L560" s="2" t="s">
        <v>7516</v>
      </c>
      <c r="M560" s="3" t="s">
        <v>1254</v>
      </c>
      <c r="O560" s="3" t="s">
        <v>65</v>
      </c>
      <c r="P560" s="3" t="s">
        <v>66</v>
      </c>
      <c r="R560" s="3" t="s">
        <v>67</v>
      </c>
      <c r="S560" s="4">
        <v>9</v>
      </c>
      <c r="T560" s="4">
        <v>9</v>
      </c>
      <c r="U560" s="5" t="s">
        <v>3332</v>
      </c>
      <c r="V560" s="5" t="s">
        <v>3332</v>
      </c>
      <c r="W560" s="5" t="s">
        <v>4293</v>
      </c>
      <c r="X560" s="5" t="s">
        <v>4293</v>
      </c>
      <c r="Y560" s="4">
        <v>86</v>
      </c>
      <c r="Z560" s="4">
        <v>74</v>
      </c>
      <c r="AA560" s="4">
        <v>90</v>
      </c>
      <c r="AB560" s="4">
        <v>1</v>
      </c>
      <c r="AC560" s="4">
        <v>3</v>
      </c>
      <c r="AD560" s="4">
        <v>5</v>
      </c>
      <c r="AE560" s="4">
        <v>8</v>
      </c>
      <c r="AF560" s="4">
        <v>1</v>
      </c>
      <c r="AG560" s="4">
        <v>1</v>
      </c>
      <c r="AH560" s="4">
        <v>0</v>
      </c>
      <c r="AI560" s="4">
        <v>1</v>
      </c>
      <c r="AJ560" s="4">
        <v>4</v>
      </c>
      <c r="AK560" s="4">
        <v>5</v>
      </c>
      <c r="AL560" s="4">
        <v>0</v>
      </c>
      <c r="AM560" s="4">
        <v>2</v>
      </c>
      <c r="AN560" s="4">
        <v>1</v>
      </c>
      <c r="AO560" s="4">
        <v>1</v>
      </c>
      <c r="AP560" s="3" t="s">
        <v>58</v>
      </c>
      <c r="AQ560" s="3" t="s">
        <v>58</v>
      </c>
      <c r="AS560" s="6" t="str">
        <f>HYPERLINK("https://creighton-primo.hosted.exlibrisgroup.com/primo-explore/search?tab=default_tab&amp;search_scope=EVERYTHING&amp;vid=01CRU&amp;lang=en_US&amp;offset=0&amp;query=any,contains,991000547109702656","Catalog Record")</f>
        <v>Catalog Record</v>
      </c>
      <c r="AT560" s="6" t="str">
        <f>HYPERLINK("http://www.worldcat.org/oclc/11518974","WorldCat Record")</f>
        <v>WorldCat Record</v>
      </c>
      <c r="AU560" s="3" t="s">
        <v>7517</v>
      </c>
      <c r="AV560" s="3" t="s">
        <v>7518</v>
      </c>
      <c r="AW560" s="3" t="s">
        <v>7519</v>
      </c>
      <c r="AX560" s="3" t="s">
        <v>7519</v>
      </c>
      <c r="AY560" s="3" t="s">
        <v>7520</v>
      </c>
      <c r="AZ560" s="3" t="s">
        <v>74</v>
      </c>
      <c r="BB560" s="3" t="s">
        <v>7521</v>
      </c>
      <c r="BC560" s="3" t="s">
        <v>7522</v>
      </c>
      <c r="BD560" s="3" t="s">
        <v>7523</v>
      </c>
    </row>
    <row r="561" spans="1:56" ht="45.75" customHeight="1" x14ac:dyDescent="0.25">
      <c r="A561" s="7" t="s">
        <v>58</v>
      </c>
      <c r="B561" s="2" t="s">
        <v>7524</v>
      </c>
      <c r="C561" s="2" t="s">
        <v>7525</v>
      </c>
      <c r="D561" s="2" t="s">
        <v>7526</v>
      </c>
      <c r="E561" s="3" t="s">
        <v>7527</v>
      </c>
      <c r="F561" s="3" t="s">
        <v>58</v>
      </c>
      <c r="G561" s="3" t="s">
        <v>59</v>
      </c>
      <c r="H561" s="3" t="s">
        <v>58</v>
      </c>
      <c r="I561" s="3" t="s">
        <v>58</v>
      </c>
      <c r="J561" s="3" t="s">
        <v>60</v>
      </c>
      <c r="L561" s="2" t="s">
        <v>7528</v>
      </c>
      <c r="M561" s="3" t="s">
        <v>573</v>
      </c>
      <c r="O561" s="3" t="s">
        <v>65</v>
      </c>
      <c r="P561" s="3" t="s">
        <v>84</v>
      </c>
      <c r="Q561" s="2" t="s">
        <v>7529</v>
      </c>
      <c r="R561" s="3" t="s">
        <v>67</v>
      </c>
      <c r="S561" s="4">
        <v>2</v>
      </c>
      <c r="T561" s="4">
        <v>2</v>
      </c>
      <c r="U561" s="5" t="s">
        <v>7142</v>
      </c>
      <c r="V561" s="5" t="s">
        <v>7142</v>
      </c>
      <c r="W561" s="5" t="s">
        <v>2997</v>
      </c>
      <c r="X561" s="5" t="s">
        <v>2997</v>
      </c>
      <c r="Y561" s="4">
        <v>283</v>
      </c>
      <c r="Z561" s="4">
        <v>232</v>
      </c>
      <c r="AA561" s="4">
        <v>238</v>
      </c>
      <c r="AB561" s="4">
        <v>2</v>
      </c>
      <c r="AC561" s="4">
        <v>2</v>
      </c>
      <c r="AD561" s="4">
        <v>20</v>
      </c>
      <c r="AE561" s="4">
        <v>20</v>
      </c>
      <c r="AF561" s="4">
        <v>2</v>
      </c>
      <c r="AG561" s="4">
        <v>2</v>
      </c>
      <c r="AH561" s="4">
        <v>1</v>
      </c>
      <c r="AI561" s="4">
        <v>1</v>
      </c>
      <c r="AJ561" s="4">
        <v>3</v>
      </c>
      <c r="AK561" s="4">
        <v>3</v>
      </c>
      <c r="AL561" s="4">
        <v>1</v>
      </c>
      <c r="AM561" s="4">
        <v>1</v>
      </c>
      <c r="AN561" s="4">
        <v>14</v>
      </c>
      <c r="AO561" s="4">
        <v>14</v>
      </c>
      <c r="AP561" s="3" t="s">
        <v>58</v>
      </c>
      <c r="AQ561" s="3" t="s">
        <v>58</v>
      </c>
      <c r="AS561" s="6" t="str">
        <f>HYPERLINK("https://creighton-primo.hosted.exlibrisgroup.com/primo-explore/search?tab=default_tab&amp;search_scope=EVERYTHING&amp;vid=01CRU&amp;lang=en_US&amp;offset=0&amp;query=any,contains,991004039209702656","Catalog Record")</f>
        <v>Catalog Record</v>
      </c>
      <c r="AT561" s="6" t="str">
        <f>HYPERLINK("http://www.worldcat.org/oclc/52099861","WorldCat Record")</f>
        <v>WorldCat Record</v>
      </c>
      <c r="AU561" s="3" t="s">
        <v>7530</v>
      </c>
      <c r="AV561" s="3" t="s">
        <v>7531</v>
      </c>
      <c r="AW561" s="3" t="s">
        <v>7532</v>
      </c>
      <c r="AX561" s="3" t="s">
        <v>7532</v>
      </c>
      <c r="AY561" s="3" t="s">
        <v>7533</v>
      </c>
      <c r="AZ561" s="3" t="s">
        <v>74</v>
      </c>
      <c r="BB561" s="3" t="s">
        <v>7534</v>
      </c>
      <c r="BC561" s="3" t="s">
        <v>7535</v>
      </c>
      <c r="BD561" s="3" t="s">
        <v>7536</v>
      </c>
    </row>
    <row r="562" spans="1:56" ht="45.75" customHeight="1" x14ac:dyDescent="0.25">
      <c r="A562" s="7" t="s">
        <v>58</v>
      </c>
      <c r="B562" s="2" t="s">
        <v>7537</v>
      </c>
      <c r="C562" s="2" t="s">
        <v>7538</v>
      </c>
      <c r="D562" s="2" t="s">
        <v>7539</v>
      </c>
      <c r="E562" s="3" t="s">
        <v>7540</v>
      </c>
      <c r="F562" s="3" t="s">
        <v>58</v>
      </c>
      <c r="G562" s="3" t="s">
        <v>59</v>
      </c>
      <c r="H562" s="3" t="s">
        <v>58</v>
      </c>
      <c r="I562" s="3" t="s">
        <v>58</v>
      </c>
      <c r="J562" s="3" t="s">
        <v>60</v>
      </c>
      <c r="L562" s="2" t="s">
        <v>7528</v>
      </c>
      <c r="M562" s="3" t="s">
        <v>573</v>
      </c>
      <c r="O562" s="3" t="s">
        <v>65</v>
      </c>
      <c r="P562" s="3" t="s">
        <v>84</v>
      </c>
      <c r="Q562" s="2" t="s">
        <v>7541</v>
      </c>
      <c r="R562" s="3" t="s">
        <v>67</v>
      </c>
      <c r="S562" s="4">
        <v>2</v>
      </c>
      <c r="T562" s="4">
        <v>2</v>
      </c>
      <c r="U562" s="5" t="s">
        <v>7542</v>
      </c>
      <c r="V562" s="5" t="s">
        <v>7542</v>
      </c>
      <c r="W562" s="5" t="s">
        <v>7543</v>
      </c>
      <c r="X562" s="5" t="s">
        <v>7543</v>
      </c>
      <c r="Y562" s="4">
        <v>265</v>
      </c>
      <c r="Z562" s="4">
        <v>227</v>
      </c>
      <c r="AA562" s="4">
        <v>229</v>
      </c>
      <c r="AB562" s="4">
        <v>2</v>
      </c>
      <c r="AC562" s="4">
        <v>2</v>
      </c>
      <c r="AD562" s="4">
        <v>14</v>
      </c>
      <c r="AE562" s="4">
        <v>14</v>
      </c>
      <c r="AF562" s="4">
        <v>1</v>
      </c>
      <c r="AG562" s="4">
        <v>1</v>
      </c>
      <c r="AH562" s="4">
        <v>1</v>
      </c>
      <c r="AI562" s="4">
        <v>1</v>
      </c>
      <c r="AJ562" s="4">
        <v>1</v>
      </c>
      <c r="AK562" s="4">
        <v>1</v>
      </c>
      <c r="AL562" s="4">
        <v>1</v>
      </c>
      <c r="AM562" s="4">
        <v>1</v>
      </c>
      <c r="AN562" s="4">
        <v>11</v>
      </c>
      <c r="AO562" s="4">
        <v>11</v>
      </c>
      <c r="AP562" s="3" t="s">
        <v>58</v>
      </c>
      <c r="AQ562" s="3" t="s">
        <v>87</v>
      </c>
      <c r="AR562" s="6" t="str">
        <f>HYPERLINK("http://catalog.hathitrust.org/Record/003871409","HathiTrust Record")</f>
        <v>HathiTrust Record</v>
      </c>
      <c r="AS562" s="6" t="str">
        <f>HYPERLINK("https://creighton-primo.hosted.exlibrisgroup.com/primo-explore/search?tab=default_tab&amp;search_scope=EVERYTHING&amp;vid=01CRU&amp;lang=en_US&amp;offset=0&amp;query=any,contains,991004144989702656","Catalog Record")</f>
        <v>Catalog Record</v>
      </c>
      <c r="AT562" s="6" t="str">
        <f>HYPERLINK("http://www.worldcat.org/oclc/53079007","WorldCat Record")</f>
        <v>WorldCat Record</v>
      </c>
      <c r="AU562" s="3" t="s">
        <v>7544</v>
      </c>
      <c r="AV562" s="3" t="s">
        <v>7545</v>
      </c>
      <c r="AW562" s="3" t="s">
        <v>7546</v>
      </c>
      <c r="AX562" s="3" t="s">
        <v>7546</v>
      </c>
      <c r="AY562" s="3" t="s">
        <v>7547</v>
      </c>
      <c r="AZ562" s="3" t="s">
        <v>74</v>
      </c>
      <c r="BB562" s="3" t="s">
        <v>7548</v>
      </c>
      <c r="BC562" s="3" t="s">
        <v>7549</v>
      </c>
      <c r="BD562" s="3" t="s">
        <v>7550</v>
      </c>
    </row>
    <row r="563" spans="1:56" ht="45.75" customHeight="1" x14ac:dyDescent="0.25">
      <c r="A563" s="7" t="s">
        <v>58</v>
      </c>
      <c r="B563" s="2" t="s">
        <v>7551</v>
      </c>
      <c r="C563" s="2" t="s">
        <v>7552</v>
      </c>
      <c r="D563" s="2" t="s">
        <v>7553</v>
      </c>
      <c r="E563" s="3" t="s">
        <v>7554</v>
      </c>
      <c r="F563" s="3" t="s">
        <v>58</v>
      </c>
      <c r="G563" s="3" t="s">
        <v>59</v>
      </c>
      <c r="H563" s="3" t="s">
        <v>58</v>
      </c>
      <c r="I563" s="3" t="s">
        <v>58</v>
      </c>
      <c r="J563" s="3" t="s">
        <v>60</v>
      </c>
      <c r="L563" s="2" t="s">
        <v>7555</v>
      </c>
      <c r="M563" s="3" t="s">
        <v>147</v>
      </c>
      <c r="O563" s="3" t="s">
        <v>65</v>
      </c>
      <c r="P563" s="3" t="s">
        <v>84</v>
      </c>
      <c r="Q563" s="2" t="s">
        <v>7556</v>
      </c>
      <c r="R563" s="3" t="s">
        <v>67</v>
      </c>
      <c r="S563" s="4">
        <v>1</v>
      </c>
      <c r="T563" s="4">
        <v>1</v>
      </c>
      <c r="U563" s="5" t="s">
        <v>7557</v>
      </c>
      <c r="V563" s="5" t="s">
        <v>7557</v>
      </c>
      <c r="W563" s="5" t="s">
        <v>7557</v>
      </c>
      <c r="X563" s="5" t="s">
        <v>7557</v>
      </c>
      <c r="Y563" s="4">
        <v>264</v>
      </c>
      <c r="Z563" s="4">
        <v>206</v>
      </c>
      <c r="AA563" s="4">
        <v>208</v>
      </c>
      <c r="AB563" s="4">
        <v>2</v>
      </c>
      <c r="AC563" s="4">
        <v>2</v>
      </c>
      <c r="AD563" s="4">
        <v>19</v>
      </c>
      <c r="AE563" s="4">
        <v>19</v>
      </c>
      <c r="AF563" s="4">
        <v>1</v>
      </c>
      <c r="AG563" s="4">
        <v>1</v>
      </c>
      <c r="AH563" s="4">
        <v>1</v>
      </c>
      <c r="AI563" s="4">
        <v>1</v>
      </c>
      <c r="AJ563" s="4">
        <v>1</v>
      </c>
      <c r="AK563" s="4">
        <v>1</v>
      </c>
      <c r="AL563" s="4">
        <v>1</v>
      </c>
      <c r="AM563" s="4">
        <v>1</v>
      </c>
      <c r="AN563" s="4">
        <v>16</v>
      </c>
      <c r="AO563" s="4">
        <v>16</v>
      </c>
      <c r="AP563" s="3" t="s">
        <v>58</v>
      </c>
      <c r="AQ563" s="3" t="s">
        <v>87</v>
      </c>
      <c r="AR563" s="6" t="str">
        <f>HYPERLINK("http://catalog.hathitrust.org/Record/004767473","HathiTrust Record")</f>
        <v>HathiTrust Record</v>
      </c>
      <c r="AS563" s="6" t="str">
        <f>HYPERLINK("https://creighton-primo.hosted.exlibrisgroup.com/primo-explore/search?tab=default_tab&amp;search_scope=EVERYTHING&amp;vid=01CRU&amp;lang=en_US&amp;offset=0&amp;query=any,contains,991004266629702656","Catalog Record")</f>
        <v>Catalog Record</v>
      </c>
      <c r="AT563" s="6" t="str">
        <f>HYPERLINK("http://www.worldcat.org/oclc/54679090","WorldCat Record")</f>
        <v>WorldCat Record</v>
      </c>
      <c r="AU563" s="3" t="s">
        <v>7558</v>
      </c>
      <c r="AV563" s="3" t="s">
        <v>7559</v>
      </c>
      <c r="AW563" s="3" t="s">
        <v>7560</v>
      </c>
      <c r="AX563" s="3" t="s">
        <v>7560</v>
      </c>
      <c r="AY563" s="3" t="s">
        <v>7561</v>
      </c>
      <c r="AZ563" s="3" t="s">
        <v>74</v>
      </c>
      <c r="BB563" s="3" t="s">
        <v>7562</v>
      </c>
      <c r="BC563" s="3" t="s">
        <v>7563</v>
      </c>
      <c r="BD563" s="3" t="s">
        <v>7564</v>
      </c>
    </row>
    <row r="564" spans="1:56" ht="45.75" customHeight="1" x14ac:dyDescent="0.25">
      <c r="A564" s="7" t="s">
        <v>58</v>
      </c>
      <c r="B564" s="2" t="s">
        <v>7565</v>
      </c>
      <c r="C564" s="2" t="s">
        <v>7566</v>
      </c>
      <c r="D564" s="2" t="s">
        <v>7567</v>
      </c>
      <c r="E564" s="3" t="s">
        <v>7568</v>
      </c>
      <c r="F564" s="3" t="s">
        <v>58</v>
      </c>
      <c r="G564" s="3" t="s">
        <v>59</v>
      </c>
      <c r="H564" s="3" t="s">
        <v>58</v>
      </c>
      <c r="I564" s="3" t="s">
        <v>58</v>
      </c>
      <c r="J564" s="3" t="s">
        <v>60</v>
      </c>
      <c r="L564" s="2" t="s">
        <v>7555</v>
      </c>
      <c r="M564" s="3" t="s">
        <v>147</v>
      </c>
      <c r="O564" s="3" t="s">
        <v>65</v>
      </c>
      <c r="P564" s="3" t="s">
        <v>84</v>
      </c>
      <c r="Q564" s="2" t="s">
        <v>7569</v>
      </c>
      <c r="R564" s="3" t="s">
        <v>67</v>
      </c>
      <c r="S564" s="4">
        <v>1</v>
      </c>
      <c r="T564" s="4">
        <v>1</v>
      </c>
      <c r="U564" s="5" t="s">
        <v>7570</v>
      </c>
      <c r="V564" s="5" t="s">
        <v>7570</v>
      </c>
      <c r="W564" s="5" t="s">
        <v>7570</v>
      </c>
      <c r="X564" s="5" t="s">
        <v>7570</v>
      </c>
      <c r="Y564" s="4">
        <v>210</v>
      </c>
      <c r="Z564" s="4">
        <v>162</v>
      </c>
      <c r="AA564" s="4">
        <v>164</v>
      </c>
      <c r="AB564" s="4">
        <v>2</v>
      </c>
      <c r="AC564" s="4">
        <v>2</v>
      </c>
      <c r="AD564" s="4">
        <v>10</v>
      </c>
      <c r="AE564" s="4">
        <v>10</v>
      </c>
      <c r="AF564" s="4">
        <v>0</v>
      </c>
      <c r="AG564" s="4">
        <v>0</v>
      </c>
      <c r="AH564" s="4">
        <v>1</v>
      </c>
      <c r="AI564" s="4">
        <v>1</v>
      </c>
      <c r="AJ564" s="4">
        <v>1</v>
      </c>
      <c r="AK564" s="4">
        <v>1</v>
      </c>
      <c r="AL564" s="4">
        <v>1</v>
      </c>
      <c r="AM564" s="4">
        <v>1</v>
      </c>
      <c r="AN564" s="4">
        <v>8</v>
      </c>
      <c r="AO564" s="4">
        <v>8</v>
      </c>
      <c r="AP564" s="3" t="s">
        <v>58</v>
      </c>
      <c r="AQ564" s="3" t="s">
        <v>87</v>
      </c>
      <c r="AR564" s="6" t="str">
        <f>HYPERLINK("http://catalog.hathitrust.org/Record/005087203","HathiTrust Record")</f>
        <v>HathiTrust Record</v>
      </c>
      <c r="AS564" s="6" t="str">
        <f>HYPERLINK("https://creighton-primo.hosted.exlibrisgroup.com/primo-explore/search?tab=default_tab&amp;search_scope=EVERYTHING&amp;vid=01CRU&amp;lang=en_US&amp;offset=0&amp;query=any,contains,991004426159702656","Catalog Record")</f>
        <v>Catalog Record</v>
      </c>
      <c r="AT564" s="6" t="str">
        <f>HYPERLINK("http://www.worldcat.org/oclc/56952324","WorldCat Record")</f>
        <v>WorldCat Record</v>
      </c>
      <c r="AU564" s="3" t="s">
        <v>7571</v>
      </c>
      <c r="AV564" s="3" t="s">
        <v>7572</v>
      </c>
      <c r="AW564" s="3" t="s">
        <v>7573</v>
      </c>
      <c r="AX564" s="3" t="s">
        <v>7573</v>
      </c>
      <c r="AY564" s="3" t="s">
        <v>7574</v>
      </c>
      <c r="AZ564" s="3" t="s">
        <v>74</v>
      </c>
      <c r="BB564" s="3" t="s">
        <v>7575</v>
      </c>
      <c r="BC564" s="3" t="s">
        <v>7576</v>
      </c>
      <c r="BD564" s="3" t="s">
        <v>7577</v>
      </c>
    </row>
    <row r="565" spans="1:56" ht="45.75" customHeight="1" x14ac:dyDescent="0.25">
      <c r="A565" s="7" t="s">
        <v>58</v>
      </c>
      <c r="B565" s="2" t="s">
        <v>7578</v>
      </c>
      <c r="C565" s="2" t="s">
        <v>7579</v>
      </c>
      <c r="D565" s="2" t="s">
        <v>7580</v>
      </c>
      <c r="E565" s="3" t="s">
        <v>7581</v>
      </c>
      <c r="F565" s="3" t="s">
        <v>87</v>
      </c>
      <c r="G565" s="3" t="s">
        <v>59</v>
      </c>
      <c r="H565" s="3" t="s">
        <v>58</v>
      </c>
      <c r="I565" s="3" t="s">
        <v>58</v>
      </c>
      <c r="J565" s="3" t="s">
        <v>60</v>
      </c>
      <c r="L565" s="2" t="s">
        <v>7582</v>
      </c>
      <c r="M565" s="3" t="s">
        <v>63</v>
      </c>
      <c r="O565" s="3" t="s">
        <v>65</v>
      </c>
      <c r="P565" s="3" t="s">
        <v>84</v>
      </c>
      <c r="Q565" s="2" t="s">
        <v>7583</v>
      </c>
      <c r="R565" s="3" t="s">
        <v>67</v>
      </c>
      <c r="S565" s="4">
        <v>1</v>
      </c>
      <c r="T565" s="4">
        <v>4</v>
      </c>
      <c r="U565" s="5" t="s">
        <v>7584</v>
      </c>
      <c r="V565" s="5" t="s">
        <v>7584</v>
      </c>
      <c r="W565" s="5" t="s">
        <v>7584</v>
      </c>
      <c r="X565" s="5" t="s">
        <v>7584</v>
      </c>
      <c r="Y565" s="4">
        <v>292</v>
      </c>
      <c r="Z565" s="4">
        <v>243</v>
      </c>
      <c r="AA565" s="4">
        <v>248</v>
      </c>
      <c r="AB565" s="4">
        <v>3</v>
      </c>
      <c r="AC565" s="4">
        <v>3</v>
      </c>
      <c r="AD565" s="4">
        <v>18</v>
      </c>
      <c r="AE565" s="4">
        <v>18</v>
      </c>
      <c r="AF565" s="4">
        <v>1</v>
      </c>
      <c r="AG565" s="4">
        <v>1</v>
      </c>
      <c r="AH565" s="4">
        <v>1</v>
      </c>
      <c r="AI565" s="4">
        <v>1</v>
      </c>
      <c r="AJ565" s="4">
        <v>6</v>
      </c>
      <c r="AK565" s="4">
        <v>6</v>
      </c>
      <c r="AL565" s="4">
        <v>2</v>
      </c>
      <c r="AM565" s="4">
        <v>2</v>
      </c>
      <c r="AN565" s="4">
        <v>10</v>
      </c>
      <c r="AO565" s="4">
        <v>10</v>
      </c>
      <c r="AP565" s="3" t="s">
        <v>58</v>
      </c>
      <c r="AQ565" s="3" t="s">
        <v>87</v>
      </c>
      <c r="AR565" s="6" t="str">
        <f>HYPERLINK("http://catalog.hathitrust.org/Record/005019229","HathiTrust Record")</f>
        <v>HathiTrust Record</v>
      </c>
      <c r="AS565" s="6" t="str">
        <f>HYPERLINK("https://creighton-primo.hosted.exlibrisgroup.com/primo-explore/search?tab=default_tab&amp;search_scope=EVERYTHING&amp;vid=01CRU&amp;lang=en_US&amp;offset=0&amp;query=any,contains,991004478169702656","Catalog Record")</f>
        <v>Catalog Record</v>
      </c>
      <c r="AT565" s="6" t="str">
        <f>HYPERLINK("http://www.worldcat.org/oclc/57593107","WorldCat Record")</f>
        <v>WorldCat Record</v>
      </c>
      <c r="AU565" s="3" t="s">
        <v>7585</v>
      </c>
      <c r="AV565" s="3" t="s">
        <v>7586</v>
      </c>
      <c r="AW565" s="3" t="s">
        <v>7587</v>
      </c>
      <c r="AX565" s="3" t="s">
        <v>7587</v>
      </c>
      <c r="AY565" s="3" t="s">
        <v>7588</v>
      </c>
      <c r="AZ565" s="3" t="s">
        <v>74</v>
      </c>
      <c r="BB565" s="3" t="s">
        <v>7589</v>
      </c>
      <c r="BC565" s="3" t="s">
        <v>7590</v>
      </c>
      <c r="BD565" s="3" t="s">
        <v>7591</v>
      </c>
    </row>
    <row r="566" spans="1:56" ht="45.75" customHeight="1" x14ac:dyDescent="0.25">
      <c r="A566" s="7" t="s">
        <v>58</v>
      </c>
      <c r="B566" s="2" t="s">
        <v>7578</v>
      </c>
      <c r="C566" s="2" t="s">
        <v>7579</v>
      </c>
      <c r="D566" s="2" t="s">
        <v>7580</v>
      </c>
      <c r="E566" s="3" t="s">
        <v>7592</v>
      </c>
      <c r="F566" s="3" t="s">
        <v>87</v>
      </c>
      <c r="G566" s="3" t="s">
        <v>59</v>
      </c>
      <c r="H566" s="3" t="s">
        <v>58</v>
      </c>
      <c r="I566" s="3" t="s">
        <v>58</v>
      </c>
      <c r="J566" s="3" t="s">
        <v>60</v>
      </c>
      <c r="L566" s="2" t="s">
        <v>7582</v>
      </c>
      <c r="M566" s="3" t="s">
        <v>63</v>
      </c>
      <c r="O566" s="3" t="s">
        <v>65</v>
      </c>
      <c r="P566" s="3" t="s">
        <v>84</v>
      </c>
      <c r="Q566" s="2" t="s">
        <v>7583</v>
      </c>
      <c r="R566" s="3" t="s">
        <v>67</v>
      </c>
      <c r="S566" s="4">
        <v>1</v>
      </c>
      <c r="T566" s="4">
        <v>4</v>
      </c>
      <c r="U566" s="5" t="s">
        <v>7584</v>
      </c>
      <c r="V566" s="5" t="s">
        <v>7584</v>
      </c>
      <c r="W566" s="5" t="s">
        <v>7584</v>
      </c>
      <c r="X566" s="5" t="s">
        <v>7584</v>
      </c>
      <c r="Y566" s="4">
        <v>292</v>
      </c>
      <c r="Z566" s="4">
        <v>243</v>
      </c>
      <c r="AA566" s="4">
        <v>248</v>
      </c>
      <c r="AB566" s="4">
        <v>3</v>
      </c>
      <c r="AC566" s="4">
        <v>3</v>
      </c>
      <c r="AD566" s="4">
        <v>18</v>
      </c>
      <c r="AE566" s="4">
        <v>18</v>
      </c>
      <c r="AF566" s="4">
        <v>1</v>
      </c>
      <c r="AG566" s="4">
        <v>1</v>
      </c>
      <c r="AH566" s="4">
        <v>1</v>
      </c>
      <c r="AI566" s="4">
        <v>1</v>
      </c>
      <c r="AJ566" s="4">
        <v>6</v>
      </c>
      <c r="AK566" s="4">
        <v>6</v>
      </c>
      <c r="AL566" s="4">
        <v>2</v>
      </c>
      <c r="AM566" s="4">
        <v>2</v>
      </c>
      <c r="AN566" s="4">
        <v>10</v>
      </c>
      <c r="AO566" s="4">
        <v>10</v>
      </c>
      <c r="AP566" s="3" t="s">
        <v>58</v>
      </c>
      <c r="AQ566" s="3" t="s">
        <v>87</v>
      </c>
      <c r="AR566" s="6" t="str">
        <f>HYPERLINK("http://catalog.hathitrust.org/Record/005019229","HathiTrust Record")</f>
        <v>HathiTrust Record</v>
      </c>
      <c r="AS566" s="6" t="str">
        <f>HYPERLINK("https://creighton-primo.hosted.exlibrisgroup.com/primo-explore/search?tab=default_tab&amp;search_scope=EVERYTHING&amp;vid=01CRU&amp;lang=en_US&amp;offset=0&amp;query=any,contains,991004478169702656","Catalog Record")</f>
        <v>Catalog Record</v>
      </c>
      <c r="AT566" s="6" t="str">
        <f>HYPERLINK("http://www.worldcat.org/oclc/57593107","WorldCat Record")</f>
        <v>WorldCat Record</v>
      </c>
      <c r="AU566" s="3" t="s">
        <v>7585</v>
      </c>
      <c r="AV566" s="3" t="s">
        <v>7586</v>
      </c>
      <c r="AW566" s="3" t="s">
        <v>7587</v>
      </c>
      <c r="AX566" s="3" t="s">
        <v>7587</v>
      </c>
      <c r="AY566" s="3" t="s">
        <v>7588</v>
      </c>
      <c r="AZ566" s="3" t="s">
        <v>74</v>
      </c>
      <c r="BB566" s="3" t="s">
        <v>7589</v>
      </c>
      <c r="BC566" s="3" t="s">
        <v>7593</v>
      </c>
      <c r="BD566" s="3" t="s">
        <v>7594</v>
      </c>
    </row>
    <row r="567" spans="1:56" ht="45.75" customHeight="1" x14ac:dyDescent="0.25">
      <c r="A567" s="7" t="s">
        <v>58</v>
      </c>
      <c r="B567" s="2" t="s">
        <v>7578</v>
      </c>
      <c r="C567" s="2" t="s">
        <v>7579</v>
      </c>
      <c r="D567" s="2" t="s">
        <v>7580</v>
      </c>
      <c r="E567" s="3" t="s">
        <v>7595</v>
      </c>
      <c r="F567" s="3" t="s">
        <v>87</v>
      </c>
      <c r="G567" s="3" t="s">
        <v>59</v>
      </c>
      <c r="H567" s="3" t="s">
        <v>58</v>
      </c>
      <c r="I567" s="3" t="s">
        <v>58</v>
      </c>
      <c r="J567" s="3" t="s">
        <v>60</v>
      </c>
      <c r="L567" s="2" t="s">
        <v>7582</v>
      </c>
      <c r="M567" s="3" t="s">
        <v>63</v>
      </c>
      <c r="O567" s="3" t="s">
        <v>65</v>
      </c>
      <c r="P567" s="3" t="s">
        <v>84</v>
      </c>
      <c r="Q567" s="2" t="s">
        <v>7583</v>
      </c>
      <c r="R567" s="3" t="s">
        <v>67</v>
      </c>
      <c r="S567" s="4">
        <v>1</v>
      </c>
      <c r="T567" s="4">
        <v>4</v>
      </c>
      <c r="U567" s="5" t="s">
        <v>7584</v>
      </c>
      <c r="V567" s="5" t="s">
        <v>7584</v>
      </c>
      <c r="W567" s="5" t="s">
        <v>7584</v>
      </c>
      <c r="X567" s="5" t="s">
        <v>7584</v>
      </c>
      <c r="Y567" s="4">
        <v>292</v>
      </c>
      <c r="Z567" s="4">
        <v>243</v>
      </c>
      <c r="AA567" s="4">
        <v>248</v>
      </c>
      <c r="AB567" s="4">
        <v>3</v>
      </c>
      <c r="AC567" s="4">
        <v>3</v>
      </c>
      <c r="AD567" s="4">
        <v>18</v>
      </c>
      <c r="AE567" s="4">
        <v>18</v>
      </c>
      <c r="AF567" s="4">
        <v>1</v>
      </c>
      <c r="AG567" s="4">
        <v>1</v>
      </c>
      <c r="AH567" s="4">
        <v>1</v>
      </c>
      <c r="AI567" s="4">
        <v>1</v>
      </c>
      <c r="AJ567" s="4">
        <v>6</v>
      </c>
      <c r="AK567" s="4">
        <v>6</v>
      </c>
      <c r="AL567" s="4">
        <v>2</v>
      </c>
      <c r="AM567" s="4">
        <v>2</v>
      </c>
      <c r="AN567" s="4">
        <v>10</v>
      </c>
      <c r="AO567" s="4">
        <v>10</v>
      </c>
      <c r="AP567" s="3" t="s">
        <v>58</v>
      </c>
      <c r="AQ567" s="3" t="s">
        <v>87</v>
      </c>
      <c r="AR567" s="6" t="str">
        <f>HYPERLINK("http://catalog.hathitrust.org/Record/005019229","HathiTrust Record")</f>
        <v>HathiTrust Record</v>
      </c>
      <c r="AS567" s="6" t="str">
        <f>HYPERLINK("https://creighton-primo.hosted.exlibrisgroup.com/primo-explore/search?tab=default_tab&amp;search_scope=EVERYTHING&amp;vid=01CRU&amp;lang=en_US&amp;offset=0&amp;query=any,contains,991004478169702656","Catalog Record")</f>
        <v>Catalog Record</v>
      </c>
      <c r="AT567" s="6" t="str">
        <f>HYPERLINK("http://www.worldcat.org/oclc/57593107","WorldCat Record")</f>
        <v>WorldCat Record</v>
      </c>
      <c r="AU567" s="3" t="s">
        <v>7585</v>
      </c>
      <c r="AV567" s="3" t="s">
        <v>7586</v>
      </c>
      <c r="AW567" s="3" t="s">
        <v>7587</v>
      </c>
      <c r="AX567" s="3" t="s">
        <v>7587</v>
      </c>
      <c r="AY567" s="3" t="s">
        <v>7588</v>
      </c>
      <c r="AZ567" s="3" t="s">
        <v>74</v>
      </c>
      <c r="BB567" s="3" t="s">
        <v>7589</v>
      </c>
      <c r="BC567" s="3" t="s">
        <v>7596</v>
      </c>
      <c r="BD567" s="3" t="s">
        <v>7597</v>
      </c>
    </row>
    <row r="568" spans="1:56" ht="45.75" customHeight="1" x14ac:dyDescent="0.25">
      <c r="A568" s="7" t="s">
        <v>58</v>
      </c>
      <c r="B568" s="2" t="s">
        <v>7578</v>
      </c>
      <c r="C568" s="2" t="s">
        <v>7579</v>
      </c>
      <c r="D568" s="2" t="s">
        <v>7580</v>
      </c>
      <c r="E568" s="3" t="s">
        <v>7598</v>
      </c>
      <c r="F568" s="3" t="s">
        <v>87</v>
      </c>
      <c r="G568" s="3" t="s">
        <v>59</v>
      </c>
      <c r="H568" s="3" t="s">
        <v>58</v>
      </c>
      <c r="I568" s="3" t="s">
        <v>58</v>
      </c>
      <c r="J568" s="3" t="s">
        <v>60</v>
      </c>
      <c r="L568" s="2" t="s">
        <v>7582</v>
      </c>
      <c r="M568" s="3" t="s">
        <v>63</v>
      </c>
      <c r="O568" s="3" t="s">
        <v>65</v>
      </c>
      <c r="P568" s="3" t="s">
        <v>84</v>
      </c>
      <c r="Q568" s="2" t="s">
        <v>7583</v>
      </c>
      <c r="R568" s="3" t="s">
        <v>67</v>
      </c>
      <c r="S568" s="4">
        <v>1</v>
      </c>
      <c r="T568" s="4">
        <v>4</v>
      </c>
      <c r="U568" s="5" t="s">
        <v>7584</v>
      </c>
      <c r="V568" s="5" t="s">
        <v>7584</v>
      </c>
      <c r="W568" s="5" t="s">
        <v>7584</v>
      </c>
      <c r="X568" s="5" t="s">
        <v>7584</v>
      </c>
      <c r="Y568" s="4">
        <v>292</v>
      </c>
      <c r="Z568" s="4">
        <v>243</v>
      </c>
      <c r="AA568" s="4">
        <v>248</v>
      </c>
      <c r="AB568" s="4">
        <v>3</v>
      </c>
      <c r="AC568" s="4">
        <v>3</v>
      </c>
      <c r="AD568" s="4">
        <v>18</v>
      </c>
      <c r="AE568" s="4">
        <v>18</v>
      </c>
      <c r="AF568" s="4">
        <v>1</v>
      </c>
      <c r="AG568" s="4">
        <v>1</v>
      </c>
      <c r="AH568" s="4">
        <v>1</v>
      </c>
      <c r="AI568" s="4">
        <v>1</v>
      </c>
      <c r="AJ568" s="4">
        <v>6</v>
      </c>
      <c r="AK568" s="4">
        <v>6</v>
      </c>
      <c r="AL568" s="4">
        <v>2</v>
      </c>
      <c r="AM568" s="4">
        <v>2</v>
      </c>
      <c r="AN568" s="4">
        <v>10</v>
      </c>
      <c r="AO568" s="4">
        <v>10</v>
      </c>
      <c r="AP568" s="3" t="s">
        <v>58</v>
      </c>
      <c r="AQ568" s="3" t="s">
        <v>87</v>
      </c>
      <c r="AR568" s="6" t="str">
        <f>HYPERLINK("http://catalog.hathitrust.org/Record/005019229","HathiTrust Record")</f>
        <v>HathiTrust Record</v>
      </c>
      <c r="AS568" s="6" t="str">
        <f>HYPERLINK("https://creighton-primo.hosted.exlibrisgroup.com/primo-explore/search?tab=default_tab&amp;search_scope=EVERYTHING&amp;vid=01CRU&amp;lang=en_US&amp;offset=0&amp;query=any,contains,991004478169702656","Catalog Record")</f>
        <v>Catalog Record</v>
      </c>
      <c r="AT568" s="6" t="str">
        <f>HYPERLINK("http://www.worldcat.org/oclc/57593107","WorldCat Record")</f>
        <v>WorldCat Record</v>
      </c>
      <c r="AU568" s="3" t="s">
        <v>7585</v>
      </c>
      <c r="AV568" s="3" t="s">
        <v>7586</v>
      </c>
      <c r="AW568" s="3" t="s">
        <v>7587</v>
      </c>
      <c r="AX568" s="3" t="s">
        <v>7587</v>
      </c>
      <c r="AY568" s="3" t="s">
        <v>7588</v>
      </c>
      <c r="AZ568" s="3" t="s">
        <v>74</v>
      </c>
      <c r="BB568" s="3" t="s">
        <v>7589</v>
      </c>
      <c r="BC568" s="3" t="s">
        <v>7599</v>
      </c>
      <c r="BD568" s="3" t="s">
        <v>7600</v>
      </c>
    </row>
    <row r="569" spans="1:56" ht="45.75" customHeight="1" x14ac:dyDescent="0.25">
      <c r="A569" s="7" t="s">
        <v>58</v>
      </c>
      <c r="B569" s="2" t="s">
        <v>7601</v>
      </c>
      <c r="C569" s="2" t="s">
        <v>7602</v>
      </c>
      <c r="D569" s="2" t="s">
        <v>7603</v>
      </c>
      <c r="E569" s="3" t="s">
        <v>7604</v>
      </c>
      <c r="F569" s="3" t="s">
        <v>87</v>
      </c>
      <c r="G569" s="3" t="s">
        <v>59</v>
      </c>
      <c r="H569" s="3" t="s">
        <v>58</v>
      </c>
      <c r="I569" s="3" t="s">
        <v>58</v>
      </c>
      <c r="J569" s="3" t="s">
        <v>60</v>
      </c>
      <c r="K569" s="2" t="s">
        <v>7605</v>
      </c>
      <c r="L569" s="2" t="s">
        <v>7606</v>
      </c>
      <c r="M569" s="3" t="s">
        <v>162</v>
      </c>
      <c r="O569" s="3" t="s">
        <v>65</v>
      </c>
      <c r="P569" s="3" t="s">
        <v>84</v>
      </c>
      <c r="Q569" s="2" t="s">
        <v>7607</v>
      </c>
      <c r="R569" s="3" t="s">
        <v>67</v>
      </c>
      <c r="S569" s="4">
        <v>1</v>
      </c>
      <c r="T569" s="4">
        <v>2</v>
      </c>
      <c r="U569" s="5" t="s">
        <v>7608</v>
      </c>
      <c r="V569" s="5" t="s">
        <v>7608</v>
      </c>
      <c r="W569" s="5" t="s">
        <v>7609</v>
      </c>
      <c r="X569" s="5" t="s">
        <v>7609</v>
      </c>
      <c r="Y569" s="4">
        <v>243</v>
      </c>
      <c r="Z569" s="4">
        <v>216</v>
      </c>
      <c r="AA569" s="4">
        <v>218</v>
      </c>
      <c r="AB569" s="4">
        <v>2</v>
      </c>
      <c r="AC569" s="4">
        <v>2</v>
      </c>
      <c r="AD569" s="4">
        <v>21</v>
      </c>
      <c r="AE569" s="4">
        <v>21</v>
      </c>
      <c r="AF569" s="4">
        <v>1</v>
      </c>
      <c r="AG569" s="4">
        <v>1</v>
      </c>
      <c r="AH569" s="4">
        <v>1</v>
      </c>
      <c r="AI569" s="4">
        <v>1</v>
      </c>
      <c r="AJ569" s="4">
        <v>1</v>
      </c>
      <c r="AK569" s="4">
        <v>1</v>
      </c>
      <c r="AL569" s="4">
        <v>1</v>
      </c>
      <c r="AM569" s="4">
        <v>1</v>
      </c>
      <c r="AN569" s="4">
        <v>18</v>
      </c>
      <c r="AO569" s="4">
        <v>18</v>
      </c>
      <c r="AP569" s="3" t="s">
        <v>58</v>
      </c>
      <c r="AQ569" s="3" t="s">
        <v>87</v>
      </c>
      <c r="AR569" s="6" t="str">
        <f>HYPERLINK("http://catalog.hathitrust.org/Record/005671372","HathiTrust Record")</f>
        <v>HathiTrust Record</v>
      </c>
      <c r="AS569" s="6" t="str">
        <f>HYPERLINK("https://creighton-primo.hosted.exlibrisgroup.com/primo-explore/search?tab=default_tab&amp;search_scope=EVERYTHING&amp;vid=01CRU&amp;lang=en_US&amp;offset=0&amp;query=any,contains,991005205279702656","Catalog Record")</f>
        <v>Catalog Record</v>
      </c>
      <c r="AT569" s="6" t="str">
        <f>HYPERLINK("http://www.worldcat.org/oclc/192045714","WorldCat Record")</f>
        <v>WorldCat Record</v>
      </c>
      <c r="AU569" s="3" t="s">
        <v>7610</v>
      </c>
      <c r="AV569" s="3" t="s">
        <v>7611</v>
      </c>
      <c r="AW569" s="3" t="s">
        <v>7612</v>
      </c>
      <c r="AX569" s="3" t="s">
        <v>7612</v>
      </c>
      <c r="AY569" s="3" t="s">
        <v>7613</v>
      </c>
      <c r="AZ569" s="3" t="s">
        <v>74</v>
      </c>
      <c r="BB569" s="3" t="s">
        <v>7614</v>
      </c>
      <c r="BC569" s="3" t="s">
        <v>7615</v>
      </c>
      <c r="BD569" s="3" t="s">
        <v>7616</v>
      </c>
    </row>
    <row r="570" spans="1:56" ht="45.75" customHeight="1" x14ac:dyDescent="0.25">
      <c r="A570" s="7" t="s">
        <v>58</v>
      </c>
      <c r="B570" s="2" t="s">
        <v>7601</v>
      </c>
      <c r="C570" s="2" t="s">
        <v>7602</v>
      </c>
      <c r="D570" s="2" t="s">
        <v>7603</v>
      </c>
      <c r="E570" s="3" t="s">
        <v>7617</v>
      </c>
      <c r="F570" s="3" t="s">
        <v>87</v>
      </c>
      <c r="G570" s="3" t="s">
        <v>59</v>
      </c>
      <c r="H570" s="3" t="s">
        <v>58</v>
      </c>
      <c r="I570" s="3" t="s">
        <v>58</v>
      </c>
      <c r="J570" s="3" t="s">
        <v>60</v>
      </c>
      <c r="K570" s="2" t="s">
        <v>7605</v>
      </c>
      <c r="L570" s="2" t="s">
        <v>7606</v>
      </c>
      <c r="M570" s="3" t="s">
        <v>162</v>
      </c>
      <c r="O570" s="3" t="s">
        <v>65</v>
      </c>
      <c r="P570" s="3" t="s">
        <v>84</v>
      </c>
      <c r="Q570" s="2" t="s">
        <v>7607</v>
      </c>
      <c r="R570" s="3" t="s">
        <v>67</v>
      </c>
      <c r="S570" s="4">
        <v>1</v>
      </c>
      <c r="T570" s="4">
        <v>2</v>
      </c>
      <c r="U570" s="5" t="s">
        <v>7608</v>
      </c>
      <c r="V570" s="5" t="s">
        <v>7608</v>
      </c>
      <c r="W570" s="5" t="s">
        <v>7609</v>
      </c>
      <c r="X570" s="5" t="s">
        <v>7609</v>
      </c>
      <c r="Y570" s="4">
        <v>243</v>
      </c>
      <c r="Z570" s="4">
        <v>216</v>
      </c>
      <c r="AA570" s="4">
        <v>218</v>
      </c>
      <c r="AB570" s="4">
        <v>2</v>
      </c>
      <c r="AC570" s="4">
        <v>2</v>
      </c>
      <c r="AD570" s="4">
        <v>21</v>
      </c>
      <c r="AE570" s="4">
        <v>21</v>
      </c>
      <c r="AF570" s="4">
        <v>1</v>
      </c>
      <c r="AG570" s="4">
        <v>1</v>
      </c>
      <c r="AH570" s="4">
        <v>1</v>
      </c>
      <c r="AI570" s="4">
        <v>1</v>
      </c>
      <c r="AJ570" s="4">
        <v>1</v>
      </c>
      <c r="AK570" s="4">
        <v>1</v>
      </c>
      <c r="AL570" s="4">
        <v>1</v>
      </c>
      <c r="AM570" s="4">
        <v>1</v>
      </c>
      <c r="AN570" s="4">
        <v>18</v>
      </c>
      <c r="AO570" s="4">
        <v>18</v>
      </c>
      <c r="AP570" s="3" t="s">
        <v>58</v>
      </c>
      <c r="AQ570" s="3" t="s">
        <v>87</v>
      </c>
      <c r="AR570" s="6" t="str">
        <f>HYPERLINK("http://catalog.hathitrust.org/Record/005671372","HathiTrust Record")</f>
        <v>HathiTrust Record</v>
      </c>
      <c r="AS570" s="6" t="str">
        <f>HYPERLINK("https://creighton-primo.hosted.exlibrisgroup.com/primo-explore/search?tab=default_tab&amp;search_scope=EVERYTHING&amp;vid=01CRU&amp;lang=en_US&amp;offset=0&amp;query=any,contains,991005205279702656","Catalog Record")</f>
        <v>Catalog Record</v>
      </c>
      <c r="AT570" s="6" t="str">
        <f>HYPERLINK("http://www.worldcat.org/oclc/192045714","WorldCat Record")</f>
        <v>WorldCat Record</v>
      </c>
      <c r="AU570" s="3" t="s">
        <v>7610</v>
      </c>
      <c r="AV570" s="3" t="s">
        <v>7611</v>
      </c>
      <c r="AW570" s="3" t="s">
        <v>7612</v>
      </c>
      <c r="AX570" s="3" t="s">
        <v>7612</v>
      </c>
      <c r="AY570" s="3" t="s">
        <v>7613</v>
      </c>
      <c r="AZ570" s="3" t="s">
        <v>74</v>
      </c>
      <c r="BB570" s="3" t="s">
        <v>7614</v>
      </c>
      <c r="BC570" s="3" t="s">
        <v>7618</v>
      </c>
      <c r="BD570" s="3" t="s">
        <v>7619</v>
      </c>
    </row>
    <row r="571" spans="1:56" ht="45.75" customHeight="1" x14ac:dyDescent="0.25">
      <c r="A571" s="7" t="s">
        <v>58</v>
      </c>
      <c r="B571" s="2" t="s">
        <v>7620</v>
      </c>
      <c r="C571" s="2" t="s">
        <v>7621</v>
      </c>
      <c r="D571" s="2" t="s">
        <v>7622</v>
      </c>
      <c r="E571" s="3" t="s">
        <v>7623</v>
      </c>
      <c r="F571" s="3" t="s">
        <v>87</v>
      </c>
      <c r="G571" s="3" t="s">
        <v>59</v>
      </c>
      <c r="H571" s="3" t="s">
        <v>58</v>
      </c>
      <c r="I571" s="3" t="s">
        <v>58</v>
      </c>
      <c r="J571" s="3" t="s">
        <v>60</v>
      </c>
      <c r="K571" s="2" t="s">
        <v>7624</v>
      </c>
      <c r="L571" s="2" t="s">
        <v>7625</v>
      </c>
      <c r="M571" s="3" t="s">
        <v>419</v>
      </c>
      <c r="O571" s="3" t="s">
        <v>65</v>
      </c>
      <c r="P571" s="3" t="s">
        <v>84</v>
      </c>
      <c r="Q571" s="2" t="s">
        <v>7626</v>
      </c>
      <c r="R571" s="3" t="s">
        <v>67</v>
      </c>
      <c r="S571" s="4">
        <v>1</v>
      </c>
      <c r="T571" s="4">
        <v>4</v>
      </c>
      <c r="U571" s="5" t="s">
        <v>7627</v>
      </c>
      <c r="V571" s="5" t="s">
        <v>7627</v>
      </c>
      <c r="W571" s="5" t="s">
        <v>7627</v>
      </c>
      <c r="X571" s="5" t="s">
        <v>7627</v>
      </c>
      <c r="Y571" s="4">
        <v>217</v>
      </c>
      <c r="Z571" s="4">
        <v>186</v>
      </c>
      <c r="AA571" s="4">
        <v>188</v>
      </c>
      <c r="AB571" s="4">
        <v>2</v>
      </c>
      <c r="AC571" s="4">
        <v>2</v>
      </c>
      <c r="AD571" s="4">
        <v>11</v>
      </c>
      <c r="AE571" s="4">
        <v>11</v>
      </c>
      <c r="AF571" s="4">
        <v>0</v>
      </c>
      <c r="AG571" s="4">
        <v>0</v>
      </c>
      <c r="AH571" s="4">
        <v>1</v>
      </c>
      <c r="AI571" s="4">
        <v>1</v>
      </c>
      <c r="AJ571" s="4">
        <v>1</v>
      </c>
      <c r="AK571" s="4">
        <v>1</v>
      </c>
      <c r="AL571" s="4">
        <v>1</v>
      </c>
      <c r="AM571" s="4">
        <v>1</v>
      </c>
      <c r="AN571" s="4">
        <v>9</v>
      </c>
      <c r="AO571" s="4">
        <v>9</v>
      </c>
      <c r="AP571" s="3" t="s">
        <v>58</v>
      </c>
      <c r="AQ571" s="3" t="s">
        <v>87</v>
      </c>
      <c r="AR571" s="6" t="str">
        <f>HYPERLINK("http://catalog.hathitrust.org/Record/003555804","HathiTrust Record")</f>
        <v>HathiTrust Record</v>
      </c>
      <c r="AS571" s="6" t="str">
        <f>HYPERLINK("https://creighton-primo.hosted.exlibrisgroup.com/primo-explore/search?tab=default_tab&amp;search_scope=EVERYTHING&amp;vid=01CRU&amp;lang=en_US&amp;offset=0&amp;query=any,contains,991003358039702656","Catalog Record")</f>
        <v>Catalog Record</v>
      </c>
      <c r="AT571" s="6" t="str">
        <f>HYPERLINK("http://www.worldcat.org/oclc/45430181","WorldCat Record")</f>
        <v>WorldCat Record</v>
      </c>
      <c r="AU571" s="3" t="s">
        <v>7628</v>
      </c>
      <c r="AV571" s="3" t="s">
        <v>7629</v>
      </c>
      <c r="AW571" s="3" t="s">
        <v>7630</v>
      </c>
      <c r="AX571" s="3" t="s">
        <v>7630</v>
      </c>
      <c r="AY571" s="3" t="s">
        <v>7631</v>
      </c>
      <c r="AZ571" s="3" t="s">
        <v>74</v>
      </c>
      <c r="BB571" s="3" t="s">
        <v>7632</v>
      </c>
      <c r="BC571" s="3" t="s">
        <v>7633</v>
      </c>
      <c r="BD571" s="3" t="s">
        <v>7634</v>
      </c>
    </row>
    <row r="572" spans="1:56" ht="45.75" customHeight="1" x14ac:dyDescent="0.25">
      <c r="A572" s="7" t="s">
        <v>58</v>
      </c>
      <c r="B572" s="2" t="s">
        <v>7620</v>
      </c>
      <c r="C572" s="2" t="s">
        <v>7621</v>
      </c>
      <c r="D572" s="2" t="s">
        <v>7622</v>
      </c>
      <c r="E572" s="3" t="s">
        <v>7635</v>
      </c>
      <c r="F572" s="3" t="s">
        <v>87</v>
      </c>
      <c r="G572" s="3" t="s">
        <v>59</v>
      </c>
      <c r="H572" s="3" t="s">
        <v>58</v>
      </c>
      <c r="I572" s="3" t="s">
        <v>58</v>
      </c>
      <c r="J572" s="3" t="s">
        <v>60</v>
      </c>
      <c r="K572" s="2" t="s">
        <v>7624</v>
      </c>
      <c r="L572" s="2" t="s">
        <v>7625</v>
      </c>
      <c r="M572" s="3" t="s">
        <v>419</v>
      </c>
      <c r="O572" s="3" t="s">
        <v>65</v>
      </c>
      <c r="P572" s="3" t="s">
        <v>84</v>
      </c>
      <c r="Q572" s="2" t="s">
        <v>7626</v>
      </c>
      <c r="R572" s="3" t="s">
        <v>67</v>
      </c>
      <c r="S572" s="4">
        <v>1</v>
      </c>
      <c r="T572" s="4">
        <v>4</v>
      </c>
      <c r="U572" s="5" t="s">
        <v>7627</v>
      </c>
      <c r="V572" s="5" t="s">
        <v>7627</v>
      </c>
      <c r="W572" s="5" t="s">
        <v>7627</v>
      </c>
      <c r="X572" s="5" t="s">
        <v>7627</v>
      </c>
      <c r="Y572" s="4">
        <v>217</v>
      </c>
      <c r="Z572" s="4">
        <v>186</v>
      </c>
      <c r="AA572" s="4">
        <v>188</v>
      </c>
      <c r="AB572" s="4">
        <v>2</v>
      </c>
      <c r="AC572" s="4">
        <v>2</v>
      </c>
      <c r="AD572" s="4">
        <v>11</v>
      </c>
      <c r="AE572" s="4">
        <v>11</v>
      </c>
      <c r="AF572" s="4">
        <v>0</v>
      </c>
      <c r="AG572" s="4">
        <v>0</v>
      </c>
      <c r="AH572" s="4">
        <v>1</v>
      </c>
      <c r="AI572" s="4">
        <v>1</v>
      </c>
      <c r="AJ572" s="4">
        <v>1</v>
      </c>
      <c r="AK572" s="4">
        <v>1</v>
      </c>
      <c r="AL572" s="4">
        <v>1</v>
      </c>
      <c r="AM572" s="4">
        <v>1</v>
      </c>
      <c r="AN572" s="4">
        <v>9</v>
      </c>
      <c r="AO572" s="4">
        <v>9</v>
      </c>
      <c r="AP572" s="3" t="s">
        <v>58</v>
      </c>
      <c r="AQ572" s="3" t="s">
        <v>87</v>
      </c>
      <c r="AR572" s="6" t="str">
        <f>HYPERLINK("http://catalog.hathitrust.org/Record/003555804","HathiTrust Record")</f>
        <v>HathiTrust Record</v>
      </c>
      <c r="AS572" s="6" t="str">
        <f>HYPERLINK("https://creighton-primo.hosted.exlibrisgroup.com/primo-explore/search?tab=default_tab&amp;search_scope=EVERYTHING&amp;vid=01CRU&amp;lang=en_US&amp;offset=0&amp;query=any,contains,991003358039702656","Catalog Record")</f>
        <v>Catalog Record</v>
      </c>
      <c r="AT572" s="6" t="str">
        <f>HYPERLINK("http://www.worldcat.org/oclc/45430181","WorldCat Record")</f>
        <v>WorldCat Record</v>
      </c>
      <c r="AU572" s="3" t="s">
        <v>7628</v>
      </c>
      <c r="AV572" s="3" t="s">
        <v>7629</v>
      </c>
      <c r="AW572" s="3" t="s">
        <v>7630</v>
      </c>
      <c r="AX572" s="3" t="s">
        <v>7630</v>
      </c>
      <c r="AY572" s="3" t="s">
        <v>7631</v>
      </c>
      <c r="AZ572" s="3" t="s">
        <v>74</v>
      </c>
      <c r="BB572" s="3" t="s">
        <v>7632</v>
      </c>
      <c r="BC572" s="3" t="s">
        <v>7636</v>
      </c>
      <c r="BD572" s="3" t="s">
        <v>7637</v>
      </c>
    </row>
    <row r="573" spans="1:56" ht="45.75" customHeight="1" x14ac:dyDescent="0.25">
      <c r="A573" s="7" t="s">
        <v>58</v>
      </c>
      <c r="B573" s="2" t="s">
        <v>7620</v>
      </c>
      <c r="C573" s="2" t="s">
        <v>7621</v>
      </c>
      <c r="D573" s="2" t="s">
        <v>7622</v>
      </c>
      <c r="E573" s="3" t="s">
        <v>7638</v>
      </c>
      <c r="F573" s="3" t="s">
        <v>87</v>
      </c>
      <c r="G573" s="3" t="s">
        <v>59</v>
      </c>
      <c r="H573" s="3" t="s">
        <v>58</v>
      </c>
      <c r="I573" s="3" t="s">
        <v>58</v>
      </c>
      <c r="J573" s="3" t="s">
        <v>60</v>
      </c>
      <c r="K573" s="2" t="s">
        <v>7624</v>
      </c>
      <c r="L573" s="2" t="s">
        <v>7625</v>
      </c>
      <c r="M573" s="3" t="s">
        <v>419</v>
      </c>
      <c r="O573" s="3" t="s">
        <v>65</v>
      </c>
      <c r="P573" s="3" t="s">
        <v>84</v>
      </c>
      <c r="Q573" s="2" t="s">
        <v>7626</v>
      </c>
      <c r="R573" s="3" t="s">
        <v>67</v>
      </c>
      <c r="S573" s="4">
        <v>1</v>
      </c>
      <c r="T573" s="4">
        <v>4</v>
      </c>
      <c r="U573" s="5" t="s">
        <v>7627</v>
      </c>
      <c r="V573" s="5" t="s">
        <v>7627</v>
      </c>
      <c r="W573" s="5" t="s">
        <v>7627</v>
      </c>
      <c r="X573" s="5" t="s">
        <v>7627</v>
      </c>
      <c r="Y573" s="4">
        <v>217</v>
      </c>
      <c r="Z573" s="4">
        <v>186</v>
      </c>
      <c r="AA573" s="4">
        <v>188</v>
      </c>
      <c r="AB573" s="4">
        <v>2</v>
      </c>
      <c r="AC573" s="4">
        <v>2</v>
      </c>
      <c r="AD573" s="4">
        <v>11</v>
      </c>
      <c r="AE573" s="4">
        <v>11</v>
      </c>
      <c r="AF573" s="4">
        <v>0</v>
      </c>
      <c r="AG573" s="4">
        <v>0</v>
      </c>
      <c r="AH573" s="4">
        <v>1</v>
      </c>
      <c r="AI573" s="4">
        <v>1</v>
      </c>
      <c r="AJ573" s="4">
        <v>1</v>
      </c>
      <c r="AK573" s="4">
        <v>1</v>
      </c>
      <c r="AL573" s="4">
        <v>1</v>
      </c>
      <c r="AM573" s="4">
        <v>1</v>
      </c>
      <c r="AN573" s="4">
        <v>9</v>
      </c>
      <c r="AO573" s="4">
        <v>9</v>
      </c>
      <c r="AP573" s="3" t="s">
        <v>58</v>
      </c>
      <c r="AQ573" s="3" t="s">
        <v>87</v>
      </c>
      <c r="AR573" s="6" t="str">
        <f>HYPERLINK("http://catalog.hathitrust.org/Record/003555804","HathiTrust Record")</f>
        <v>HathiTrust Record</v>
      </c>
      <c r="AS573" s="6" t="str">
        <f>HYPERLINK("https://creighton-primo.hosted.exlibrisgroup.com/primo-explore/search?tab=default_tab&amp;search_scope=EVERYTHING&amp;vid=01CRU&amp;lang=en_US&amp;offset=0&amp;query=any,contains,991003358039702656","Catalog Record")</f>
        <v>Catalog Record</v>
      </c>
      <c r="AT573" s="6" t="str">
        <f>HYPERLINK("http://www.worldcat.org/oclc/45430181","WorldCat Record")</f>
        <v>WorldCat Record</v>
      </c>
      <c r="AU573" s="3" t="s">
        <v>7628</v>
      </c>
      <c r="AV573" s="3" t="s">
        <v>7629</v>
      </c>
      <c r="AW573" s="3" t="s">
        <v>7630</v>
      </c>
      <c r="AX573" s="3" t="s">
        <v>7630</v>
      </c>
      <c r="AY573" s="3" t="s">
        <v>7631</v>
      </c>
      <c r="AZ573" s="3" t="s">
        <v>74</v>
      </c>
      <c r="BB573" s="3" t="s">
        <v>7632</v>
      </c>
      <c r="BC573" s="3" t="s">
        <v>7639</v>
      </c>
      <c r="BD573" s="3" t="s">
        <v>7640</v>
      </c>
    </row>
    <row r="574" spans="1:56" ht="45.75" customHeight="1" x14ac:dyDescent="0.25">
      <c r="A574" s="7" t="s">
        <v>58</v>
      </c>
      <c r="B574" s="2" t="s">
        <v>7620</v>
      </c>
      <c r="C574" s="2" t="s">
        <v>7621</v>
      </c>
      <c r="D574" s="2" t="s">
        <v>7622</v>
      </c>
      <c r="E574" s="3" t="s">
        <v>7641</v>
      </c>
      <c r="F574" s="3" t="s">
        <v>87</v>
      </c>
      <c r="G574" s="3" t="s">
        <v>59</v>
      </c>
      <c r="H574" s="3" t="s">
        <v>58</v>
      </c>
      <c r="I574" s="3" t="s">
        <v>58</v>
      </c>
      <c r="J574" s="3" t="s">
        <v>60</v>
      </c>
      <c r="K574" s="2" t="s">
        <v>7624</v>
      </c>
      <c r="L574" s="2" t="s">
        <v>7625</v>
      </c>
      <c r="M574" s="3" t="s">
        <v>419</v>
      </c>
      <c r="O574" s="3" t="s">
        <v>65</v>
      </c>
      <c r="P574" s="3" t="s">
        <v>84</v>
      </c>
      <c r="Q574" s="2" t="s">
        <v>7626</v>
      </c>
      <c r="R574" s="3" t="s">
        <v>67</v>
      </c>
      <c r="S574" s="4">
        <v>1</v>
      </c>
      <c r="T574" s="4">
        <v>4</v>
      </c>
      <c r="U574" s="5" t="s">
        <v>7627</v>
      </c>
      <c r="V574" s="5" t="s">
        <v>7627</v>
      </c>
      <c r="W574" s="5" t="s">
        <v>7627</v>
      </c>
      <c r="X574" s="5" t="s">
        <v>7627</v>
      </c>
      <c r="Y574" s="4">
        <v>217</v>
      </c>
      <c r="Z574" s="4">
        <v>186</v>
      </c>
      <c r="AA574" s="4">
        <v>188</v>
      </c>
      <c r="AB574" s="4">
        <v>2</v>
      </c>
      <c r="AC574" s="4">
        <v>2</v>
      </c>
      <c r="AD574" s="4">
        <v>11</v>
      </c>
      <c r="AE574" s="4">
        <v>11</v>
      </c>
      <c r="AF574" s="4">
        <v>0</v>
      </c>
      <c r="AG574" s="4">
        <v>0</v>
      </c>
      <c r="AH574" s="4">
        <v>1</v>
      </c>
      <c r="AI574" s="4">
        <v>1</v>
      </c>
      <c r="AJ574" s="4">
        <v>1</v>
      </c>
      <c r="AK574" s="4">
        <v>1</v>
      </c>
      <c r="AL574" s="4">
        <v>1</v>
      </c>
      <c r="AM574" s="4">
        <v>1</v>
      </c>
      <c r="AN574" s="4">
        <v>9</v>
      </c>
      <c r="AO574" s="4">
        <v>9</v>
      </c>
      <c r="AP574" s="3" t="s">
        <v>58</v>
      </c>
      <c r="AQ574" s="3" t="s">
        <v>87</v>
      </c>
      <c r="AR574" s="6" t="str">
        <f>HYPERLINK("http://catalog.hathitrust.org/Record/003555804","HathiTrust Record")</f>
        <v>HathiTrust Record</v>
      </c>
      <c r="AS574" s="6" t="str">
        <f>HYPERLINK("https://creighton-primo.hosted.exlibrisgroup.com/primo-explore/search?tab=default_tab&amp;search_scope=EVERYTHING&amp;vid=01CRU&amp;lang=en_US&amp;offset=0&amp;query=any,contains,991003358039702656","Catalog Record")</f>
        <v>Catalog Record</v>
      </c>
      <c r="AT574" s="6" t="str">
        <f>HYPERLINK("http://www.worldcat.org/oclc/45430181","WorldCat Record")</f>
        <v>WorldCat Record</v>
      </c>
      <c r="AU574" s="3" t="s">
        <v>7628</v>
      </c>
      <c r="AV574" s="3" t="s">
        <v>7629</v>
      </c>
      <c r="AW574" s="3" t="s">
        <v>7630</v>
      </c>
      <c r="AX574" s="3" t="s">
        <v>7630</v>
      </c>
      <c r="AY574" s="3" t="s">
        <v>7631</v>
      </c>
      <c r="AZ574" s="3" t="s">
        <v>74</v>
      </c>
      <c r="BB574" s="3" t="s">
        <v>7632</v>
      </c>
      <c r="BC574" s="3" t="s">
        <v>7642</v>
      </c>
      <c r="BD574" s="3" t="s">
        <v>7643</v>
      </c>
    </row>
    <row r="575" spans="1:56" ht="45.75" customHeight="1" x14ac:dyDescent="0.25">
      <c r="A575" s="7" t="s">
        <v>58</v>
      </c>
      <c r="B575" s="2" t="s">
        <v>7644</v>
      </c>
      <c r="C575" s="2" t="s">
        <v>7645</v>
      </c>
      <c r="D575" s="2" t="s">
        <v>7646</v>
      </c>
      <c r="E575" s="3" t="s">
        <v>7647</v>
      </c>
      <c r="F575" s="3" t="s">
        <v>58</v>
      </c>
      <c r="G575" s="3" t="s">
        <v>59</v>
      </c>
      <c r="H575" s="3" t="s">
        <v>58</v>
      </c>
      <c r="I575" s="3" t="s">
        <v>58</v>
      </c>
      <c r="J575" s="3" t="s">
        <v>60</v>
      </c>
      <c r="L575" s="2" t="s">
        <v>7648</v>
      </c>
      <c r="M575" s="3" t="s">
        <v>867</v>
      </c>
      <c r="O575" s="3" t="s">
        <v>65</v>
      </c>
      <c r="P575" s="3" t="s">
        <v>84</v>
      </c>
      <c r="Q575" s="2" t="s">
        <v>7649</v>
      </c>
      <c r="R575" s="3" t="s">
        <v>67</v>
      </c>
      <c r="S575" s="4">
        <v>7</v>
      </c>
      <c r="T575" s="4">
        <v>7</v>
      </c>
      <c r="U575" s="5" t="s">
        <v>7650</v>
      </c>
      <c r="V575" s="5" t="s">
        <v>7650</v>
      </c>
      <c r="W575" s="5" t="s">
        <v>7651</v>
      </c>
      <c r="X575" s="5" t="s">
        <v>7651</v>
      </c>
      <c r="Y575" s="4">
        <v>296</v>
      </c>
      <c r="Z575" s="4">
        <v>253</v>
      </c>
      <c r="AA575" s="4">
        <v>272</v>
      </c>
      <c r="AB575" s="4">
        <v>2</v>
      </c>
      <c r="AC575" s="4">
        <v>2</v>
      </c>
      <c r="AD575" s="4">
        <v>19</v>
      </c>
      <c r="AE575" s="4">
        <v>21</v>
      </c>
      <c r="AF575" s="4">
        <v>3</v>
      </c>
      <c r="AG575" s="4">
        <v>3</v>
      </c>
      <c r="AH575" s="4">
        <v>1</v>
      </c>
      <c r="AI575" s="4">
        <v>2</v>
      </c>
      <c r="AJ575" s="4">
        <v>3</v>
      </c>
      <c r="AK575" s="4">
        <v>4</v>
      </c>
      <c r="AL575" s="4">
        <v>1</v>
      </c>
      <c r="AM575" s="4">
        <v>1</v>
      </c>
      <c r="AN575" s="4">
        <v>13</v>
      </c>
      <c r="AO575" s="4">
        <v>14</v>
      </c>
      <c r="AP575" s="3" t="s">
        <v>58</v>
      </c>
      <c r="AQ575" s="3" t="s">
        <v>58</v>
      </c>
      <c r="AS575" s="6" t="str">
        <f>HYPERLINK("https://creighton-primo.hosted.exlibrisgroup.com/primo-explore/search?tab=default_tab&amp;search_scope=EVERYTHING&amp;vid=01CRU&amp;lang=en_US&amp;offset=0&amp;query=any,contains,991002013749702656","Catalog Record")</f>
        <v>Catalog Record</v>
      </c>
      <c r="AT575" s="6" t="str">
        <f>HYPERLINK("http://www.worldcat.org/oclc/25629666","WorldCat Record")</f>
        <v>WorldCat Record</v>
      </c>
      <c r="AU575" s="3" t="s">
        <v>7652</v>
      </c>
      <c r="AV575" s="3" t="s">
        <v>7653</v>
      </c>
      <c r="AW575" s="3" t="s">
        <v>7654</v>
      </c>
      <c r="AX575" s="3" t="s">
        <v>7654</v>
      </c>
      <c r="AY575" s="3" t="s">
        <v>7655</v>
      </c>
      <c r="AZ575" s="3" t="s">
        <v>74</v>
      </c>
      <c r="BB575" s="3" t="s">
        <v>7656</v>
      </c>
      <c r="BC575" s="3" t="s">
        <v>7657</v>
      </c>
      <c r="BD575" s="3" t="s">
        <v>7658</v>
      </c>
    </row>
    <row r="576" spans="1:56" ht="45.75" customHeight="1" x14ac:dyDescent="0.25">
      <c r="A576" s="7" t="s">
        <v>58</v>
      </c>
      <c r="B576" s="2" t="s">
        <v>7659</v>
      </c>
      <c r="C576" s="2" t="s">
        <v>7660</v>
      </c>
      <c r="D576" s="2" t="s">
        <v>7661</v>
      </c>
      <c r="E576" s="3" t="s">
        <v>7662</v>
      </c>
      <c r="F576" s="3" t="s">
        <v>58</v>
      </c>
      <c r="G576" s="3" t="s">
        <v>59</v>
      </c>
      <c r="H576" s="3" t="s">
        <v>87</v>
      </c>
      <c r="I576" s="3" t="s">
        <v>58</v>
      </c>
      <c r="J576" s="3" t="s">
        <v>60</v>
      </c>
      <c r="K576" s="2" t="s">
        <v>7663</v>
      </c>
      <c r="L576" s="2" t="s">
        <v>7664</v>
      </c>
      <c r="M576" s="3" t="s">
        <v>557</v>
      </c>
      <c r="O576" s="3" t="s">
        <v>65</v>
      </c>
      <c r="P576" s="3" t="s">
        <v>84</v>
      </c>
      <c r="Q576" s="2" t="s">
        <v>7665</v>
      </c>
      <c r="R576" s="3" t="s">
        <v>67</v>
      </c>
      <c r="S576" s="4">
        <v>2</v>
      </c>
      <c r="T576" s="4">
        <v>4</v>
      </c>
      <c r="U576" s="5" t="s">
        <v>7666</v>
      </c>
      <c r="V576" s="5" t="s">
        <v>7667</v>
      </c>
      <c r="W576" s="5" t="s">
        <v>7651</v>
      </c>
      <c r="X576" s="5" t="s">
        <v>7668</v>
      </c>
      <c r="Y576" s="4">
        <v>328</v>
      </c>
      <c r="Z576" s="4">
        <v>242</v>
      </c>
      <c r="AA576" s="4">
        <v>244</v>
      </c>
      <c r="AB576" s="4">
        <v>5</v>
      </c>
      <c r="AC576" s="4">
        <v>5</v>
      </c>
      <c r="AD576" s="4">
        <v>22</v>
      </c>
      <c r="AE576" s="4">
        <v>22</v>
      </c>
      <c r="AF576" s="4">
        <v>2</v>
      </c>
      <c r="AG576" s="4">
        <v>2</v>
      </c>
      <c r="AH576" s="4">
        <v>1</v>
      </c>
      <c r="AI576" s="4">
        <v>1</v>
      </c>
      <c r="AJ576" s="4">
        <v>2</v>
      </c>
      <c r="AK576" s="4">
        <v>2</v>
      </c>
      <c r="AL576" s="4">
        <v>2</v>
      </c>
      <c r="AM576" s="4">
        <v>2</v>
      </c>
      <c r="AN576" s="4">
        <v>16</v>
      </c>
      <c r="AO576" s="4">
        <v>16</v>
      </c>
      <c r="AP576" s="3" t="s">
        <v>58</v>
      </c>
      <c r="AQ576" s="3" t="s">
        <v>87</v>
      </c>
      <c r="AR576" s="6" t="str">
        <f>HYPERLINK("http://catalog.hathitrust.org/Record/002730452","HathiTrust Record")</f>
        <v>HathiTrust Record</v>
      </c>
      <c r="AS576" s="6" t="str">
        <f>HYPERLINK("https://creighton-primo.hosted.exlibrisgroup.com/primo-explore/search?tab=default_tab&amp;search_scope=EVERYTHING&amp;vid=01CRU&amp;lang=en_US&amp;offset=0&amp;query=any,contains,991001688989702656","Catalog Record")</f>
        <v>Catalog Record</v>
      </c>
      <c r="AT576" s="6" t="str">
        <f>HYPERLINK("http://www.worldcat.org/oclc/28214135","WorldCat Record")</f>
        <v>WorldCat Record</v>
      </c>
      <c r="AU576" s="3" t="s">
        <v>7669</v>
      </c>
      <c r="AV576" s="3" t="s">
        <v>7670</v>
      </c>
      <c r="AW576" s="3" t="s">
        <v>7671</v>
      </c>
      <c r="AX576" s="3" t="s">
        <v>7671</v>
      </c>
      <c r="AY576" s="3" t="s">
        <v>7672</v>
      </c>
      <c r="AZ576" s="3" t="s">
        <v>74</v>
      </c>
      <c r="BB576" s="3" t="s">
        <v>7673</v>
      </c>
      <c r="BC576" s="3" t="s">
        <v>7674</v>
      </c>
      <c r="BD576" s="3" t="s">
        <v>7675</v>
      </c>
    </row>
    <row r="577" spans="1:56" ht="45.75" customHeight="1" x14ac:dyDescent="0.25">
      <c r="A577" s="7" t="s">
        <v>58</v>
      </c>
      <c r="B577" s="2" t="s">
        <v>7676</v>
      </c>
      <c r="C577" s="2" t="s">
        <v>7677</v>
      </c>
      <c r="D577" s="2" t="s">
        <v>7678</v>
      </c>
      <c r="E577" s="3" t="s">
        <v>7679</v>
      </c>
      <c r="F577" s="3" t="s">
        <v>87</v>
      </c>
      <c r="G577" s="3" t="s">
        <v>59</v>
      </c>
      <c r="H577" s="3" t="s">
        <v>58</v>
      </c>
      <c r="I577" s="3" t="s">
        <v>58</v>
      </c>
      <c r="J577" s="3" t="s">
        <v>60</v>
      </c>
      <c r="K577" s="2" t="s">
        <v>7624</v>
      </c>
      <c r="L577" s="2" t="s">
        <v>7680</v>
      </c>
      <c r="M577" s="3" t="s">
        <v>220</v>
      </c>
      <c r="O577" s="3" t="s">
        <v>65</v>
      </c>
      <c r="P577" s="3" t="s">
        <v>84</v>
      </c>
      <c r="Q577" s="2" t="s">
        <v>7681</v>
      </c>
      <c r="R577" s="3" t="s">
        <v>67</v>
      </c>
      <c r="S577" s="4">
        <v>0</v>
      </c>
      <c r="T577" s="4">
        <v>3</v>
      </c>
      <c r="V577" s="5" t="s">
        <v>7682</v>
      </c>
      <c r="W577" s="5" t="s">
        <v>7683</v>
      </c>
      <c r="X577" s="5" t="s">
        <v>7683</v>
      </c>
      <c r="Y577" s="4">
        <v>227</v>
      </c>
      <c r="Z577" s="4">
        <v>183</v>
      </c>
      <c r="AA577" s="4">
        <v>185</v>
      </c>
      <c r="AB577" s="4">
        <v>2</v>
      </c>
      <c r="AC577" s="4">
        <v>2</v>
      </c>
      <c r="AD577" s="4">
        <v>13</v>
      </c>
      <c r="AE577" s="4">
        <v>13</v>
      </c>
      <c r="AF577" s="4">
        <v>2</v>
      </c>
      <c r="AG577" s="4">
        <v>2</v>
      </c>
      <c r="AH577" s="4">
        <v>2</v>
      </c>
      <c r="AI577" s="4">
        <v>2</v>
      </c>
      <c r="AJ577" s="4">
        <v>4</v>
      </c>
      <c r="AK577" s="4">
        <v>4</v>
      </c>
      <c r="AL577" s="4">
        <v>1</v>
      </c>
      <c r="AM577" s="4">
        <v>1</v>
      </c>
      <c r="AN577" s="4">
        <v>7</v>
      </c>
      <c r="AO577" s="4">
        <v>7</v>
      </c>
      <c r="AP577" s="3" t="s">
        <v>58</v>
      </c>
      <c r="AQ577" s="3" t="s">
        <v>87</v>
      </c>
      <c r="AR577" s="6" t="str">
        <f>HYPERLINK("http://catalog.hathitrust.org/Record/003451360","HathiTrust Record")</f>
        <v>HathiTrust Record</v>
      </c>
      <c r="AS577" s="6" t="str">
        <f>HYPERLINK("https://creighton-primo.hosted.exlibrisgroup.com/primo-explore/search?tab=default_tab&amp;search_scope=EVERYTHING&amp;vid=01CRU&amp;lang=en_US&amp;offset=0&amp;query=any,contains,991003051559702656","Catalog Record")</f>
        <v>Catalog Record</v>
      </c>
      <c r="AT577" s="6" t="str">
        <f>HYPERLINK("http://www.worldcat.org/oclc/43097470","WorldCat Record")</f>
        <v>WorldCat Record</v>
      </c>
      <c r="AU577" s="3" t="s">
        <v>7684</v>
      </c>
      <c r="AV577" s="3" t="s">
        <v>7685</v>
      </c>
      <c r="AW577" s="3" t="s">
        <v>7686</v>
      </c>
      <c r="AX577" s="3" t="s">
        <v>7686</v>
      </c>
      <c r="AY577" s="3" t="s">
        <v>7687</v>
      </c>
      <c r="AZ577" s="3" t="s">
        <v>74</v>
      </c>
      <c r="BB577" s="3" t="s">
        <v>7688</v>
      </c>
      <c r="BC577" s="3" t="s">
        <v>7689</v>
      </c>
      <c r="BD577" s="3" t="s">
        <v>7690</v>
      </c>
    </row>
    <row r="578" spans="1:56" ht="45.75" customHeight="1" x14ac:dyDescent="0.25">
      <c r="A578" s="7" t="s">
        <v>58</v>
      </c>
      <c r="B578" s="2" t="s">
        <v>7676</v>
      </c>
      <c r="C578" s="2" t="s">
        <v>7677</v>
      </c>
      <c r="D578" s="2" t="s">
        <v>7678</v>
      </c>
      <c r="E578" s="3" t="s">
        <v>5746</v>
      </c>
      <c r="F578" s="3" t="s">
        <v>87</v>
      </c>
      <c r="G578" s="3" t="s">
        <v>59</v>
      </c>
      <c r="H578" s="3" t="s">
        <v>58</v>
      </c>
      <c r="I578" s="3" t="s">
        <v>58</v>
      </c>
      <c r="J578" s="3" t="s">
        <v>60</v>
      </c>
      <c r="K578" s="2" t="s">
        <v>7624</v>
      </c>
      <c r="L578" s="2" t="s">
        <v>7680</v>
      </c>
      <c r="M578" s="3" t="s">
        <v>220</v>
      </c>
      <c r="O578" s="3" t="s">
        <v>65</v>
      </c>
      <c r="P578" s="3" t="s">
        <v>84</v>
      </c>
      <c r="Q578" s="2" t="s">
        <v>7681</v>
      </c>
      <c r="R578" s="3" t="s">
        <v>67</v>
      </c>
      <c r="S578" s="4">
        <v>2</v>
      </c>
      <c r="T578" s="4">
        <v>3</v>
      </c>
      <c r="U578" s="5" t="s">
        <v>7682</v>
      </c>
      <c r="V578" s="5" t="s">
        <v>7682</v>
      </c>
      <c r="W578" s="5" t="s">
        <v>7683</v>
      </c>
      <c r="X578" s="5" t="s">
        <v>7683</v>
      </c>
      <c r="Y578" s="4">
        <v>227</v>
      </c>
      <c r="Z578" s="4">
        <v>183</v>
      </c>
      <c r="AA578" s="4">
        <v>185</v>
      </c>
      <c r="AB578" s="4">
        <v>2</v>
      </c>
      <c r="AC578" s="4">
        <v>2</v>
      </c>
      <c r="AD578" s="4">
        <v>13</v>
      </c>
      <c r="AE578" s="4">
        <v>13</v>
      </c>
      <c r="AF578" s="4">
        <v>2</v>
      </c>
      <c r="AG578" s="4">
        <v>2</v>
      </c>
      <c r="AH578" s="4">
        <v>2</v>
      </c>
      <c r="AI578" s="4">
        <v>2</v>
      </c>
      <c r="AJ578" s="4">
        <v>4</v>
      </c>
      <c r="AK578" s="4">
        <v>4</v>
      </c>
      <c r="AL578" s="4">
        <v>1</v>
      </c>
      <c r="AM578" s="4">
        <v>1</v>
      </c>
      <c r="AN578" s="4">
        <v>7</v>
      </c>
      <c r="AO578" s="4">
        <v>7</v>
      </c>
      <c r="AP578" s="3" t="s">
        <v>58</v>
      </c>
      <c r="AQ578" s="3" t="s">
        <v>87</v>
      </c>
      <c r="AR578" s="6" t="str">
        <f>HYPERLINK("http://catalog.hathitrust.org/Record/003451360","HathiTrust Record")</f>
        <v>HathiTrust Record</v>
      </c>
      <c r="AS578" s="6" t="str">
        <f>HYPERLINK("https://creighton-primo.hosted.exlibrisgroup.com/primo-explore/search?tab=default_tab&amp;search_scope=EVERYTHING&amp;vid=01CRU&amp;lang=en_US&amp;offset=0&amp;query=any,contains,991003051559702656","Catalog Record")</f>
        <v>Catalog Record</v>
      </c>
      <c r="AT578" s="6" t="str">
        <f>HYPERLINK("http://www.worldcat.org/oclc/43097470","WorldCat Record")</f>
        <v>WorldCat Record</v>
      </c>
      <c r="AU578" s="3" t="s">
        <v>7684</v>
      </c>
      <c r="AV578" s="3" t="s">
        <v>7685</v>
      </c>
      <c r="AW578" s="3" t="s">
        <v>7686</v>
      </c>
      <c r="AX578" s="3" t="s">
        <v>7686</v>
      </c>
      <c r="AY578" s="3" t="s">
        <v>7687</v>
      </c>
      <c r="AZ578" s="3" t="s">
        <v>74</v>
      </c>
      <c r="BB578" s="3" t="s">
        <v>7688</v>
      </c>
      <c r="BC578" s="3" t="s">
        <v>7691</v>
      </c>
      <c r="BD578" s="3" t="s">
        <v>7692</v>
      </c>
    </row>
    <row r="579" spans="1:56" ht="45.75" customHeight="1" x14ac:dyDescent="0.25">
      <c r="A579" s="7" t="s">
        <v>58</v>
      </c>
      <c r="B579" s="2" t="s">
        <v>7676</v>
      </c>
      <c r="C579" s="2" t="s">
        <v>7677</v>
      </c>
      <c r="D579" s="2" t="s">
        <v>7678</v>
      </c>
      <c r="E579" s="3" t="s">
        <v>7693</v>
      </c>
      <c r="F579" s="3" t="s">
        <v>87</v>
      </c>
      <c r="G579" s="3" t="s">
        <v>59</v>
      </c>
      <c r="H579" s="3" t="s">
        <v>58</v>
      </c>
      <c r="I579" s="3" t="s">
        <v>58</v>
      </c>
      <c r="J579" s="3" t="s">
        <v>60</v>
      </c>
      <c r="K579" s="2" t="s">
        <v>7624</v>
      </c>
      <c r="L579" s="2" t="s">
        <v>7680</v>
      </c>
      <c r="M579" s="3" t="s">
        <v>220</v>
      </c>
      <c r="O579" s="3" t="s">
        <v>65</v>
      </c>
      <c r="P579" s="3" t="s">
        <v>84</v>
      </c>
      <c r="Q579" s="2" t="s">
        <v>7681</v>
      </c>
      <c r="R579" s="3" t="s">
        <v>67</v>
      </c>
      <c r="S579" s="4">
        <v>0</v>
      </c>
      <c r="T579" s="4">
        <v>3</v>
      </c>
      <c r="V579" s="5" t="s">
        <v>7682</v>
      </c>
      <c r="W579" s="5" t="s">
        <v>7683</v>
      </c>
      <c r="X579" s="5" t="s">
        <v>7683</v>
      </c>
      <c r="Y579" s="4">
        <v>227</v>
      </c>
      <c r="Z579" s="4">
        <v>183</v>
      </c>
      <c r="AA579" s="4">
        <v>185</v>
      </c>
      <c r="AB579" s="4">
        <v>2</v>
      </c>
      <c r="AC579" s="4">
        <v>2</v>
      </c>
      <c r="AD579" s="4">
        <v>13</v>
      </c>
      <c r="AE579" s="4">
        <v>13</v>
      </c>
      <c r="AF579" s="4">
        <v>2</v>
      </c>
      <c r="AG579" s="4">
        <v>2</v>
      </c>
      <c r="AH579" s="4">
        <v>2</v>
      </c>
      <c r="AI579" s="4">
        <v>2</v>
      </c>
      <c r="AJ579" s="4">
        <v>4</v>
      </c>
      <c r="AK579" s="4">
        <v>4</v>
      </c>
      <c r="AL579" s="4">
        <v>1</v>
      </c>
      <c r="AM579" s="4">
        <v>1</v>
      </c>
      <c r="AN579" s="4">
        <v>7</v>
      </c>
      <c r="AO579" s="4">
        <v>7</v>
      </c>
      <c r="AP579" s="3" t="s">
        <v>58</v>
      </c>
      <c r="AQ579" s="3" t="s">
        <v>87</v>
      </c>
      <c r="AR579" s="6" t="str">
        <f>HYPERLINK("http://catalog.hathitrust.org/Record/003451360","HathiTrust Record")</f>
        <v>HathiTrust Record</v>
      </c>
      <c r="AS579" s="6" t="str">
        <f>HYPERLINK("https://creighton-primo.hosted.exlibrisgroup.com/primo-explore/search?tab=default_tab&amp;search_scope=EVERYTHING&amp;vid=01CRU&amp;lang=en_US&amp;offset=0&amp;query=any,contains,991003051559702656","Catalog Record")</f>
        <v>Catalog Record</v>
      </c>
      <c r="AT579" s="6" t="str">
        <f>HYPERLINK("http://www.worldcat.org/oclc/43097470","WorldCat Record")</f>
        <v>WorldCat Record</v>
      </c>
      <c r="AU579" s="3" t="s">
        <v>7684</v>
      </c>
      <c r="AV579" s="3" t="s">
        <v>7685</v>
      </c>
      <c r="AW579" s="3" t="s">
        <v>7686</v>
      </c>
      <c r="AX579" s="3" t="s">
        <v>7686</v>
      </c>
      <c r="AY579" s="3" t="s">
        <v>7687</v>
      </c>
      <c r="AZ579" s="3" t="s">
        <v>74</v>
      </c>
      <c r="BB579" s="3" t="s">
        <v>7688</v>
      </c>
      <c r="BC579" s="3" t="s">
        <v>7694</v>
      </c>
      <c r="BD579" s="3" t="s">
        <v>7695</v>
      </c>
    </row>
    <row r="580" spans="1:56" ht="45.75" customHeight="1" x14ac:dyDescent="0.25">
      <c r="A580" s="7" t="s">
        <v>58</v>
      </c>
      <c r="B580" s="2" t="s">
        <v>7676</v>
      </c>
      <c r="C580" s="2" t="s">
        <v>7677</v>
      </c>
      <c r="D580" s="2" t="s">
        <v>7678</v>
      </c>
      <c r="E580" s="3" t="s">
        <v>7696</v>
      </c>
      <c r="F580" s="3" t="s">
        <v>87</v>
      </c>
      <c r="G580" s="3" t="s">
        <v>59</v>
      </c>
      <c r="H580" s="3" t="s">
        <v>58</v>
      </c>
      <c r="I580" s="3" t="s">
        <v>58</v>
      </c>
      <c r="J580" s="3" t="s">
        <v>60</v>
      </c>
      <c r="K580" s="2" t="s">
        <v>7624</v>
      </c>
      <c r="L580" s="2" t="s">
        <v>7680</v>
      </c>
      <c r="M580" s="3" t="s">
        <v>220</v>
      </c>
      <c r="O580" s="3" t="s">
        <v>65</v>
      </c>
      <c r="P580" s="3" t="s">
        <v>84</v>
      </c>
      <c r="Q580" s="2" t="s">
        <v>7681</v>
      </c>
      <c r="R580" s="3" t="s">
        <v>67</v>
      </c>
      <c r="S580" s="4">
        <v>1</v>
      </c>
      <c r="T580" s="4">
        <v>3</v>
      </c>
      <c r="U580" s="5" t="s">
        <v>7697</v>
      </c>
      <c r="V580" s="5" t="s">
        <v>7682</v>
      </c>
      <c r="W580" s="5" t="s">
        <v>7683</v>
      </c>
      <c r="X580" s="5" t="s">
        <v>7683</v>
      </c>
      <c r="Y580" s="4">
        <v>227</v>
      </c>
      <c r="Z580" s="4">
        <v>183</v>
      </c>
      <c r="AA580" s="4">
        <v>185</v>
      </c>
      <c r="AB580" s="4">
        <v>2</v>
      </c>
      <c r="AC580" s="4">
        <v>2</v>
      </c>
      <c r="AD580" s="4">
        <v>13</v>
      </c>
      <c r="AE580" s="4">
        <v>13</v>
      </c>
      <c r="AF580" s="4">
        <v>2</v>
      </c>
      <c r="AG580" s="4">
        <v>2</v>
      </c>
      <c r="AH580" s="4">
        <v>2</v>
      </c>
      <c r="AI580" s="4">
        <v>2</v>
      </c>
      <c r="AJ580" s="4">
        <v>4</v>
      </c>
      <c r="AK580" s="4">
        <v>4</v>
      </c>
      <c r="AL580" s="4">
        <v>1</v>
      </c>
      <c r="AM580" s="4">
        <v>1</v>
      </c>
      <c r="AN580" s="4">
        <v>7</v>
      </c>
      <c r="AO580" s="4">
        <v>7</v>
      </c>
      <c r="AP580" s="3" t="s">
        <v>58</v>
      </c>
      <c r="AQ580" s="3" t="s">
        <v>87</v>
      </c>
      <c r="AR580" s="6" t="str">
        <f>HYPERLINK("http://catalog.hathitrust.org/Record/003451360","HathiTrust Record")</f>
        <v>HathiTrust Record</v>
      </c>
      <c r="AS580" s="6" t="str">
        <f>HYPERLINK("https://creighton-primo.hosted.exlibrisgroup.com/primo-explore/search?tab=default_tab&amp;search_scope=EVERYTHING&amp;vid=01CRU&amp;lang=en_US&amp;offset=0&amp;query=any,contains,991003051559702656","Catalog Record")</f>
        <v>Catalog Record</v>
      </c>
      <c r="AT580" s="6" t="str">
        <f>HYPERLINK("http://www.worldcat.org/oclc/43097470","WorldCat Record")</f>
        <v>WorldCat Record</v>
      </c>
      <c r="AU580" s="3" t="s">
        <v>7684</v>
      </c>
      <c r="AV580" s="3" t="s">
        <v>7685</v>
      </c>
      <c r="AW580" s="3" t="s">
        <v>7686</v>
      </c>
      <c r="AX580" s="3" t="s">
        <v>7686</v>
      </c>
      <c r="AY580" s="3" t="s">
        <v>7687</v>
      </c>
      <c r="AZ580" s="3" t="s">
        <v>74</v>
      </c>
      <c r="BB580" s="3" t="s">
        <v>7688</v>
      </c>
      <c r="BC580" s="3" t="s">
        <v>7698</v>
      </c>
      <c r="BD580" s="3" t="s">
        <v>7699</v>
      </c>
    </row>
    <row r="581" spans="1:56" ht="45.75" customHeight="1" x14ac:dyDescent="0.25">
      <c r="A581" s="7" t="s">
        <v>58</v>
      </c>
      <c r="B581" s="2" t="s">
        <v>7700</v>
      </c>
      <c r="C581" s="2" t="s">
        <v>7701</v>
      </c>
      <c r="D581" s="2" t="s">
        <v>7702</v>
      </c>
      <c r="F581" s="3" t="s">
        <v>58</v>
      </c>
      <c r="G581" s="3" t="s">
        <v>59</v>
      </c>
      <c r="H581" s="3" t="s">
        <v>58</v>
      </c>
      <c r="I581" s="3" t="s">
        <v>58</v>
      </c>
      <c r="J581" s="3" t="s">
        <v>60</v>
      </c>
      <c r="L581" s="2" t="s">
        <v>7703</v>
      </c>
      <c r="M581" s="3" t="s">
        <v>1419</v>
      </c>
      <c r="O581" s="3" t="s">
        <v>65</v>
      </c>
      <c r="P581" s="3" t="s">
        <v>204</v>
      </c>
      <c r="R581" s="3" t="s">
        <v>67</v>
      </c>
      <c r="S581" s="4">
        <v>3</v>
      </c>
      <c r="T581" s="4">
        <v>3</v>
      </c>
      <c r="U581" s="5" t="s">
        <v>7289</v>
      </c>
      <c r="V581" s="5" t="s">
        <v>7289</v>
      </c>
      <c r="W581" s="5" t="s">
        <v>6400</v>
      </c>
      <c r="X581" s="5" t="s">
        <v>6400</v>
      </c>
      <c r="Y581" s="4">
        <v>528</v>
      </c>
      <c r="Z581" s="4">
        <v>464</v>
      </c>
      <c r="AA581" s="4">
        <v>727</v>
      </c>
      <c r="AB581" s="4">
        <v>2</v>
      </c>
      <c r="AC581" s="4">
        <v>4</v>
      </c>
      <c r="AD581" s="4">
        <v>17</v>
      </c>
      <c r="AE581" s="4">
        <v>29</v>
      </c>
      <c r="AF581" s="4">
        <v>5</v>
      </c>
      <c r="AG581" s="4">
        <v>9</v>
      </c>
      <c r="AH581" s="4">
        <v>4</v>
      </c>
      <c r="AI581" s="4">
        <v>7</v>
      </c>
      <c r="AJ581" s="4">
        <v>11</v>
      </c>
      <c r="AK581" s="4">
        <v>16</v>
      </c>
      <c r="AL581" s="4">
        <v>1</v>
      </c>
      <c r="AM581" s="4">
        <v>3</v>
      </c>
      <c r="AN581" s="4">
        <v>1</v>
      </c>
      <c r="AO581" s="4">
        <v>1</v>
      </c>
      <c r="AP581" s="3" t="s">
        <v>58</v>
      </c>
      <c r="AQ581" s="3" t="s">
        <v>58</v>
      </c>
      <c r="AS581" s="6" t="str">
        <f>HYPERLINK("https://creighton-primo.hosted.exlibrisgroup.com/primo-explore/search?tab=default_tab&amp;search_scope=EVERYTHING&amp;vid=01CRU&amp;lang=en_US&amp;offset=0&amp;query=any,contains,991004625839702656","Catalog Record")</f>
        <v>Catalog Record</v>
      </c>
      <c r="AT581" s="6" t="str">
        <f>HYPERLINK("http://www.worldcat.org/oclc/3826299","WorldCat Record")</f>
        <v>WorldCat Record</v>
      </c>
      <c r="AU581" s="3" t="s">
        <v>7704</v>
      </c>
      <c r="AV581" s="3" t="s">
        <v>7705</v>
      </c>
      <c r="AW581" s="3" t="s">
        <v>7706</v>
      </c>
      <c r="AX581" s="3" t="s">
        <v>7706</v>
      </c>
      <c r="AY581" s="3" t="s">
        <v>7707</v>
      </c>
      <c r="AZ581" s="3" t="s">
        <v>74</v>
      </c>
      <c r="BB581" s="3" t="s">
        <v>7708</v>
      </c>
      <c r="BC581" s="3" t="s">
        <v>7709</v>
      </c>
      <c r="BD581" s="3" t="s">
        <v>7710</v>
      </c>
    </row>
    <row r="582" spans="1:56" ht="45.75" customHeight="1" x14ac:dyDescent="0.25">
      <c r="A582" s="7" t="s">
        <v>58</v>
      </c>
      <c r="B582" s="2" t="s">
        <v>7711</v>
      </c>
      <c r="C582" s="2" t="s">
        <v>7712</v>
      </c>
      <c r="D582" s="2" t="s">
        <v>7713</v>
      </c>
      <c r="F582" s="3" t="s">
        <v>58</v>
      </c>
      <c r="G582" s="3" t="s">
        <v>59</v>
      </c>
      <c r="H582" s="3" t="s">
        <v>58</v>
      </c>
      <c r="I582" s="3" t="s">
        <v>58</v>
      </c>
      <c r="J582" s="3" t="s">
        <v>60</v>
      </c>
      <c r="L582" s="2" t="s">
        <v>7714</v>
      </c>
      <c r="M582" s="3" t="s">
        <v>147</v>
      </c>
      <c r="O582" s="3" t="s">
        <v>65</v>
      </c>
      <c r="P582" s="3" t="s">
        <v>175</v>
      </c>
      <c r="R582" s="3" t="s">
        <v>67</v>
      </c>
      <c r="S582" s="4">
        <v>10</v>
      </c>
      <c r="T582" s="4">
        <v>10</v>
      </c>
      <c r="U582" s="5" t="s">
        <v>1239</v>
      </c>
      <c r="V582" s="5" t="s">
        <v>1239</v>
      </c>
      <c r="W582" s="5" t="s">
        <v>7715</v>
      </c>
      <c r="X582" s="5" t="s">
        <v>7715</v>
      </c>
      <c r="Y582" s="4">
        <v>645</v>
      </c>
      <c r="Z582" s="4">
        <v>476</v>
      </c>
      <c r="AA582" s="4">
        <v>500</v>
      </c>
      <c r="AB582" s="4">
        <v>5</v>
      </c>
      <c r="AC582" s="4">
        <v>5</v>
      </c>
      <c r="AD582" s="4">
        <v>28</v>
      </c>
      <c r="AE582" s="4">
        <v>28</v>
      </c>
      <c r="AF582" s="4">
        <v>14</v>
      </c>
      <c r="AG582" s="4">
        <v>14</v>
      </c>
      <c r="AH582" s="4">
        <v>8</v>
      </c>
      <c r="AI582" s="4">
        <v>8</v>
      </c>
      <c r="AJ582" s="4">
        <v>10</v>
      </c>
      <c r="AK582" s="4">
        <v>10</v>
      </c>
      <c r="AL582" s="4">
        <v>4</v>
      </c>
      <c r="AM582" s="4">
        <v>4</v>
      </c>
      <c r="AN582" s="4">
        <v>1</v>
      </c>
      <c r="AO582" s="4">
        <v>1</v>
      </c>
      <c r="AP582" s="3" t="s">
        <v>58</v>
      </c>
      <c r="AQ582" s="3" t="s">
        <v>58</v>
      </c>
      <c r="AS582" s="6" t="str">
        <f>HYPERLINK("https://creighton-primo.hosted.exlibrisgroup.com/primo-explore/search?tab=default_tab&amp;search_scope=EVERYTHING&amp;vid=01CRU&amp;lang=en_US&amp;offset=0&amp;query=any,contains,991004480519702656","Catalog Record")</f>
        <v>Catalog Record</v>
      </c>
      <c r="AT582" s="6" t="str">
        <f>HYPERLINK("http://www.worldcat.org/oclc/55131272","WorldCat Record")</f>
        <v>WorldCat Record</v>
      </c>
      <c r="AU582" s="3" t="s">
        <v>7716</v>
      </c>
      <c r="AV582" s="3" t="s">
        <v>7717</v>
      </c>
      <c r="AW582" s="3" t="s">
        <v>7718</v>
      </c>
      <c r="AX582" s="3" t="s">
        <v>7718</v>
      </c>
      <c r="AY582" s="3" t="s">
        <v>7719</v>
      </c>
      <c r="AZ582" s="3" t="s">
        <v>74</v>
      </c>
      <c r="BB582" s="3" t="s">
        <v>7720</v>
      </c>
      <c r="BC582" s="3" t="s">
        <v>7721</v>
      </c>
      <c r="BD582" s="3" t="s">
        <v>7722</v>
      </c>
    </row>
    <row r="583" spans="1:56" ht="45.75" customHeight="1" x14ac:dyDescent="0.25">
      <c r="A583" s="7" t="s">
        <v>58</v>
      </c>
      <c r="B583" s="2" t="s">
        <v>7723</v>
      </c>
      <c r="C583" s="2" t="s">
        <v>7724</v>
      </c>
      <c r="D583" s="2" t="s">
        <v>7725</v>
      </c>
      <c r="F583" s="3" t="s">
        <v>58</v>
      </c>
      <c r="G583" s="3" t="s">
        <v>59</v>
      </c>
      <c r="H583" s="3" t="s">
        <v>58</v>
      </c>
      <c r="I583" s="3" t="s">
        <v>58</v>
      </c>
      <c r="J583" s="3" t="s">
        <v>60</v>
      </c>
      <c r="L583" s="2" t="s">
        <v>7726</v>
      </c>
      <c r="M583" s="3" t="s">
        <v>908</v>
      </c>
      <c r="O583" s="3" t="s">
        <v>65</v>
      </c>
      <c r="P583" s="3" t="s">
        <v>1282</v>
      </c>
      <c r="Q583" s="2" t="s">
        <v>7727</v>
      </c>
      <c r="R583" s="3" t="s">
        <v>67</v>
      </c>
      <c r="S583" s="4">
        <v>28</v>
      </c>
      <c r="T583" s="4">
        <v>28</v>
      </c>
      <c r="U583" s="5" t="s">
        <v>7115</v>
      </c>
      <c r="V583" s="5" t="s">
        <v>7115</v>
      </c>
      <c r="W583" s="5" t="s">
        <v>4293</v>
      </c>
      <c r="X583" s="5" t="s">
        <v>4293</v>
      </c>
      <c r="Y583" s="4">
        <v>696</v>
      </c>
      <c r="Z583" s="4">
        <v>574</v>
      </c>
      <c r="AA583" s="4">
        <v>734</v>
      </c>
      <c r="AB583" s="4">
        <v>3</v>
      </c>
      <c r="AC583" s="4">
        <v>3</v>
      </c>
      <c r="AD583" s="4">
        <v>28</v>
      </c>
      <c r="AE583" s="4">
        <v>31</v>
      </c>
      <c r="AF583" s="4">
        <v>10</v>
      </c>
      <c r="AG583" s="4">
        <v>11</v>
      </c>
      <c r="AH583" s="4">
        <v>6</v>
      </c>
      <c r="AI583" s="4">
        <v>8</v>
      </c>
      <c r="AJ583" s="4">
        <v>12</v>
      </c>
      <c r="AK583" s="4">
        <v>13</v>
      </c>
      <c r="AL583" s="4">
        <v>2</v>
      </c>
      <c r="AM583" s="4">
        <v>2</v>
      </c>
      <c r="AN583" s="4">
        <v>4</v>
      </c>
      <c r="AO583" s="4">
        <v>4</v>
      </c>
      <c r="AP583" s="3" t="s">
        <v>58</v>
      </c>
      <c r="AQ583" s="3" t="s">
        <v>58</v>
      </c>
      <c r="AS583" s="6" t="str">
        <f>HYPERLINK("https://creighton-primo.hosted.exlibrisgroup.com/primo-explore/search?tab=default_tab&amp;search_scope=EVERYTHING&amp;vid=01CRU&amp;lang=en_US&amp;offset=0&amp;query=any,contains,991004593219702656","Catalog Record")</f>
        <v>Catalog Record</v>
      </c>
      <c r="AT583" s="6" t="str">
        <f>HYPERLINK("http://www.worldcat.org/oclc/4135635","WorldCat Record")</f>
        <v>WorldCat Record</v>
      </c>
      <c r="AU583" s="3" t="s">
        <v>7728</v>
      </c>
      <c r="AV583" s="3" t="s">
        <v>7729</v>
      </c>
      <c r="AW583" s="3" t="s">
        <v>7730</v>
      </c>
      <c r="AX583" s="3" t="s">
        <v>7730</v>
      </c>
      <c r="AY583" s="3" t="s">
        <v>7731</v>
      </c>
      <c r="AZ583" s="3" t="s">
        <v>74</v>
      </c>
      <c r="BB583" s="3" t="s">
        <v>7732</v>
      </c>
      <c r="BC583" s="3" t="s">
        <v>7733</v>
      </c>
      <c r="BD583" s="3" t="s">
        <v>7734</v>
      </c>
    </row>
    <row r="584" spans="1:56" ht="45.75" customHeight="1" x14ac:dyDescent="0.25">
      <c r="A584" s="7" t="s">
        <v>58</v>
      </c>
      <c r="B584" s="2" t="s">
        <v>7735</v>
      </c>
      <c r="C584" s="2" t="s">
        <v>7736</v>
      </c>
      <c r="D584" s="2" t="s">
        <v>7737</v>
      </c>
      <c r="F584" s="3" t="s">
        <v>58</v>
      </c>
      <c r="G584" s="3" t="s">
        <v>59</v>
      </c>
      <c r="H584" s="3" t="s">
        <v>58</v>
      </c>
      <c r="I584" s="3" t="s">
        <v>58</v>
      </c>
      <c r="J584" s="3" t="s">
        <v>60</v>
      </c>
      <c r="L584" s="2" t="s">
        <v>7738</v>
      </c>
      <c r="M584" s="3" t="s">
        <v>800</v>
      </c>
      <c r="O584" s="3" t="s">
        <v>65</v>
      </c>
      <c r="P584" s="3" t="s">
        <v>175</v>
      </c>
      <c r="Q584" s="2" t="s">
        <v>7739</v>
      </c>
      <c r="R584" s="3" t="s">
        <v>67</v>
      </c>
      <c r="S584" s="4">
        <v>20</v>
      </c>
      <c r="T584" s="4">
        <v>20</v>
      </c>
      <c r="U584" s="5" t="s">
        <v>1239</v>
      </c>
      <c r="V584" s="5" t="s">
        <v>1239</v>
      </c>
      <c r="W584" s="5" t="s">
        <v>7740</v>
      </c>
      <c r="X584" s="5" t="s">
        <v>7740</v>
      </c>
      <c r="Y584" s="4">
        <v>609</v>
      </c>
      <c r="Z584" s="4">
        <v>427</v>
      </c>
      <c r="AA584" s="4">
        <v>437</v>
      </c>
      <c r="AB584" s="4">
        <v>3</v>
      </c>
      <c r="AC584" s="4">
        <v>3</v>
      </c>
      <c r="AD584" s="4">
        <v>34</v>
      </c>
      <c r="AE584" s="4">
        <v>34</v>
      </c>
      <c r="AF584" s="4">
        <v>10</v>
      </c>
      <c r="AG584" s="4">
        <v>10</v>
      </c>
      <c r="AH584" s="4">
        <v>6</v>
      </c>
      <c r="AI584" s="4">
        <v>6</v>
      </c>
      <c r="AJ584" s="4">
        <v>11</v>
      </c>
      <c r="AK584" s="4">
        <v>11</v>
      </c>
      <c r="AL584" s="4">
        <v>2</v>
      </c>
      <c r="AM584" s="4">
        <v>2</v>
      </c>
      <c r="AN584" s="4">
        <v>11</v>
      </c>
      <c r="AO584" s="4">
        <v>11</v>
      </c>
      <c r="AP584" s="3" t="s">
        <v>58</v>
      </c>
      <c r="AQ584" s="3" t="s">
        <v>58</v>
      </c>
      <c r="AS584" s="6" t="str">
        <f>HYPERLINK("https://creighton-primo.hosted.exlibrisgroup.com/primo-explore/search?tab=default_tab&amp;search_scope=EVERYTHING&amp;vid=01CRU&amp;lang=en_US&amp;offset=0&amp;query=any,contains,991001843149702656","Catalog Record")</f>
        <v>Catalog Record</v>
      </c>
      <c r="AT584" s="6" t="str">
        <f>HYPERLINK("http://www.worldcat.org/oclc/23144327","WorldCat Record")</f>
        <v>WorldCat Record</v>
      </c>
      <c r="AU584" s="3" t="s">
        <v>7741</v>
      </c>
      <c r="AV584" s="3" t="s">
        <v>7742</v>
      </c>
      <c r="AW584" s="3" t="s">
        <v>7743</v>
      </c>
      <c r="AX584" s="3" t="s">
        <v>7743</v>
      </c>
      <c r="AY584" s="3" t="s">
        <v>7744</v>
      </c>
      <c r="AZ584" s="3" t="s">
        <v>74</v>
      </c>
      <c r="BB584" s="3" t="s">
        <v>7745</v>
      </c>
      <c r="BC584" s="3" t="s">
        <v>7746</v>
      </c>
      <c r="BD584" s="3" t="s">
        <v>7747</v>
      </c>
    </row>
    <row r="585" spans="1:56" ht="45.75" customHeight="1" x14ac:dyDescent="0.25">
      <c r="A585" s="7" t="s">
        <v>58</v>
      </c>
      <c r="B585" s="2" t="s">
        <v>7748</v>
      </c>
      <c r="C585" s="2" t="s">
        <v>7749</v>
      </c>
      <c r="D585" s="2" t="s">
        <v>7750</v>
      </c>
      <c r="F585" s="3" t="s">
        <v>58</v>
      </c>
      <c r="G585" s="3" t="s">
        <v>59</v>
      </c>
      <c r="H585" s="3" t="s">
        <v>58</v>
      </c>
      <c r="I585" s="3" t="s">
        <v>58</v>
      </c>
      <c r="J585" s="3" t="s">
        <v>60</v>
      </c>
      <c r="K585" s="2" t="s">
        <v>7751</v>
      </c>
      <c r="L585" s="2" t="s">
        <v>7752</v>
      </c>
      <c r="M585" s="3" t="s">
        <v>742</v>
      </c>
      <c r="N585" s="2" t="s">
        <v>7753</v>
      </c>
      <c r="O585" s="3" t="s">
        <v>65</v>
      </c>
      <c r="P585" s="3" t="s">
        <v>175</v>
      </c>
      <c r="R585" s="3" t="s">
        <v>67</v>
      </c>
      <c r="S585" s="4">
        <v>23</v>
      </c>
      <c r="T585" s="4">
        <v>23</v>
      </c>
      <c r="U585" s="5" t="s">
        <v>3332</v>
      </c>
      <c r="V585" s="5" t="s">
        <v>3332</v>
      </c>
      <c r="W585" s="5" t="s">
        <v>7754</v>
      </c>
      <c r="X585" s="5" t="s">
        <v>7754</v>
      </c>
      <c r="Y585" s="4">
        <v>423</v>
      </c>
      <c r="Z585" s="4">
        <v>290</v>
      </c>
      <c r="AA585" s="4">
        <v>561</v>
      </c>
      <c r="AB585" s="4">
        <v>3</v>
      </c>
      <c r="AC585" s="4">
        <v>3</v>
      </c>
      <c r="AD585" s="4">
        <v>18</v>
      </c>
      <c r="AE585" s="4">
        <v>33</v>
      </c>
      <c r="AF585" s="4">
        <v>5</v>
      </c>
      <c r="AG585" s="4">
        <v>12</v>
      </c>
      <c r="AH585" s="4">
        <v>4</v>
      </c>
      <c r="AI585" s="4">
        <v>6</v>
      </c>
      <c r="AJ585" s="4">
        <v>8</v>
      </c>
      <c r="AK585" s="4">
        <v>14</v>
      </c>
      <c r="AL585" s="4">
        <v>2</v>
      </c>
      <c r="AM585" s="4">
        <v>2</v>
      </c>
      <c r="AN585" s="4">
        <v>3</v>
      </c>
      <c r="AO585" s="4">
        <v>6</v>
      </c>
      <c r="AP585" s="3" t="s">
        <v>58</v>
      </c>
      <c r="AQ585" s="3" t="s">
        <v>58</v>
      </c>
      <c r="AS585" s="6" t="str">
        <f>HYPERLINK("https://creighton-primo.hosted.exlibrisgroup.com/primo-explore/search?tab=default_tab&amp;search_scope=EVERYTHING&amp;vid=01CRU&amp;lang=en_US&amp;offset=0&amp;query=any,contains,991001317919702656","Catalog Record")</f>
        <v>Catalog Record</v>
      </c>
      <c r="AT585" s="6" t="str">
        <f>HYPERLINK("http://www.worldcat.org/oclc/18191739","WorldCat Record")</f>
        <v>WorldCat Record</v>
      </c>
      <c r="AU585" s="3" t="s">
        <v>7755</v>
      </c>
      <c r="AV585" s="3" t="s">
        <v>7756</v>
      </c>
      <c r="AW585" s="3" t="s">
        <v>7757</v>
      </c>
      <c r="AX585" s="3" t="s">
        <v>7757</v>
      </c>
      <c r="AY585" s="3" t="s">
        <v>7758</v>
      </c>
      <c r="AZ585" s="3" t="s">
        <v>74</v>
      </c>
      <c r="BB585" s="3" t="s">
        <v>7759</v>
      </c>
      <c r="BC585" s="3" t="s">
        <v>7760</v>
      </c>
      <c r="BD585" s="3" t="s">
        <v>7761</v>
      </c>
    </row>
    <row r="586" spans="1:56" ht="45.75" customHeight="1" x14ac:dyDescent="0.25">
      <c r="A586" s="7" t="s">
        <v>58</v>
      </c>
      <c r="B586" s="2" t="s">
        <v>7762</v>
      </c>
      <c r="C586" s="2" t="s">
        <v>7763</v>
      </c>
      <c r="D586" s="2" t="s">
        <v>7764</v>
      </c>
      <c r="F586" s="3" t="s">
        <v>58</v>
      </c>
      <c r="G586" s="3" t="s">
        <v>59</v>
      </c>
      <c r="H586" s="3" t="s">
        <v>58</v>
      </c>
      <c r="I586" s="3" t="s">
        <v>58</v>
      </c>
      <c r="J586" s="3" t="s">
        <v>60</v>
      </c>
      <c r="K586" s="2" t="s">
        <v>7765</v>
      </c>
      <c r="L586" s="2" t="s">
        <v>7766</v>
      </c>
      <c r="M586" s="3" t="s">
        <v>290</v>
      </c>
      <c r="O586" s="3" t="s">
        <v>65</v>
      </c>
      <c r="P586" s="3" t="s">
        <v>175</v>
      </c>
      <c r="Q586" s="2" t="s">
        <v>7767</v>
      </c>
      <c r="R586" s="3" t="s">
        <v>67</v>
      </c>
      <c r="S586" s="4">
        <v>6</v>
      </c>
      <c r="T586" s="4">
        <v>6</v>
      </c>
      <c r="U586" s="5" t="s">
        <v>7100</v>
      </c>
      <c r="V586" s="5" t="s">
        <v>7100</v>
      </c>
      <c r="W586" s="5" t="s">
        <v>7768</v>
      </c>
      <c r="X586" s="5" t="s">
        <v>7768</v>
      </c>
      <c r="Y586" s="4">
        <v>553</v>
      </c>
      <c r="Z586" s="4">
        <v>435</v>
      </c>
      <c r="AA586" s="4">
        <v>1048</v>
      </c>
      <c r="AB586" s="4">
        <v>3</v>
      </c>
      <c r="AC586" s="4">
        <v>14</v>
      </c>
      <c r="AD586" s="4">
        <v>24</v>
      </c>
      <c r="AE586" s="4">
        <v>50</v>
      </c>
      <c r="AF586" s="4">
        <v>8</v>
      </c>
      <c r="AG586" s="4">
        <v>17</v>
      </c>
      <c r="AH586" s="4">
        <v>5</v>
      </c>
      <c r="AI586" s="4">
        <v>8</v>
      </c>
      <c r="AJ586" s="4">
        <v>9</v>
      </c>
      <c r="AK586" s="4">
        <v>17</v>
      </c>
      <c r="AL586" s="4">
        <v>2</v>
      </c>
      <c r="AM586" s="4">
        <v>11</v>
      </c>
      <c r="AN586" s="4">
        <v>5</v>
      </c>
      <c r="AO586" s="4">
        <v>5</v>
      </c>
      <c r="AP586" s="3" t="s">
        <v>58</v>
      </c>
      <c r="AQ586" s="3" t="s">
        <v>58</v>
      </c>
      <c r="AS586" s="6" t="str">
        <f>HYPERLINK("https://creighton-primo.hosted.exlibrisgroup.com/primo-explore/search?tab=default_tab&amp;search_scope=EVERYTHING&amp;vid=01CRU&amp;lang=en_US&amp;offset=0&amp;query=any,contains,991003760819702656","Catalog Record")</f>
        <v>Catalog Record</v>
      </c>
      <c r="AT586" s="6" t="str">
        <f>HYPERLINK("http://www.worldcat.org/oclc/45172297","WorldCat Record")</f>
        <v>WorldCat Record</v>
      </c>
      <c r="AU586" s="3" t="s">
        <v>7769</v>
      </c>
      <c r="AV586" s="3" t="s">
        <v>7770</v>
      </c>
      <c r="AW586" s="3" t="s">
        <v>7771</v>
      </c>
      <c r="AX586" s="3" t="s">
        <v>7771</v>
      </c>
      <c r="AY586" s="3" t="s">
        <v>7772</v>
      </c>
      <c r="AZ586" s="3" t="s">
        <v>74</v>
      </c>
      <c r="BB586" s="3" t="s">
        <v>7773</v>
      </c>
      <c r="BC586" s="3" t="s">
        <v>7774</v>
      </c>
      <c r="BD586" s="3" t="s">
        <v>7775</v>
      </c>
    </row>
    <row r="587" spans="1:56" ht="45.75" customHeight="1" x14ac:dyDescent="0.25">
      <c r="A587" s="7" t="s">
        <v>58</v>
      </c>
      <c r="B587" s="2" t="s">
        <v>7776</v>
      </c>
      <c r="C587" s="2" t="s">
        <v>7777</v>
      </c>
      <c r="D587" s="2" t="s">
        <v>7778</v>
      </c>
      <c r="F587" s="3" t="s">
        <v>58</v>
      </c>
      <c r="G587" s="3" t="s">
        <v>59</v>
      </c>
      <c r="H587" s="3" t="s">
        <v>58</v>
      </c>
      <c r="I587" s="3" t="s">
        <v>58</v>
      </c>
      <c r="J587" s="3" t="s">
        <v>60</v>
      </c>
      <c r="L587" s="2" t="s">
        <v>7779</v>
      </c>
      <c r="M587" s="3" t="s">
        <v>189</v>
      </c>
      <c r="N587" s="2" t="s">
        <v>543</v>
      </c>
      <c r="O587" s="3" t="s">
        <v>65</v>
      </c>
      <c r="P587" s="3" t="s">
        <v>84</v>
      </c>
      <c r="R587" s="3" t="s">
        <v>67</v>
      </c>
      <c r="S587" s="4">
        <v>1</v>
      </c>
      <c r="T587" s="4">
        <v>1</v>
      </c>
      <c r="U587" s="5" t="s">
        <v>7780</v>
      </c>
      <c r="V587" s="5" t="s">
        <v>7780</v>
      </c>
      <c r="W587" s="5" t="s">
        <v>7781</v>
      </c>
      <c r="X587" s="5" t="s">
        <v>7781</v>
      </c>
      <c r="Y587" s="4">
        <v>198</v>
      </c>
      <c r="Z587" s="4">
        <v>160</v>
      </c>
      <c r="AA587" s="4">
        <v>212</v>
      </c>
      <c r="AB587" s="4">
        <v>4</v>
      </c>
      <c r="AC587" s="4">
        <v>4</v>
      </c>
      <c r="AD587" s="4">
        <v>9</v>
      </c>
      <c r="AE587" s="4">
        <v>11</v>
      </c>
      <c r="AF587" s="4">
        <v>1</v>
      </c>
      <c r="AG587" s="4">
        <v>3</v>
      </c>
      <c r="AH587" s="4">
        <v>2</v>
      </c>
      <c r="AI587" s="4">
        <v>2</v>
      </c>
      <c r="AJ587" s="4">
        <v>4</v>
      </c>
      <c r="AK587" s="4">
        <v>6</v>
      </c>
      <c r="AL587" s="4">
        <v>3</v>
      </c>
      <c r="AM587" s="4">
        <v>3</v>
      </c>
      <c r="AN587" s="4">
        <v>1</v>
      </c>
      <c r="AO587" s="4">
        <v>1</v>
      </c>
      <c r="AP587" s="3" t="s">
        <v>58</v>
      </c>
      <c r="AQ587" s="3" t="s">
        <v>58</v>
      </c>
      <c r="AS587" s="6" t="str">
        <f>HYPERLINK("https://creighton-primo.hosted.exlibrisgroup.com/primo-explore/search?tab=default_tab&amp;search_scope=EVERYTHING&amp;vid=01CRU&amp;lang=en_US&amp;offset=0&amp;query=any,contains,991000024039702656","Catalog Record")</f>
        <v>Catalog Record</v>
      </c>
      <c r="AT587" s="6" t="str">
        <f>HYPERLINK("http://www.worldcat.org/oclc/289095901","WorldCat Record")</f>
        <v>WorldCat Record</v>
      </c>
      <c r="AU587" s="3" t="s">
        <v>7782</v>
      </c>
      <c r="AV587" s="3" t="s">
        <v>7783</v>
      </c>
      <c r="AW587" s="3" t="s">
        <v>7784</v>
      </c>
      <c r="AX587" s="3" t="s">
        <v>7784</v>
      </c>
      <c r="AY587" s="3" t="s">
        <v>7785</v>
      </c>
      <c r="AZ587" s="3" t="s">
        <v>74</v>
      </c>
      <c r="BB587" s="3" t="s">
        <v>7786</v>
      </c>
      <c r="BC587" s="3" t="s">
        <v>7787</v>
      </c>
      <c r="BD587" s="3" t="s">
        <v>7788</v>
      </c>
    </row>
    <row r="588" spans="1:56" ht="45.75" customHeight="1" x14ac:dyDescent="0.25">
      <c r="A588" s="7" t="s">
        <v>58</v>
      </c>
      <c r="B588" s="2" t="s">
        <v>7789</v>
      </c>
      <c r="C588" s="2" t="s">
        <v>7790</v>
      </c>
      <c r="D588" s="2" t="s">
        <v>7791</v>
      </c>
      <c r="F588" s="3" t="s">
        <v>58</v>
      </c>
      <c r="G588" s="3" t="s">
        <v>59</v>
      </c>
      <c r="H588" s="3" t="s">
        <v>58</v>
      </c>
      <c r="I588" s="3" t="s">
        <v>58</v>
      </c>
      <c r="J588" s="3" t="s">
        <v>60</v>
      </c>
      <c r="K588" s="2" t="s">
        <v>7792</v>
      </c>
      <c r="L588" s="2" t="s">
        <v>7793</v>
      </c>
      <c r="M588" s="3" t="s">
        <v>557</v>
      </c>
      <c r="N588" s="2" t="s">
        <v>486</v>
      </c>
      <c r="O588" s="3" t="s">
        <v>65</v>
      </c>
      <c r="P588" s="3" t="s">
        <v>84</v>
      </c>
      <c r="R588" s="3" t="s">
        <v>67</v>
      </c>
      <c r="S588" s="4">
        <v>5</v>
      </c>
      <c r="T588" s="4">
        <v>5</v>
      </c>
      <c r="U588" s="5" t="s">
        <v>4844</v>
      </c>
      <c r="V588" s="5" t="s">
        <v>4844</v>
      </c>
      <c r="W588" s="5" t="s">
        <v>7794</v>
      </c>
      <c r="X588" s="5" t="s">
        <v>7794</v>
      </c>
      <c r="Y588" s="4">
        <v>506</v>
      </c>
      <c r="Z588" s="4">
        <v>483</v>
      </c>
      <c r="AA588" s="4">
        <v>490</v>
      </c>
      <c r="AB588" s="4">
        <v>3</v>
      </c>
      <c r="AC588" s="4">
        <v>3</v>
      </c>
      <c r="AD588" s="4">
        <v>9</v>
      </c>
      <c r="AE588" s="4">
        <v>9</v>
      </c>
      <c r="AF588" s="4">
        <v>1</v>
      </c>
      <c r="AG588" s="4">
        <v>1</v>
      </c>
      <c r="AH588" s="4">
        <v>4</v>
      </c>
      <c r="AI588" s="4">
        <v>4</v>
      </c>
      <c r="AJ588" s="4">
        <v>4</v>
      </c>
      <c r="AK588" s="4">
        <v>4</v>
      </c>
      <c r="AL588" s="4">
        <v>1</v>
      </c>
      <c r="AM588" s="4">
        <v>1</v>
      </c>
      <c r="AN588" s="4">
        <v>1</v>
      </c>
      <c r="AO588" s="4">
        <v>1</v>
      </c>
      <c r="AP588" s="3" t="s">
        <v>58</v>
      </c>
      <c r="AQ588" s="3" t="s">
        <v>87</v>
      </c>
      <c r="AR588" s="6" t="str">
        <f>HYPERLINK("http://catalog.hathitrust.org/Record/002784126","HathiTrust Record")</f>
        <v>HathiTrust Record</v>
      </c>
      <c r="AS588" s="6" t="str">
        <f>HYPERLINK("https://creighton-primo.hosted.exlibrisgroup.com/primo-explore/search?tab=default_tab&amp;search_scope=EVERYTHING&amp;vid=01CRU&amp;lang=en_US&amp;offset=0&amp;query=any,contains,991002172959702656","Catalog Record")</f>
        <v>Catalog Record</v>
      </c>
      <c r="AT588" s="6" t="str">
        <f>HYPERLINK("http://www.worldcat.org/oclc/27974606","WorldCat Record")</f>
        <v>WorldCat Record</v>
      </c>
      <c r="AU588" s="3" t="s">
        <v>7795</v>
      </c>
      <c r="AV588" s="3" t="s">
        <v>7796</v>
      </c>
      <c r="AW588" s="3" t="s">
        <v>7797</v>
      </c>
      <c r="AX588" s="3" t="s">
        <v>7797</v>
      </c>
      <c r="AY588" s="3" t="s">
        <v>7798</v>
      </c>
      <c r="AZ588" s="3" t="s">
        <v>74</v>
      </c>
      <c r="BB588" s="3" t="s">
        <v>7799</v>
      </c>
      <c r="BC588" s="3" t="s">
        <v>7800</v>
      </c>
      <c r="BD588" s="3" t="s">
        <v>7801</v>
      </c>
    </row>
    <row r="589" spans="1:56" ht="45.75" customHeight="1" x14ac:dyDescent="0.25">
      <c r="A589" s="7" t="s">
        <v>58</v>
      </c>
      <c r="B589" s="2" t="s">
        <v>7802</v>
      </c>
      <c r="C589" s="2" t="s">
        <v>7803</v>
      </c>
      <c r="D589" s="2" t="s">
        <v>7804</v>
      </c>
      <c r="F589" s="3" t="s">
        <v>58</v>
      </c>
      <c r="G589" s="3" t="s">
        <v>59</v>
      </c>
      <c r="H589" s="3" t="s">
        <v>58</v>
      </c>
      <c r="I589" s="3" t="s">
        <v>58</v>
      </c>
      <c r="J589" s="3" t="s">
        <v>60</v>
      </c>
      <c r="K589" s="2" t="s">
        <v>7805</v>
      </c>
      <c r="L589" s="2" t="s">
        <v>7806</v>
      </c>
      <c r="M589" s="3" t="s">
        <v>263</v>
      </c>
      <c r="O589" s="3" t="s">
        <v>65</v>
      </c>
      <c r="P589" s="3" t="s">
        <v>84</v>
      </c>
      <c r="R589" s="3" t="s">
        <v>67</v>
      </c>
      <c r="S589" s="4">
        <v>16</v>
      </c>
      <c r="T589" s="4">
        <v>16</v>
      </c>
      <c r="U589" s="5" t="s">
        <v>7807</v>
      </c>
      <c r="V589" s="5" t="s">
        <v>7807</v>
      </c>
      <c r="W589" s="5" t="s">
        <v>7808</v>
      </c>
      <c r="X589" s="5" t="s">
        <v>7808</v>
      </c>
      <c r="Y589" s="4">
        <v>489</v>
      </c>
      <c r="Z589" s="4">
        <v>355</v>
      </c>
      <c r="AA589" s="4">
        <v>375</v>
      </c>
      <c r="AB589" s="4">
        <v>3</v>
      </c>
      <c r="AC589" s="4">
        <v>3</v>
      </c>
      <c r="AD589" s="4">
        <v>23</v>
      </c>
      <c r="AE589" s="4">
        <v>23</v>
      </c>
      <c r="AF589" s="4">
        <v>6</v>
      </c>
      <c r="AG589" s="4">
        <v>6</v>
      </c>
      <c r="AH589" s="4">
        <v>6</v>
      </c>
      <c r="AI589" s="4">
        <v>6</v>
      </c>
      <c r="AJ589" s="4">
        <v>15</v>
      </c>
      <c r="AK589" s="4">
        <v>15</v>
      </c>
      <c r="AL589" s="4">
        <v>2</v>
      </c>
      <c r="AM589" s="4">
        <v>2</v>
      </c>
      <c r="AN589" s="4">
        <v>1</v>
      </c>
      <c r="AO589" s="4">
        <v>1</v>
      </c>
      <c r="AP589" s="3" t="s">
        <v>58</v>
      </c>
      <c r="AQ589" s="3" t="s">
        <v>58</v>
      </c>
      <c r="AS589" s="6" t="str">
        <f>HYPERLINK("https://creighton-primo.hosted.exlibrisgroup.com/primo-explore/search?tab=default_tab&amp;search_scope=EVERYTHING&amp;vid=01CRU&amp;lang=en_US&amp;offset=0&amp;query=any,contains,991002576529702656","Catalog Record")</f>
        <v>Catalog Record</v>
      </c>
      <c r="AT589" s="6" t="str">
        <f>HYPERLINK("http://www.worldcat.org/oclc/33664912","WorldCat Record")</f>
        <v>WorldCat Record</v>
      </c>
      <c r="AU589" s="3" t="s">
        <v>7809</v>
      </c>
      <c r="AV589" s="3" t="s">
        <v>7810</v>
      </c>
      <c r="AW589" s="3" t="s">
        <v>7811</v>
      </c>
      <c r="AX589" s="3" t="s">
        <v>7811</v>
      </c>
      <c r="AY589" s="3" t="s">
        <v>7812</v>
      </c>
      <c r="AZ589" s="3" t="s">
        <v>74</v>
      </c>
      <c r="BB589" s="3" t="s">
        <v>7813</v>
      </c>
      <c r="BC589" s="3" t="s">
        <v>7814</v>
      </c>
      <c r="BD589" s="3" t="s">
        <v>7815</v>
      </c>
    </row>
    <row r="590" spans="1:56" ht="45.75" customHeight="1" x14ac:dyDescent="0.25">
      <c r="A590" s="7" t="s">
        <v>58</v>
      </c>
      <c r="B590" s="2" t="s">
        <v>7816</v>
      </c>
      <c r="C590" s="2" t="s">
        <v>7817</v>
      </c>
      <c r="D590" s="2" t="s">
        <v>7818</v>
      </c>
      <c r="F590" s="3" t="s">
        <v>58</v>
      </c>
      <c r="G590" s="3" t="s">
        <v>59</v>
      </c>
      <c r="H590" s="3" t="s">
        <v>58</v>
      </c>
      <c r="I590" s="3" t="s">
        <v>58</v>
      </c>
      <c r="J590" s="3" t="s">
        <v>60</v>
      </c>
      <c r="L590" s="2" t="s">
        <v>7819</v>
      </c>
      <c r="M590" s="3" t="s">
        <v>290</v>
      </c>
      <c r="O590" s="3" t="s">
        <v>65</v>
      </c>
      <c r="P590" s="3" t="s">
        <v>132</v>
      </c>
      <c r="R590" s="3" t="s">
        <v>67</v>
      </c>
      <c r="S590" s="4">
        <v>16</v>
      </c>
      <c r="T590" s="4">
        <v>16</v>
      </c>
      <c r="U590" s="5" t="s">
        <v>7820</v>
      </c>
      <c r="V590" s="5" t="s">
        <v>7820</v>
      </c>
      <c r="W590" s="5" t="s">
        <v>7821</v>
      </c>
      <c r="X590" s="5" t="s">
        <v>7821</v>
      </c>
      <c r="Y590" s="4">
        <v>73</v>
      </c>
      <c r="Z590" s="4">
        <v>70</v>
      </c>
      <c r="AA590" s="4">
        <v>71</v>
      </c>
      <c r="AB590" s="4">
        <v>1</v>
      </c>
      <c r="AC590" s="4">
        <v>1</v>
      </c>
      <c r="AD590" s="4">
        <v>1</v>
      </c>
      <c r="AE590" s="4">
        <v>1</v>
      </c>
      <c r="AF590" s="4">
        <v>1</v>
      </c>
      <c r="AG590" s="4">
        <v>1</v>
      </c>
      <c r="AH590" s="4">
        <v>0</v>
      </c>
      <c r="AI590" s="4">
        <v>0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0</v>
      </c>
      <c r="AP590" s="3" t="s">
        <v>58</v>
      </c>
      <c r="AQ590" s="3" t="s">
        <v>87</v>
      </c>
      <c r="AR590" s="6" t="str">
        <f>HYPERLINK("http://catalog.hathitrust.org/Record/007062529","HathiTrust Record")</f>
        <v>HathiTrust Record</v>
      </c>
      <c r="AS590" s="6" t="str">
        <f>HYPERLINK("https://creighton-primo.hosted.exlibrisgroup.com/primo-explore/search?tab=default_tab&amp;search_scope=EVERYTHING&amp;vid=01CRU&amp;lang=en_US&amp;offset=0&amp;query=any,contains,991003754099702656","Catalog Record")</f>
        <v>Catalog Record</v>
      </c>
      <c r="AT590" s="6" t="str">
        <f>HYPERLINK("http://www.worldcat.org/oclc/49092706","WorldCat Record")</f>
        <v>WorldCat Record</v>
      </c>
      <c r="AU590" s="3" t="s">
        <v>7822</v>
      </c>
      <c r="AV590" s="3" t="s">
        <v>7823</v>
      </c>
      <c r="AW590" s="3" t="s">
        <v>7824</v>
      </c>
      <c r="AX590" s="3" t="s">
        <v>7824</v>
      </c>
      <c r="AY590" s="3" t="s">
        <v>7825</v>
      </c>
      <c r="AZ590" s="3" t="s">
        <v>74</v>
      </c>
      <c r="BB590" s="3" t="s">
        <v>7826</v>
      </c>
      <c r="BC590" s="3" t="s">
        <v>7827</v>
      </c>
      <c r="BD590" s="3" t="s">
        <v>7828</v>
      </c>
    </row>
    <row r="591" spans="1:56" ht="45.75" customHeight="1" x14ac:dyDescent="0.25">
      <c r="A591" s="7" t="s">
        <v>58</v>
      </c>
      <c r="B591" s="2" t="s">
        <v>7829</v>
      </c>
      <c r="C591" s="2" t="s">
        <v>7830</v>
      </c>
      <c r="D591" s="2" t="s">
        <v>7831</v>
      </c>
      <c r="F591" s="3" t="s">
        <v>58</v>
      </c>
      <c r="G591" s="3" t="s">
        <v>59</v>
      </c>
      <c r="H591" s="3" t="s">
        <v>58</v>
      </c>
      <c r="I591" s="3" t="s">
        <v>58</v>
      </c>
      <c r="J591" s="3" t="s">
        <v>60</v>
      </c>
      <c r="L591" s="2" t="s">
        <v>7832</v>
      </c>
      <c r="M591" s="3" t="s">
        <v>290</v>
      </c>
      <c r="N591" s="2" t="s">
        <v>543</v>
      </c>
      <c r="O591" s="3" t="s">
        <v>65</v>
      </c>
      <c r="P591" s="3" t="s">
        <v>84</v>
      </c>
      <c r="R591" s="3" t="s">
        <v>67</v>
      </c>
      <c r="S591" s="4">
        <v>6</v>
      </c>
      <c r="T591" s="4">
        <v>6</v>
      </c>
      <c r="U591" s="5" t="s">
        <v>7833</v>
      </c>
      <c r="V591" s="5" t="s">
        <v>7833</v>
      </c>
      <c r="W591" s="5" t="s">
        <v>7834</v>
      </c>
      <c r="X591" s="5" t="s">
        <v>7834</v>
      </c>
      <c r="Y591" s="4">
        <v>1360</v>
      </c>
      <c r="Z591" s="4">
        <v>1223</v>
      </c>
      <c r="AA591" s="4">
        <v>1365</v>
      </c>
      <c r="AB591" s="4">
        <v>7</v>
      </c>
      <c r="AC591" s="4">
        <v>10</v>
      </c>
      <c r="AD591" s="4">
        <v>37</v>
      </c>
      <c r="AE591" s="4">
        <v>39</v>
      </c>
      <c r="AF591" s="4">
        <v>19</v>
      </c>
      <c r="AG591" s="4">
        <v>19</v>
      </c>
      <c r="AH591" s="4">
        <v>7</v>
      </c>
      <c r="AI591" s="4">
        <v>7</v>
      </c>
      <c r="AJ591" s="4">
        <v>17</v>
      </c>
      <c r="AK591" s="4">
        <v>17</v>
      </c>
      <c r="AL591" s="4">
        <v>4</v>
      </c>
      <c r="AM591" s="4">
        <v>6</v>
      </c>
      <c r="AN591" s="4">
        <v>1</v>
      </c>
      <c r="AO591" s="4">
        <v>1</v>
      </c>
      <c r="AP591" s="3" t="s">
        <v>58</v>
      </c>
      <c r="AQ591" s="3" t="s">
        <v>58</v>
      </c>
      <c r="AS591" s="6" t="str">
        <f>HYPERLINK("https://creighton-primo.hosted.exlibrisgroup.com/primo-explore/search?tab=default_tab&amp;search_scope=EVERYTHING&amp;vid=01CRU&amp;lang=en_US&amp;offset=0&amp;query=any,contains,991003710299702656","Catalog Record")</f>
        <v>Catalog Record</v>
      </c>
      <c r="AT591" s="6" t="str">
        <f>HYPERLINK("http://www.worldcat.org/oclc/48557566","WorldCat Record")</f>
        <v>WorldCat Record</v>
      </c>
      <c r="AU591" s="3" t="s">
        <v>7835</v>
      </c>
      <c r="AV591" s="3" t="s">
        <v>7836</v>
      </c>
      <c r="AW591" s="3" t="s">
        <v>7837</v>
      </c>
      <c r="AX591" s="3" t="s">
        <v>7837</v>
      </c>
      <c r="AY591" s="3" t="s">
        <v>7838</v>
      </c>
      <c r="AZ591" s="3" t="s">
        <v>74</v>
      </c>
      <c r="BB591" s="3" t="s">
        <v>7839</v>
      </c>
      <c r="BC591" s="3" t="s">
        <v>7840</v>
      </c>
      <c r="BD591" s="3" t="s">
        <v>7841</v>
      </c>
    </row>
    <row r="592" spans="1:56" ht="45.75" customHeight="1" x14ac:dyDescent="0.25">
      <c r="A592" s="7" t="s">
        <v>58</v>
      </c>
      <c r="B592" s="2" t="s">
        <v>7842</v>
      </c>
      <c r="C592" s="2" t="s">
        <v>7843</v>
      </c>
      <c r="D592" s="2" t="s">
        <v>7844</v>
      </c>
      <c r="F592" s="3" t="s">
        <v>58</v>
      </c>
      <c r="G592" s="3" t="s">
        <v>59</v>
      </c>
      <c r="H592" s="3" t="s">
        <v>58</v>
      </c>
      <c r="I592" s="3" t="s">
        <v>58</v>
      </c>
      <c r="J592" s="3" t="s">
        <v>60</v>
      </c>
      <c r="K592" s="2" t="s">
        <v>7845</v>
      </c>
      <c r="L592" s="2" t="s">
        <v>7846</v>
      </c>
      <c r="M592" s="3" t="s">
        <v>203</v>
      </c>
      <c r="O592" s="3" t="s">
        <v>65</v>
      </c>
      <c r="P592" s="3" t="s">
        <v>84</v>
      </c>
      <c r="R592" s="3" t="s">
        <v>67</v>
      </c>
      <c r="S592" s="4">
        <v>5</v>
      </c>
      <c r="T592" s="4">
        <v>5</v>
      </c>
      <c r="U592" s="5" t="s">
        <v>7847</v>
      </c>
      <c r="V592" s="5" t="s">
        <v>7847</v>
      </c>
      <c r="W592" s="5" t="s">
        <v>7848</v>
      </c>
      <c r="X592" s="5" t="s">
        <v>7848</v>
      </c>
      <c r="Y592" s="4">
        <v>634</v>
      </c>
      <c r="Z592" s="4">
        <v>586</v>
      </c>
      <c r="AA592" s="4">
        <v>593</v>
      </c>
      <c r="AB592" s="4">
        <v>4</v>
      </c>
      <c r="AC592" s="4">
        <v>4</v>
      </c>
      <c r="AD592" s="4">
        <v>25</v>
      </c>
      <c r="AE592" s="4">
        <v>25</v>
      </c>
      <c r="AF592" s="4">
        <v>6</v>
      </c>
      <c r="AG592" s="4">
        <v>6</v>
      </c>
      <c r="AH592" s="4">
        <v>5</v>
      </c>
      <c r="AI592" s="4">
        <v>5</v>
      </c>
      <c r="AJ592" s="4">
        <v>10</v>
      </c>
      <c r="AK592" s="4">
        <v>10</v>
      </c>
      <c r="AL592" s="4">
        <v>3</v>
      </c>
      <c r="AM592" s="4">
        <v>3</v>
      </c>
      <c r="AN592" s="4">
        <v>4</v>
      </c>
      <c r="AO592" s="4">
        <v>4</v>
      </c>
      <c r="AP592" s="3" t="s">
        <v>58</v>
      </c>
      <c r="AQ592" s="3" t="s">
        <v>87</v>
      </c>
      <c r="AR592" s="6" t="str">
        <f>HYPERLINK("http://catalog.hathitrust.org/Record/004326362","HathiTrust Record")</f>
        <v>HathiTrust Record</v>
      </c>
      <c r="AS592" s="6" t="str">
        <f>HYPERLINK("https://creighton-primo.hosted.exlibrisgroup.com/primo-explore/search?tab=default_tab&amp;search_scope=EVERYTHING&amp;vid=01CRU&amp;lang=en_US&amp;offset=0&amp;query=any,contains,991004075939702656","Catalog Record")</f>
        <v>Catalog Record</v>
      </c>
      <c r="AT592" s="6" t="str">
        <f>HYPERLINK("http://www.worldcat.org/oclc/48834861","WorldCat Record")</f>
        <v>WorldCat Record</v>
      </c>
      <c r="AU592" s="3" t="s">
        <v>7849</v>
      </c>
      <c r="AV592" s="3" t="s">
        <v>7850</v>
      </c>
      <c r="AW592" s="3" t="s">
        <v>7851</v>
      </c>
      <c r="AX592" s="3" t="s">
        <v>7851</v>
      </c>
      <c r="AY592" s="3" t="s">
        <v>7852</v>
      </c>
      <c r="AZ592" s="3" t="s">
        <v>74</v>
      </c>
      <c r="BB592" s="3" t="s">
        <v>7853</v>
      </c>
      <c r="BC592" s="3" t="s">
        <v>7854</v>
      </c>
      <c r="BD592" s="3" t="s">
        <v>7855</v>
      </c>
    </row>
    <row r="593" spans="1:56" ht="45.75" customHeight="1" x14ac:dyDescent="0.25">
      <c r="A593" s="7" t="s">
        <v>58</v>
      </c>
      <c r="B593" s="2" t="s">
        <v>7856</v>
      </c>
      <c r="C593" s="2" t="s">
        <v>7857</v>
      </c>
      <c r="D593" s="2" t="s">
        <v>7858</v>
      </c>
      <c r="F593" s="3" t="s">
        <v>58</v>
      </c>
      <c r="G593" s="3" t="s">
        <v>59</v>
      </c>
      <c r="H593" s="3" t="s">
        <v>58</v>
      </c>
      <c r="I593" s="3" t="s">
        <v>58</v>
      </c>
      <c r="J593" s="3" t="s">
        <v>60</v>
      </c>
      <c r="K593" s="2" t="s">
        <v>7859</v>
      </c>
      <c r="L593" s="2" t="s">
        <v>7860</v>
      </c>
      <c r="M593" s="3" t="s">
        <v>147</v>
      </c>
      <c r="N593" s="2" t="s">
        <v>543</v>
      </c>
      <c r="O593" s="3" t="s">
        <v>65</v>
      </c>
      <c r="P593" s="3" t="s">
        <v>84</v>
      </c>
      <c r="R593" s="3" t="s">
        <v>67</v>
      </c>
      <c r="S593" s="4">
        <v>6</v>
      </c>
      <c r="T593" s="4">
        <v>6</v>
      </c>
      <c r="U593" s="5" t="s">
        <v>7861</v>
      </c>
      <c r="V593" s="5" t="s">
        <v>7861</v>
      </c>
      <c r="W593" s="5" t="s">
        <v>7862</v>
      </c>
      <c r="X593" s="5" t="s">
        <v>7862</v>
      </c>
      <c r="Y593" s="4">
        <v>1135</v>
      </c>
      <c r="Z593" s="4">
        <v>1046</v>
      </c>
      <c r="AA593" s="4">
        <v>1161</v>
      </c>
      <c r="AB593" s="4">
        <v>8</v>
      </c>
      <c r="AC593" s="4">
        <v>12</v>
      </c>
      <c r="AD593" s="4">
        <v>31</v>
      </c>
      <c r="AE593" s="4">
        <v>37</v>
      </c>
      <c r="AF593" s="4">
        <v>12</v>
      </c>
      <c r="AG593" s="4">
        <v>14</v>
      </c>
      <c r="AH593" s="4">
        <v>5</v>
      </c>
      <c r="AI593" s="4">
        <v>7</v>
      </c>
      <c r="AJ593" s="4">
        <v>15</v>
      </c>
      <c r="AK593" s="4">
        <v>16</v>
      </c>
      <c r="AL593" s="4">
        <v>4</v>
      </c>
      <c r="AM593" s="4">
        <v>5</v>
      </c>
      <c r="AN593" s="4">
        <v>2</v>
      </c>
      <c r="AO593" s="4">
        <v>2</v>
      </c>
      <c r="AP593" s="3" t="s">
        <v>58</v>
      </c>
      <c r="AQ593" s="3" t="s">
        <v>58</v>
      </c>
      <c r="AS593" s="6" t="str">
        <f>HYPERLINK("https://creighton-primo.hosted.exlibrisgroup.com/primo-explore/search?tab=default_tab&amp;search_scope=EVERYTHING&amp;vid=01CRU&amp;lang=en_US&amp;offset=0&amp;query=any,contains,991004344459702656","Catalog Record")</f>
        <v>Catalog Record</v>
      </c>
      <c r="AT593" s="6" t="str">
        <f>HYPERLINK("http://www.worldcat.org/oclc/54865179","WorldCat Record")</f>
        <v>WorldCat Record</v>
      </c>
      <c r="AU593" s="3" t="s">
        <v>7863</v>
      </c>
      <c r="AV593" s="3" t="s">
        <v>7864</v>
      </c>
      <c r="AW593" s="3" t="s">
        <v>7865</v>
      </c>
      <c r="AX593" s="3" t="s">
        <v>7865</v>
      </c>
      <c r="AY593" s="3" t="s">
        <v>7866</v>
      </c>
      <c r="AZ593" s="3" t="s">
        <v>74</v>
      </c>
      <c r="BB593" s="3" t="s">
        <v>7867</v>
      </c>
      <c r="BC593" s="3" t="s">
        <v>7868</v>
      </c>
      <c r="BD593" s="3" t="s">
        <v>7869</v>
      </c>
    </row>
    <row r="594" spans="1:56" ht="45.75" customHeight="1" x14ac:dyDescent="0.25">
      <c r="A594" s="7" t="s">
        <v>58</v>
      </c>
      <c r="B594" s="2" t="s">
        <v>7870</v>
      </c>
      <c r="C594" s="2" t="s">
        <v>7871</v>
      </c>
      <c r="D594" s="2" t="s">
        <v>7872</v>
      </c>
      <c r="F594" s="3" t="s">
        <v>58</v>
      </c>
      <c r="G594" s="3" t="s">
        <v>59</v>
      </c>
      <c r="H594" s="3" t="s">
        <v>58</v>
      </c>
      <c r="I594" s="3" t="s">
        <v>58</v>
      </c>
      <c r="J594" s="3" t="s">
        <v>60</v>
      </c>
      <c r="K594" s="2" t="s">
        <v>7873</v>
      </c>
      <c r="L594" s="2" t="s">
        <v>7874</v>
      </c>
      <c r="M594" s="3" t="s">
        <v>1032</v>
      </c>
      <c r="N594" s="2" t="s">
        <v>543</v>
      </c>
      <c r="O594" s="3" t="s">
        <v>65</v>
      </c>
      <c r="P594" s="3" t="s">
        <v>4200</v>
      </c>
      <c r="R594" s="3" t="s">
        <v>67</v>
      </c>
      <c r="S594" s="4">
        <v>2</v>
      </c>
      <c r="T594" s="4">
        <v>2</v>
      </c>
      <c r="U594" s="5" t="s">
        <v>7100</v>
      </c>
      <c r="V594" s="5" t="s">
        <v>7100</v>
      </c>
      <c r="W594" s="5" t="s">
        <v>7875</v>
      </c>
      <c r="X594" s="5" t="s">
        <v>7875</v>
      </c>
      <c r="Y594" s="4">
        <v>93</v>
      </c>
      <c r="Z594" s="4">
        <v>81</v>
      </c>
      <c r="AA594" s="4">
        <v>81</v>
      </c>
      <c r="AB594" s="4">
        <v>1</v>
      </c>
      <c r="AC594" s="4">
        <v>1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0</v>
      </c>
      <c r="AJ594" s="4">
        <v>0</v>
      </c>
      <c r="AK594" s="4">
        <v>0</v>
      </c>
      <c r="AL594" s="4">
        <v>0</v>
      </c>
      <c r="AM594" s="4">
        <v>0</v>
      </c>
      <c r="AN594" s="4">
        <v>0</v>
      </c>
      <c r="AO594" s="4">
        <v>0</v>
      </c>
      <c r="AP594" s="3" t="s">
        <v>58</v>
      </c>
      <c r="AQ594" s="3" t="s">
        <v>58</v>
      </c>
      <c r="AS594" s="6" t="str">
        <f>HYPERLINK("https://creighton-primo.hosted.exlibrisgroup.com/primo-explore/search?tab=default_tab&amp;search_scope=EVERYTHING&amp;vid=01CRU&amp;lang=en_US&amp;offset=0&amp;query=any,contains,991005081249702656","Catalog Record")</f>
        <v>Catalog Record</v>
      </c>
      <c r="AT594" s="6" t="str">
        <f>HYPERLINK("http://www.worldcat.org/oclc/36330925","WorldCat Record")</f>
        <v>WorldCat Record</v>
      </c>
      <c r="AU594" s="3" t="s">
        <v>7876</v>
      </c>
      <c r="AV594" s="3" t="s">
        <v>7877</v>
      </c>
      <c r="AW594" s="3" t="s">
        <v>7878</v>
      </c>
      <c r="AX594" s="3" t="s">
        <v>7878</v>
      </c>
      <c r="AY594" s="3" t="s">
        <v>7879</v>
      </c>
      <c r="AZ594" s="3" t="s">
        <v>74</v>
      </c>
      <c r="BB594" s="3" t="s">
        <v>7880</v>
      </c>
      <c r="BC594" s="3" t="s">
        <v>7881</v>
      </c>
      <c r="BD594" s="3" t="s">
        <v>7882</v>
      </c>
    </row>
    <row r="595" spans="1:56" ht="45.75" customHeight="1" x14ac:dyDescent="0.25">
      <c r="A595" s="7" t="s">
        <v>58</v>
      </c>
      <c r="B595" s="2" t="s">
        <v>7883</v>
      </c>
      <c r="C595" s="2" t="s">
        <v>7884</v>
      </c>
      <c r="D595" s="2" t="s">
        <v>7885</v>
      </c>
      <c r="F595" s="3" t="s">
        <v>58</v>
      </c>
      <c r="G595" s="3" t="s">
        <v>59</v>
      </c>
      <c r="H595" s="3" t="s">
        <v>58</v>
      </c>
      <c r="I595" s="3" t="s">
        <v>58</v>
      </c>
      <c r="J595" s="3" t="s">
        <v>60</v>
      </c>
      <c r="K595" s="2" t="s">
        <v>7886</v>
      </c>
      <c r="L595" s="2" t="s">
        <v>7887</v>
      </c>
      <c r="M595" s="3" t="s">
        <v>867</v>
      </c>
      <c r="N595" s="2" t="s">
        <v>543</v>
      </c>
      <c r="O595" s="3" t="s">
        <v>65</v>
      </c>
      <c r="P595" s="3" t="s">
        <v>84</v>
      </c>
      <c r="R595" s="3" t="s">
        <v>67</v>
      </c>
      <c r="S595" s="4">
        <v>3</v>
      </c>
      <c r="T595" s="4">
        <v>3</v>
      </c>
      <c r="U595" s="5" t="s">
        <v>6912</v>
      </c>
      <c r="V595" s="5" t="s">
        <v>6912</v>
      </c>
      <c r="W595" s="5" t="s">
        <v>7888</v>
      </c>
      <c r="X595" s="5" t="s">
        <v>7888</v>
      </c>
      <c r="Y595" s="4">
        <v>510</v>
      </c>
      <c r="Z595" s="4">
        <v>492</v>
      </c>
      <c r="AA595" s="4">
        <v>494</v>
      </c>
      <c r="AB595" s="4">
        <v>3</v>
      </c>
      <c r="AC595" s="4">
        <v>3</v>
      </c>
      <c r="AD595" s="4">
        <v>19</v>
      </c>
      <c r="AE595" s="4">
        <v>19</v>
      </c>
      <c r="AF595" s="4">
        <v>5</v>
      </c>
      <c r="AG595" s="4">
        <v>5</v>
      </c>
      <c r="AH595" s="4">
        <v>4</v>
      </c>
      <c r="AI595" s="4">
        <v>4</v>
      </c>
      <c r="AJ595" s="4">
        <v>10</v>
      </c>
      <c r="AK595" s="4">
        <v>10</v>
      </c>
      <c r="AL595" s="4">
        <v>2</v>
      </c>
      <c r="AM595" s="4">
        <v>2</v>
      </c>
      <c r="AN595" s="4">
        <v>3</v>
      </c>
      <c r="AO595" s="4">
        <v>3</v>
      </c>
      <c r="AP595" s="3" t="s">
        <v>58</v>
      </c>
      <c r="AQ595" s="3" t="s">
        <v>58</v>
      </c>
      <c r="AS595" s="6" t="str">
        <f>HYPERLINK("https://creighton-primo.hosted.exlibrisgroup.com/primo-explore/search?tab=default_tab&amp;search_scope=EVERYTHING&amp;vid=01CRU&amp;lang=en_US&amp;offset=0&amp;query=any,contains,991002033199702656","Catalog Record")</f>
        <v>Catalog Record</v>
      </c>
      <c r="AT595" s="6" t="str">
        <f>HYPERLINK("http://www.worldcat.org/oclc/25877034","WorldCat Record")</f>
        <v>WorldCat Record</v>
      </c>
      <c r="AU595" s="3" t="s">
        <v>7889</v>
      </c>
      <c r="AV595" s="3" t="s">
        <v>7890</v>
      </c>
      <c r="AW595" s="3" t="s">
        <v>7891</v>
      </c>
      <c r="AX595" s="3" t="s">
        <v>7891</v>
      </c>
      <c r="AY595" s="3" t="s">
        <v>7892</v>
      </c>
      <c r="AZ595" s="3" t="s">
        <v>74</v>
      </c>
      <c r="BB595" s="3" t="s">
        <v>7893</v>
      </c>
      <c r="BC595" s="3" t="s">
        <v>7894</v>
      </c>
      <c r="BD595" s="3" t="s">
        <v>7895</v>
      </c>
    </row>
    <row r="596" spans="1:56" ht="45.75" customHeight="1" x14ac:dyDescent="0.25">
      <c r="A596" s="7" t="s">
        <v>58</v>
      </c>
      <c r="B596" s="2" t="s">
        <v>7896</v>
      </c>
      <c r="C596" s="2" t="s">
        <v>7897</v>
      </c>
      <c r="D596" s="2" t="s">
        <v>7898</v>
      </c>
      <c r="F596" s="3" t="s">
        <v>58</v>
      </c>
      <c r="G596" s="3" t="s">
        <v>59</v>
      </c>
      <c r="H596" s="3" t="s">
        <v>58</v>
      </c>
      <c r="I596" s="3" t="s">
        <v>58</v>
      </c>
      <c r="J596" s="3" t="s">
        <v>60</v>
      </c>
      <c r="K596" s="2" t="s">
        <v>7899</v>
      </c>
      <c r="L596" s="2" t="s">
        <v>7900</v>
      </c>
      <c r="M596" s="3" t="s">
        <v>248</v>
      </c>
      <c r="O596" s="3" t="s">
        <v>65</v>
      </c>
      <c r="P596" s="3" t="s">
        <v>175</v>
      </c>
      <c r="Q596" s="2" t="s">
        <v>7901</v>
      </c>
      <c r="R596" s="3" t="s">
        <v>67</v>
      </c>
      <c r="S596" s="4">
        <v>1</v>
      </c>
      <c r="T596" s="4">
        <v>1</v>
      </c>
      <c r="U596" s="5" t="s">
        <v>487</v>
      </c>
      <c r="V596" s="5" t="s">
        <v>487</v>
      </c>
      <c r="W596" s="5" t="s">
        <v>487</v>
      </c>
      <c r="X596" s="5" t="s">
        <v>487</v>
      </c>
      <c r="Y596" s="4">
        <v>197</v>
      </c>
      <c r="Z596" s="4">
        <v>132</v>
      </c>
      <c r="AA596" s="4">
        <v>488</v>
      </c>
      <c r="AB596" s="4">
        <v>1</v>
      </c>
      <c r="AC596" s="4">
        <v>3</v>
      </c>
      <c r="AD596" s="4">
        <v>6</v>
      </c>
      <c r="AE596" s="4">
        <v>9</v>
      </c>
      <c r="AF596" s="4">
        <v>2</v>
      </c>
      <c r="AG596" s="4">
        <v>3</v>
      </c>
      <c r="AH596" s="4">
        <v>2</v>
      </c>
      <c r="AI596" s="4">
        <v>2</v>
      </c>
      <c r="AJ596" s="4">
        <v>3</v>
      </c>
      <c r="AK596" s="4">
        <v>4</v>
      </c>
      <c r="AL596" s="4">
        <v>0</v>
      </c>
      <c r="AM596" s="4">
        <v>2</v>
      </c>
      <c r="AN596" s="4">
        <v>1</v>
      </c>
      <c r="AO596" s="4">
        <v>1</v>
      </c>
      <c r="AP596" s="3" t="s">
        <v>58</v>
      </c>
      <c r="AQ596" s="3" t="s">
        <v>58</v>
      </c>
      <c r="AS596" s="6" t="str">
        <f>HYPERLINK("https://creighton-primo.hosted.exlibrisgroup.com/primo-explore/search?tab=default_tab&amp;search_scope=EVERYTHING&amp;vid=01CRU&amp;lang=en_US&amp;offset=0&amp;query=any,contains,991005270269702656","Catalog Record")</f>
        <v>Catalog Record</v>
      </c>
      <c r="AT596" s="6" t="str">
        <f>HYPERLINK("http://www.worldcat.org/oclc/85833385","WorldCat Record")</f>
        <v>WorldCat Record</v>
      </c>
      <c r="AU596" s="3" t="s">
        <v>7902</v>
      </c>
      <c r="AV596" s="3" t="s">
        <v>7903</v>
      </c>
      <c r="AW596" s="3" t="s">
        <v>7904</v>
      </c>
      <c r="AX596" s="3" t="s">
        <v>7904</v>
      </c>
      <c r="AY596" s="3" t="s">
        <v>7905</v>
      </c>
      <c r="AZ596" s="3" t="s">
        <v>74</v>
      </c>
      <c r="BB596" s="3" t="s">
        <v>7906</v>
      </c>
      <c r="BC596" s="3" t="s">
        <v>7907</v>
      </c>
      <c r="BD596" s="3" t="s">
        <v>7908</v>
      </c>
    </row>
    <row r="597" spans="1:56" ht="45.75" customHeight="1" x14ac:dyDescent="0.25">
      <c r="A597" s="7" t="s">
        <v>58</v>
      </c>
      <c r="B597" s="2" t="s">
        <v>7909</v>
      </c>
      <c r="C597" s="2" t="s">
        <v>7910</v>
      </c>
      <c r="D597" s="2" t="s">
        <v>7911</v>
      </c>
      <c r="F597" s="3" t="s">
        <v>58</v>
      </c>
      <c r="G597" s="3" t="s">
        <v>59</v>
      </c>
      <c r="H597" s="3" t="s">
        <v>58</v>
      </c>
      <c r="I597" s="3" t="s">
        <v>58</v>
      </c>
      <c r="J597" s="3" t="s">
        <v>60</v>
      </c>
      <c r="K597" s="2" t="s">
        <v>7912</v>
      </c>
      <c r="L597" s="2" t="s">
        <v>7045</v>
      </c>
      <c r="M597" s="3" t="s">
        <v>147</v>
      </c>
      <c r="O597" s="3" t="s">
        <v>65</v>
      </c>
      <c r="P597" s="3" t="s">
        <v>84</v>
      </c>
      <c r="R597" s="3" t="s">
        <v>67</v>
      </c>
      <c r="S597" s="4">
        <v>10</v>
      </c>
      <c r="T597" s="4">
        <v>10</v>
      </c>
      <c r="U597" s="5" t="s">
        <v>7833</v>
      </c>
      <c r="V597" s="5" t="s">
        <v>7833</v>
      </c>
      <c r="W597" s="5" t="s">
        <v>7913</v>
      </c>
      <c r="X597" s="5" t="s">
        <v>7913</v>
      </c>
      <c r="Y597" s="4">
        <v>3054</v>
      </c>
      <c r="Z597" s="4">
        <v>2765</v>
      </c>
      <c r="AA597" s="4">
        <v>3016</v>
      </c>
      <c r="AB597" s="4">
        <v>25</v>
      </c>
      <c r="AC597" s="4">
        <v>26</v>
      </c>
      <c r="AD597" s="4">
        <v>54</v>
      </c>
      <c r="AE597" s="4">
        <v>55</v>
      </c>
      <c r="AF597" s="4">
        <v>22</v>
      </c>
      <c r="AG597" s="4">
        <v>23</v>
      </c>
      <c r="AH597" s="4">
        <v>8</v>
      </c>
      <c r="AI597" s="4">
        <v>8</v>
      </c>
      <c r="AJ597" s="4">
        <v>21</v>
      </c>
      <c r="AK597" s="4">
        <v>21</v>
      </c>
      <c r="AL597" s="4">
        <v>9</v>
      </c>
      <c r="AM597" s="4">
        <v>9</v>
      </c>
      <c r="AN597" s="4">
        <v>6</v>
      </c>
      <c r="AO597" s="4">
        <v>6</v>
      </c>
      <c r="AP597" s="3" t="s">
        <v>58</v>
      </c>
      <c r="AQ597" s="3" t="s">
        <v>58</v>
      </c>
      <c r="AS597" s="6" t="str">
        <f>HYPERLINK("https://creighton-primo.hosted.exlibrisgroup.com/primo-explore/search?tab=default_tab&amp;search_scope=EVERYTHING&amp;vid=01CRU&amp;lang=en_US&amp;offset=0&amp;query=any,contains,991004289659702656","Catalog Record")</f>
        <v>Catalog Record</v>
      </c>
      <c r="AT597" s="6" t="str">
        <f>HYPERLINK("http://www.worldcat.org/oclc/54534078","WorldCat Record")</f>
        <v>WorldCat Record</v>
      </c>
      <c r="AU597" s="3" t="s">
        <v>7914</v>
      </c>
      <c r="AV597" s="3" t="s">
        <v>7915</v>
      </c>
      <c r="AW597" s="3" t="s">
        <v>7916</v>
      </c>
      <c r="AX597" s="3" t="s">
        <v>7916</v>
      </c>
      <c r="AY597" s="3" t="s">
        <v>7917</v>
      </c>
      <c r="AZ597" s="3" t="s">
        <v>74</v>
      </c>
      <c r="BB597" s="3" t="s">
        <v>7918</v>
      </c>
      <c r="BC597" s="3" t="s">
        <v>7919</v>
      </c>
      <c r="BD597" s="3" t="s">
        <v>7920</v>
      </c>
    </row>
    <row r="598" spans="1:56" ht="45.75" customHeight="1" x14ac:dyDescent="0.25">
      <c r="A598" s="7" t="s">
        <v>58</v>
      </c>
      <c r="B598" s="2" t="s">
        <v>7921</v>
      </c>
      <c r="C598" s="2" t="s">
        <v>7922</v>
      </c>
      <c r="D598" s="2" t="s">
        <v>7923</v>
      </c>
      <c r="F598" s="3" t="s">
        <v>58</v>
      </c>
      <c r="G598" s="3" t="s">
        <v>59</v>
      </c>
      <c r="H598" s="3" t="s">
        <v>58</v>
      </c>
      <c r="I598" s="3" t="s">
        <v>58</v>
      </c>
      <c r="J598" s="3" t="s">
        <v>60</v>
      </c>
      <c r="K598" s="2" t="s">
        <v>7924</v>
      </c>
      <c r="L598" s="2" t="s">
        <v>7925</v>
      </c>
      <c r="M598" s="3" t="s">
        <v>248</v>
      </c>
      <c r="O598" s="3" t="s">
        <v>65</v>
      </c>
      <c r="P598" s="3" t="s">
        <v>84</v>
      </c>
      <c r="R598" s="3" t="s">
        <v>67</v>
      </c>
      <c r="S598" s="4">
        <v>1</v>
      </c>
      <c r="T598" s="4">
        <v>1</v>
      </c>
      <c r="U598" s="5" t="s">
        <v>487</v>
      </c>
      <c r="V598" s="5" t="s">
        <v>487</v>
      </c>
      <c r="W598" s="5" t="s">
        <v>487</v>
      </c>
      <c r="X598" s="5" t="s">
        <v>487</v>
      </c>
      <c r="Y598" s="4">
        <v>768</v>
      </c>
      <c r="Z598" s="4">
        <v>713</v>
      </c>
      <c r="AA598" s="4">
        <v>723</v>
      </c>
      <c r="AB598" s="4">
        <v>6</v>
      </c>
      <c r="AC598" s="4">
        <v>6</v>
      </c>
      <c r="AD598" s="4">
        <v>29</v>
      </c>
      <c r="AE598" s="4">
        <v>30</v>
      </c>
      <c r="AF598" s="4">
        <v>12</v>
      </c>
      <c r="AG598" s="4">
        <v>12</v>
      </c>
      <c r="AH598" s="4">
        <v>2</v>
      </c>
      <c r="AI598" s="4">
        <v>2</v>
      </c>
      <c r="AJ598" s="4">
        <v>14</v>
      </c>
      <c r="AK598" s="4">
        <v>15</v>
      </c>
      <c r="AL598" s="4">
        <v>4</v>
      </c>
      <c r="AM598" s="4">
        <v>4</v>
      </c>
      <c r="AN598" s="4">
        <v>5</v>
      </c>
      <c r="AO598" s="4">
        <v>5</v>
      </c>
      <c r="AP598" s="3" t="s">
        <v>58</v>
      </c>
      <c r="AQ598" s="3" t="s">
        <v>58</v>
      </c>
      <c r="AS598" s="6" t="str">
        <f>HYPERLINK("https://creighton-primo.hosted.exlibrisgroup.com/primo-explore/search?tab=default_tab&amp;search_scope=EVERYTHING&amp;vid=01CRU&amp;lang=en_US&amp;offset=0&amp;query=any,contains,991005270249702656","Catalog Record")</f>
        <v>Catalog Record</v>
      </c>
      <c r="AT598" s="6" t="str">
        <f>HYPERLINK("http://www.worldcat.org/oclc/79003580","WorldCat Record")</f>
        <v>WorldCat Record</v>
      </c>
      <c r="AU598" s="3" t="s">
        <v>7926</v>
      </c>
      <c r="AV598" s="3" t="s">
        <v>7927</v>
      </c>
      <c r="AW598" s="3" t="s">
        <v>7928</v>
      </c>
      <c r="AX598" s="3" t="s">
        <v>7928</v>
      </c>
      <c r="AY598" s="3" t="s">
        <v>7929</v>
      </c>
      <c r="AZ598" s="3" t="s">
        <v>74</v>
      </c>
      <c r="BB598" s="3" t="s">
        <v>7930</v>
      </c>
      <c r="BC598" s="3" t="s">
        <v>7931</v>
      </c>
      <c r="BD598" s="3" t="s">
        <v>7932</v>
      </c>
    </row>
    <row r="599" spans="1:56" ht="45.75" customHeight="1" x14ac:dyDescent="0.25">
      <c r="A599" s="7" t="s">
        <v>58</v>
      </c>
      <c r="B599" s="2" t="s">
        <v>7933</v>
      </c>
      <c r="C599" s="2" t="s">
        <v>7934</v>
      </c>
      <c r="D599" s="2" t="s">
        <v>7935</v>
      </c>
      <c r="F599" s="3" t="s">
        <v>58</v>
      </c>
      <c r="G599" s="3" t="s">
        <v>59</v>
      </c>
      <c r="H599" s="3" t="s">
        <v>58</v>
      </c>
      <c r="I599" s="3" t="s">
        <v>58</v>
      </c>
      <c r="J599" s="3" t="s">
        <v>60</v>
      </c>
      <c r="K599" s="2" t="s">
        <v>7936</v>
      </c>
      <c r="L599" s="2" t="s">
        <v>7937</v>
      </c>
      <c r="M599" s="3" t="s">
        <v>573</v>
      </c>
      <c r="O599" s="3" t="s">
        <v>65</v>
      </c>
      <c r="P599" s="3" t="s">
        <v>66</v>
      </c>
      <c r="R599" s="3" t="s">
        <v>67</v>
      </c>
      <c r="S599" s="4">
        <v>4</v>
      </c>
      <c r="T599" s="4">
        <v>4</v>
      </c>
      <c r="U599" s="5" t="s">
        <v>3750</v>
      </c>
      <c r="V599" s="5" t="s">
        <v>3750</v>
      </c>
      <c r="W599" s="5" t="s">
        <v>7938</v>
      </c>
      <c r="X599" s="5" t="s">
        <v>7938</v>
      </c>
      <c r="Y599" s="4">
        <v>773</v>
      </c>
      <c r="Z599" s="4">
        <v>725</v>
      </c>
      <c r="AA599" s="4">
        <v>1648</v>
      </c>
      <c r="AB599" s="4">
        <v>8</v>
      </c>
      <c r="AC599" s="4">
        <v>32</v>
      </c>
      <c r="AD599" s="4">
        <v>15</v>
      </c>
      <c r="AE599" s="4">
        <v>35</v>
      </c>
      <c r="AF599" s="4">
        <v>2</v>
      </c>
      <c r="AG599" s="4">
        <v>8</v>
      </c>
      <c r="AH599" s="4">
        <v>4</v>
      </c>
      <c r="AI599" s="4">
        <v>5</v>
      </c>
      <c r="AJ599" s="4">
        <v>7</v>
      </c>
      <c r="AK599" s="4">
        <v>11</v>
      </c>
      <c r="AL599" s="4">
        <v>3</v>
      </c>
      <c r="AM599" s="4">
        <v>14</v>
      </c>
      <c r="AN599" s="4">
        <v>2</v>
      </c>
      <c r="AO599" s="4">
        <v>2</v>
      </c>
      <c r="AP599" s="3" t="s">
        <v>58</v>
      </c>
      <c r="AQ599" s="3" t="s">
        <v>58</v>
      </c>
      <c r="AS599" s="6" t="str">
        <f>HYPERLINK("https://creighton-primo.hosted.exlibrisgroup.com/primo-explore/search?tab=default_tab&amp;search_scope=EVERYTHING&amp;vid=01CRU&amp;lang=en_US&amp;offset=0&amp;query=any,contains,991004185789702656","Catalog Record")</f>
        <v>Catalog Record</v>
      </c>
      <c r="AT599" s="6" t="str">
        <f>HYPERLINK("http://www.worldcat.org/oclc/52575719","WorldCat Record")</f>
        <v>WorldCat Record</v>
      </c>
      <c r="AU599" s="3" t="s">
        <v>7939</v>
      </c>
      <c r="AV599" s="3" t="s">
        <v>7940</v>
      </c>
      <c r="AW599" s="3" t="s">
        <v>7941</v>
      </c>
      <c r="AX599" s="3" t="s">
        <v>7941</v>
      </c>
      <c r="AY599" s="3" t="s">
        <v>7942</v>
      </c>
      <c r="AZ599" s="3" t="s">
        <v>74</v>
      </c>
      <c r="BB599" s="3" t="s">
        <v>7943</v>
      </c>
      <c r="BC599" s="3" t="s">
        <v>7944</v>
      </c>
      <c r="BD599" s="3" t="s">
        <v>7945</v>
      </c>
    </row>
    <row r="600" spans="1:56" ht="45.75" customHeight="1" x14ac:dyDescent="0.25">
      <c r="A600" s="7" t="s">
        <v>58</v>
      </c>
      <c r="B600" s="2" t="s">
        <v>7946</v>
      </c>
      <c r="C600" s="2" t="s">
        <v>7947</v>
      </c>
      <c r="D600" s="2" t="s">
        <v>7948</v>
      </c>
      <c r="F600" s="3" t="s">
        <v>58</v>
      </c>
      <c r="G600" s="3" t="s">
        <v>59</v>
      </c>
      <c r="H600" s="3" t="s">
        <v>58</v>
      </c>
      <c r="I600" s="3" t="s">
        <v>58</v>
      </c>
      <c r="J600" s="3" t="s">
        <v>60</v>
      </c>
      <c r="K600" s="2" t="s">
        <v>7949</v>
      </c>
      <c r="L600" s="2" t="s">
        <v>7950</v>
      </c>
      <c r="M600" s="3" t="s">
        <v>147</v>
      </c>
      <c r="O600" s="3" t="s">
        <v>65</v>
      </c>
      <c r="P600" s="3" t="s">
        <v>84</v>
      </c>
      <c r="R600" s="3" t="s">
        <v>67</v>
      </c>
      <c r="S600" s="4">
        <v>3</v>
      </c>
      <c r="T600" s="4">
        <v>3</v>
      </c>
      <c r="U600" s="5" t="s">
        <v>7833</v>
      </c>
      <c r="V600" s="5" t="s">
        <v>7833</v>
      </c>
      <c r="W600" s="5" t="s">
        <v>7951</v>
      </c>
      <c r="X600" s="5" t="s">
        <v>7951</v>
      </c>
      <c r="Y600" s="4">
        <v>710</v>
      </c>
      <c r="Z600" s="4">
        <v>685</v>
      </c>
      <c r="AA600" s="4">
        <v>1142</v>
      </c>
      <c r="AB600" s="4">
        <v>8</v>
      </c>
      <c r="AC600" s="4">
        <v>34</v>
      </c>
      <c r="AD600" s="4">
        <v>13</v>
      </c>
      <c r="AE600" s="4">
        <v>24</v>
      </c>
      <c r="AF600" s="4">
        <v>4</v>
      </c>
      <c r="AG600" s="4">
        <v>7</v>
      </c>
      <c r="AH600" s="4">
        <v>2</v>
      </c>
      <c r="AI600" s="4">
        <v>2</v>
      </c>
      <c r="AJ600" s="4">
        <v>9</v>
      </c>
      <c r="AK600" s="4">
        <v>10</v>
      </c>
      <c r="AL600" s="4">
        <v>2</v>
      </c>
      <c r="AM600" s="4">
        <v>9</v>
      </c>
      <c r="AN600" s="4">
        <v>0</v>
      </c>
      <c r="AO600" s="4">
        <v>0</v>
      </c>
      <c r="AP600" s="3" t="s">
        <v>58</v>
      </c>
      <c r="AQ600" s="3" t="s">
        <v>58</v>
      </c>
      <c r="AS600" s="6" t="str">
        <f>HYPERLINK("https://creighton-primo.hosted.exlibrisgroup.com/primo-explore/search?tab=default_tab&amp;search_scope=EVERYTHING&amp;vid=01CRU&amp;lang=en_US&amp;offset=0&amp;query=any,contains,991004286499702656","Catalog Record")</f>
        <v>Catalog Record</v>
      </c>
      <c r="AT600" s="6" t="str">
        <f>HYPERLINK("http://www.worldcat.org/oclc/55495392","WorldCat Record")</f>
        <v>WorldCat Record</v>
      </c>
      <c r="AU600" s="3" t="s">
        <v>7952</v>
      </c>
      <c r="AV600" s="3" t="s">
        <v>7953</v>
      </c>
      <c r="AW600" s="3" t="s">
        <v>7954</v>
      </c>
      <c r="AX600" s="3" t="s">
        <v>7954</v>
      </c>
      <c r="AY600" s="3" t="s">
        <v>7955</v>
      </c>
      <c r="AZ600" s="3" t="s">
        <v>74</v>
      </c>
      <c r="BB600" s="3" t="s">
        <v>7956</v>
      </c>
      <c r="BC600" s="3" t="s">
        <v>7957</v>
      </c>
      <c r="BD600" s="3" t="s">
        <v>7958</v>
      </c>
    </row>
    <row r="601" spans="1:56" ht="45.75" customHeight="1" x14ac:dyDescent="0.25">
      <c r="A601" s="7" t="s">
        <v>58</v>
      </c>
      <c r="B601" s="2" t="s">
        <v>7959</v>
      </c>
      <c r="C601" s="2" t="s">
        <v>7960</v>
      </c>
      <c r="D601" s="2" t="s">
        <v>7961</v>
      </c>
      <c r="F601" s="3" t="s">
        <v>58</v>
      </c>
      <c r="G601" s="3" t="s">
        <v>59</v>
      </c>
      <c r="H601" s="3" t="s">
        <v>58</v>
      </c>
      <c r="I601" s="3" t="s">
        <v>58</v>
      </c>
      <c r="J601" s="3" t="s">
        <v>60</v>
      </c>
      <c r="K601" s="2" t="s">
        <v>7962</v>
      </c>
      <c r="L601" s="2" t="s">
        <v>7963</v>
      </c>
      <c r="M601" s="3" t="s">
        <v>573</v>
      </c>
      <c r="O601" s="3" t="s">
        <v>65</v>
      </c>
      <c r="P601" s="3" t="s">
        <v>772</v>
      </c>
      <c r="R601" s="3" t="s">
        <v>67</v>
      </c>
      <c r="S601" s="4">
        <v>4</v>
      </c>
      <c r="T601" s="4">
        <v>4</v>
      </c>
      <c r="U601" s="5" t="s">
        <v>7833</v>
      </c>
      <c r="V601" s="5" t="s">
        <v>7833</v>
      </c>
      <c r="W601" s="5" t="s">
        <v>7033</v>
      </c>
      <c r="X601" s="5" t="s">
        <v>7033</v>
      </c>
      <c r="Y601" s="4">
        <v>453</v>
      </c>
      <c r="Z601" s="4">
        <v>383</v>
      </c>
      <c r="AA601" s="4">
        <v>389</v>
      </c>
      <c r="AB601" s="4">
        <v>2</v>
      </c>
      <c r="AC601" s="4">
        <v>2</v>
      </c>
      <c r="AD601" s="4">
        <v>16</v>
      </c>
      <c r="AE601" s="4">
        <v>16</v>
      </c>
      <c r="AF601" s="4">
        <v>4</v>
      </c>
      <c r="AG601" s="4">
        <v>4</v>
      </c>
      <c r="AH601" s="4">
        <v>5</v>
      </c>
      <c r="AI601" s="4">
        <v>5</v>
      </c>
      <c r="AJ601" s="4">
        <v>9</v>
      </c>
      <c r="AK601" s="4">
        <v>9</v>
      </c>
      <c r="AL601" s="4">
        <v>1</v>
      </c>
      <c r="AM601" s="4">
        <v>1</v>
      </c>
      <c r="AN601" s="4">
        <v>3</v>
      </c>
      <c r="AO601" s="4">
        <v>3</v>
      </c>
      <c r="AP601" s="3" t="s">
        <v>58</v>
      </c>
      <c r="AQ601" s="3" t="s">
        <v>58</v>
      </c>
      <c r="AS601" s="6" t="str">
        <f>HYPERLINK("https://creighton-primo.hosted.exlibrisgroup.com/primo-explore/search?tab=default_tab&amp;search_scope=EVERYTHING&amp;vid=01CRU&amp;lang=en_US&amp;offset=0&amp;query=any,contains,991004461959702656","Catalog Record")</f>
        <v>Catalog Record</v>
      </c>
      <c r="AT601" s="6" t="str">
        <f>HYPERLINK("http://www.worldcat.org/oclc/51446753","WorldCat Record")</f>
        <v>WorldCat Record</v>
      </c>
      <c r="AU601" s="3" t="s">
        <v>7964</v>
      </c>
      <c r="AV601" s="3" t="s">
        <v>7965</v>
      </c>
      <c r="AW601" s="3" t="s">
        <v>7966</v>
      </c>
      <c r="AX601" s="3" t="s">
        <v>7966</v>
      </c>
      <c r="AY601" s="3" t="s">
        <v>7967</v>
      </c>
      <c r="AZ601" s="3" t="s">
        <v>74</v>
      </c>
      <c r="BB601" s="3" t="s">
        <v>7968</v>
      </c>
      <c r="BC601" s="3" t="s">
        <v>7969</v>
      </c>
      <c r="BD601" s="3" t="s">
        <v>7970</v>
      </c>
    </row>
    <row r="602" spans="1:56" ht="45.75" customHeight="1" x14ac:dyDescent="0.25">
      <c r="A602" s="7" t="s">
        <v>58</v>
      </c>
      <c r="B602" s="2" t="s">
        <v>7971</v>
      </c>
      <c r="C602" s="2" t="s">
        <v>7972</v>
      </c>
      <c r="D602" s="2" t="s">
        <v>7973</v>
      </c>
      <c r="F602" s="3" t="s">
        <v>58</v>
      </c>
      <c r="G602" s="3" t="s">
        <v>59</v>
      </c>
      <c r="H602" s="3" t="s">
        <v>58</v>
      </c>
      <c r="I602" s="3" t="s">
        <v>58</v>
      </c>
      <c r="J602" s="3" t="s">
        <v>60</v>
      </c>
      <c r="K602" s="2" t="s">
        <v>7974</v>
      </c>
      <c r="L602" s="2" t="s">
        <v>7975</v>
      </c>
      <c r="M602" s="3" t="s">
        <v>203</v>
      </c>
      <c r="N602" s="2" t="s">
        <v>543</v>
      </c>
      <c r="O602" s="3" t="s">
        <v>65</v>
      </c>
      <c r="P602" s="3" t="s">
        <v>84</v>
      </c>
      <c r="R602" s="3" t="s">
        <v>67</v>
      </c>
      <c r="S602" s="4">
        <v>52</v>
      </c>
      <c r="T602" s="4">
        <v>52</v>
      </c>
      <c r="U602" s="5" t="s">
        <v>7976</v>
      </c>
      <c r="V602" s="5" t="s">
        <v>7976</v>
      </c>
      <c r="W602" s="5" t="s">
        <v>7977</v>
      </c>
      <c r="X602" s="5" t="s">
        <v>7977</v>
      </c>
      <c r="Y602" s="4">
        <v>2410</v>
      </c>
      <c r="Z602" s="4">
        <v>2266</v>
      </c>
      <c r="AA602" s="4">
        <v>2378</v>
      </c>
      <c r="AB602" s="4">
        <v>23</v>
      </c>
      <c r="AC602" s="4">
        <v>25</v>
      </c>
      <c r="AD602" s="4">
        <v>45</v>
      </c>
      <c r="AE602" s="4">
        <v>46</v>
      </c>
      <c r="AF602" s="4">
        <v>20</v>
      </c>
      <c r="AG602" s="4">
        <v>20</v>
      </c>
      <c r="AH602" s="4">
        <v>9</v>
      </c>
      <c r="AI602" s="4">
        <v>9</v>
      </c>
      <c r="AJ602" s="4">
        <v>15</v>
      </c>
      <c r="AK602" s="4">
        <v>16</v>
      </c>
      <c r="AL602" s="4">
        <v>6</v>
      </c>
      <c r="AM602" s="4">
        <v>6</v>
      </c>
      <c r="AN602" s="4">
        <v>2</v>
      </c>
      <c r="AO602" s="4">
        <v>2</v>
      </c>
      <c r="AP602" s="3" t="s">
        <v>58</v>
      </c>
      <c r="AQ602" s="3" t="s">
        <v>58</v>
      </c>
      <c r="AS602" s="6" t="str">
        <f>HYPERLINK("https://creighton-primo.hosted.exlibrisgroup.com/primo-explore/search?tab=default_tab&amp;search_scope=EVERYTHING&amp;vid=01CRU&amp;lang=en_US&amp;offset=0&amp;query=any,contains,991003885879702656","Catalog Record")</f>
        <v>Catalog Record</v>
      </c>
      <c r="AT602" s="6" t="str">
        <f>HYPERLINK("http://www.worldcat.org/oclc/49952298","WorldCat Record")</f>
        <v>WorldCat Record</v>
      </c>
      <c r="AU602" s="3" t="s">
        <v>7978</v>
      </c>
      <c r="AV602" s="3" t="s">
        <v>7979</v>
      </c>
      <c r="AW602" s="3" t="s">
        <v>7980</v>
      </c>
      <c r="AX602" s="3" t="s">
        <v>7980</v>
      </c>
      <c r="AY602" s="3" t="s">
        <v>7981</v>
      </c>
      <c r="AZ602" s="3" t="s">
        <v>74</v>
      </c>
      <c r="BB602" s="3" t="s">
        <v>7982</v>
      </c>
      <c r="BC602" s="3" t="s">
        <v>7983</v>
      </c>
      <c r="BD602" s="3" t="s">
        <v>7984</v>
      </c>
    </row>
    <row r="603" spans="1:56" ht="45.75" customHeight="1" x14ac:dyDescent="0.25">
      <c r="A603" s="7" t="s">
        <v>58</v>
      </c>
      <c r="B603" s="2" t="s">
        <v>7985</v>
      </c>
      <c r="C603" s="2" t="s">
        <v>7986</v>
      </c>
      <c r="D603" s="2" t="s">
        <v>7987</v>
      </c>
      <c r="F603" s="3" t="s">
        <v>58</v>
      </c>
      <c r="G603" s="3" t="s">
        <v>59</v>
      </c>
      <c r="H603" s="3" t="s">
        <v>58</v>
      </c>
      <c r="I603" s="3" t="s">
        <v>58</v>
      </c>
      <c r="J603" s="3" t="s">
        <v>60</v>
      </c>
      <c r="K603" s="2" t="s">
        <v>7988</v>
      </c>
      <c r="L603" s="2" t="s">
        <v>7989</v>
      </c>
      <c r="M603" s="3" t="s">
        <v>203</v>
      </c>
      <c r="N603" s="2" t="s">
        <v>543</v>
      </c>
      <c r="O603" s="3" t="s">
        <v>65</v>
      </c>
      <c r="P603" s="3" t="s">
        <v>84</v>
      </c>
      <c r="R603" s="3" t="s">
        <v>67</v>
      </c>
      <c r="S603" s="4">
        <v>2</v>
      </c>
      <c r="T603" s="4">
        <v>2</v>
      </c>
      <c r="U603" s="5" t="s">
        <v>7990</v>
      </c>
      <c r="V603" s="5" t="s">
        <v>7990</v>
      </c>
      <c r="W603" s="5" t="s">
        <v>7991</v>
      </c>
      <c r="X603" s="5" t="s">
        <v>7991</v>
      </c>
      <c r="Y603" s="4">
        <v>1947</v>
      </c>
      <c r="Z603" s="4">
        <v>1899</v>
      </c>
      <c r="AA603" s="4">
        <v>2043</v>
      </c>
      <c r="AB603" s="4">
        <v>32</v>
      </c>
      <c r="AC603" s="4">
        <v>33</v>
      </c>
      <c r="AD603" s="4">
        <v>30</v>
      </c>
      <c r="AE603" s="4">
        <v>31</v>
      </c>
      <c r="AF603" s="4">
        <v>11</v>
      </c>
      <c r="AG603" s="4">
        <v>11</v>
      </c>
      <c r="AH603" s="4">
        <v>5</v>
      </c>
      <c r="AI603" s="4">
        <v>5</v>
      </c>
      <c r="AJ603" s="4">
        <v>11</v>
      </c>
      <c r="AK603" s="4">
        <v>11</v>
      </c>
      <c r="AL603" s="4">
        <v>6</v>
      </c>
      <c r="AM603" s="4">
        <v>7</v>
      </c>
      <c r="AN603" s="4">
        <v>1</v>
      </c>
      <c r="AO603" s="4">
        <v>1</v>
      </c>
      <c r="AP603" s="3" t="s">
        <v>58</v>
      </c>
      <c r="AQ603" s="3" t="s">
        <v>58</v>
      </c>
      <c r="AS603" s="6" t="str">
        <f>HYPERLINK("https://creighton-primo.hosted.exlibrisgroup.com/primo-explore/search?tab=default_tab&amp;search_scope=EVERYTHING&amp;vid=01CRU&amp;lang=en_US&amp;offset=0&amp;query=any,contains,991003819589702656","Catalog Record")</f>
        <v>Catalog Record</v>
      </c>
      <c r="AT603" s="6" t="str">
        <f>HYPERLINK("http://www.worldcat.org/oclc/49763062","WorldCat Record")</f>
        <v>WorldCat Record</v>
      </c>
      <c r="AU603" s="3" t="s">
        <v>7992</v>
      </c>
      <c r="AV603" s="3" t="s">
        <v>7993</v>
      </c>
      <c r="AW603" s="3" t="s">
        <v>7994</v>
      </c>
      <c r="AX603" s="3" t="s">
        <v>7994</v>
      </c>
      <c r="AY603" s="3" t="s">
        <v>7995</v>
      </c>
      <c r="AZ603" s="3" t="s">
        <v>74</v>
      </c>
      <c r="BB603" s="3" t="s">
        <v>7996</v>
      </c>
      <c r="BC603" s="3" t="s">
        <v>7997</v>
      </c>
      <c r="BD603" s="3" t="s">
        <v>7998</v>
      </c>
    </row>
    <row r="604" spans="1:56" ht="45.75" customHeight="1" x14ac:dyDescent="0.25">
      <c r="A604" s="7" t="s">
        <v>58</v>
      </c>
      <c r="B604" s="2" t="s">
        <v>7999</v>
      </c>
      <c r="C604" s="2" t="s">
        <v>8000</v>
      </c>
      <c r="D604" s="2" t="s">
        <v>8001</v>
      </c>
      <c r="F604" s="3" t="s">
        <v>58</v>
      </c>
      <c r="G604" s="3" t="s">
        <v>59</v>
      </c>
      <c r="H604" s="3" t="s">
        <v>58</v>
      </c>
      <c r="I604" s="3" t="s">
        <v>58</v>
      </c>
      <c r="J604" s="3" t="s">
        <v>60</v>
      </c>
      <c r="K604" s="2" t="s">
        <v>8002</v>
      </c>
      <c r="L604" s="2" t="s">
        <v>8003</v>
      </c>
      <c r="M604" s="3" t="s">
        <v>203</v>
      </c>
      <c r="O604" s="3" t="s">
        <v>65</v>
      </c>
      <c r="P604" s="3" t="s">
        <v>175</v>
      </c>
      <c r="R604" s="3" t="s">
        <v>67</v>
      </c>
      <c r="S604" s="4">
        <v>3</v>
      </c>
      <c r="T604" s="4">
        <v>3</v>
      </c>
      <c r="U604" s="5" t="s">
        <v>8004</v>
      </c>
      <c r="V604" s="5" t="s">
        <v>8004</v>
      </c>
      <c r="W604" s="5" t="s">
        <v>8005</v>
      </c>
      <c r="X604" s="5" t="s">
        <v>8005</v>
      </c>
      <c r="Y604" s="4">
        <v>663</v>
      </c>
      <c r="Z604" s="4">
        <v>547</v>
      </c>
      <c r="AA604" s="4">
        <v>710</v>
      </c>
      <c r="AB604" s="4">
        <v>5</v>
      </c>
      <c r="AC604" s="4">
        <v>6</v>
      </c>
      <c r="AD604" s="4">
        <v>27</v>
      </c>
      <c r="AE604" s="4">
        <v>34</v>
      </c>
      <c r="AF604" s="4">
        <v>12</v>
      </c>
      <c r="AG604" s="4">
        <v>14</v>
      </c>
      <c r="AH604" s="4">
        <v>5</v>
      </c>
      <c r="AI604" s="4">
        <v>8</v>
      </c>
      <c r="AJ604" s="4">
        <v>12</v>
      </c>
      <c r="AK604" s="4">
        <v>14</v>
      </c>
      <c r="AL604" s="4">
        <v>3</v>
      </c>
      <c r="AM604" s="4">
        <v>4</v>
      </c>
      <c r="AN604" s="4">
        <v>1</v>
      </c>
      <c r="AO604" s="4">
        <v>1</v>
      </c>
      <c r="AP604" s="3" t="s">
        <v>58</v>
      </c>
      <c r="AQ604" s="3" t="s">
        <v>58</v>
      </c>
      <c r="AS604" s="6" t="str">
        <f>HYPERLINK("https://creighton-primo.hosted.exlibrisgroup.com/primo-explore/search?tab=default_tab&amp;search_scope=EVERYTHING&amp;vid=01CRU&amp;lang=en_US&amp;offset=0&amp;query=any,contains,991003885089702656","Catalog Record")</f>
        <v>Catalog Record</v>
      </c>
      <c r="AT604" s="6" t="str">
        <f>HYPERLINK("http://www.worldcat.org/oclc/48194650","WorldCat Record")</f>
        <v>WorldCat Record</v>
      </c>
      <c r="AU604" s="3" t="s">
        <v>8006</v>
      </c>
      <c r="AV604" s="3" t="s">
        <v>8007</v>
      </c>
      <c r="AW604" s="3" t="s">
        <v>8008</v>
      </c>
      <c r="AX604" s="3" t="s">
        <v>8008</v>
      </c>
      <c r="AY604" s="3" t="s">
        <v>8009</v>
      </c>
      <c r="AZ604" s="3" t="s">
        <v>74</v>
      </c>
      <c r="BB604" s="3" t="s">
        <v>8010</v>
      </c>
      <c r="BC604" s="3" t="s">
        <v>8011</v>
      </c>
      <c r="BD604" s="3" t="s">
        <v>8012</v>
      </c>
    </row>
    <row r="605" spans="1:56" ht="45.75" customHeight="1" x14ac:dyDescent="0.25">
      <c r="A605" s="7" t="s">
        <v>58</v>
      </c>
      <c r="B605" s="2" t="s">
        <v>8013</v>
      </c>
      <c r="C605" s="2" t="s">
        <v>8014</v>
      </c>
      <c r="D605" s="2" t="s">
        <v>8015</v>
      </c>
      <c r="F605" s="3" t="s">
        <v>58</v>
      </c>
      <c r="G605" s="3" t="s">
        <v>59</v>
      </c>
      <c r="H605" s="3" t="s">
        <v>58</v>
      </c>
      <c r="I605" s="3" t="s">
        <v>58</v>
      </c>
      <c r="J605" s="3" t="s">
        <v>60</v>
      </c>
      <c r="K605" s="2" t="s">
        <v>7258</v>
      </c>
      <c r="L605" s="2" t="s">
        <v>8016</v>
      </c>
      <c r="M605" s="3" t="s">
        <v>1032</v>
      </c>
      <c r="O605" s="3" t="s">
        <v>65</v>
      </c>
      <c r="P605" s="3" t="s">
        <v>148</v>
      </c>
      <c r="R605" s="3" t="s">
        <v>67</v>
      </c>
      <c r="S605" s="4">
        <v>6</v>
      </c>
      <c r="T605" s="4">
        <v>6</v>
      </c>
      <c r="U605" s="5" t="s">
        <v>7100</v>
      </c>
      <c r="V605" s="5" t="s">
        <v>7100</v>
      </c>
      <c r="W605" s="5" t="s">
        <v>8017</v>
      </c>
      <c r="X605" s="5" t="s">
        <v>8017</v>
      </c>
      <c r="Y605" s="4">
        <v>880</v>
      </c>
      <c r="Z605" s="4">
        <v>836</v>
      </c>
      <c r="AA605" s="4">
        <v>838</v>
      </c>
      <c r="AB605" s="4">
        <v>4</v>
      </c>
      <c r="AC605" s="4">
        <v>4</v>
      </c>
      <c r="AD605" s="4">
        <v>30</v>
      </c>
      <c r="AE605" s="4">
        <v>30</v>
      </c>
      <c r="AF605" s="4">
        <v>10</v>
      </c>
      <c r="AG605" s="4">
        <v>10</v>
      </c>
      <c r="AH605" s="4">
        <v>5</v>
      </c>
      <c r="AI605" s="4">
        <v>5</v>
      </c>
      <c r="AJ605" s="4">
        <v>15</v>
      </c>
      <c r="AK605" s="4">
        <v>15</v>
      </c>
      <c r="AL605" s="4">
        <v>3</v>
      </c>
      <c r="AM605" s="4">
        <v>3</v>
      </c>
      <c r="AN605" s="4">
        <v>5</v>
      </c>
      <c r="AO605" s="4">
        <v>5</v>
      </c>
      <c r="AP605" s="3" t="s">
        <v>58</v>
      </c>
      <c r="AQ605" s="3" t="s">
        <v>87</v>
      </c>
      <c r="AR605" s="6" t="str">
        <f>HYPERLINK("http://catalog.hathitrust.org/Record/003146462","HathiTrust Record")</f>
        <v>HathiTrust Record</v>
      </c>
      <c r="AS605" s="6" t="str">
        <f>HYPERLINK("https://creighton-primo.hosted.exlibrisgroup.com/primo-explore/search?tab=default_tab&amp;search_scope=EVERYTHING&amp;vid=01CRU&amp;lang=en_US&amp;offset=0&amp;query=any,contains,991002752119702656","Catalog Record")</f>
        <v>Catalog Record</v>
      </c>
      <c r="AT605" s="6" t="str">
        <f>HYPERLINK("http://www.worldcat.org/oclc/36112185","WorldCat Record")</f>
        <v>WorldCat Record</v>
      </c>
      <c r="AU605" s="3" t="s">
        <v>8018</v>
      </c>
      <c r="AV605" s="3" t="s">
        <v>8019</v>
      </c>
      <c r="AW605" s="3" t="s">
        <v>8020</v>
      </c>
      <c r="AX605" s="3" t="s">
        <v>8020</v>
      </c>
      <c r="AY605" s="3" t="s">
        <v>8021</v>
      </c>
      <c r="AZ605" s="3" t="s">
        <v>74</v>
      </c>
      <c r="BB605" s="3" t="s">
        <v>8022</v>
      </c>
      <c r="BC605" s="3" t="s">
        <v>8023</v>
      </c>
      <c r="BD605" s="3" t="s">
        <v>8024</v>
      </c>
    </row>
    <row r="606" spans="1:56" ht="45.75" customHeight="1" x14ac:dyDescent="0.25">
      <c r="A606" s="7" t="s">
        <v>58</v>
      </c>
      <c r="B606" s="2" t="s">
        <v>8025</v>
      </c>
      <c r="C606" s="2" t="s">
        <v>8026</v>
      </c>
      <c r="D606" s="2" t="s">
        <v>8027</v>
      </c>
      <c r="F606" s="3" t="s">
        <v>58</v>
      </c>
      <c r="G606" s="3" t="s">
        <v>59</v>
      </c>
      <c r="H606" s="3" t="s">
        <v>58</v>
      </c>
      <c r="I606" s="3" t="s">
        <v>58</v>
      </c>
      <c r="J606" s="3" t="s">
        <v>60</v>
      </c>
      <c r="K606" s="2" t="s">
        <v>8028</v>
      </c>
      <c r="L606" s="2" t="s">
        <v>8029</v>
      </c>
      <c r="M606" s="3" t="s">
        <v>573</v>
      </c>
      <c r="O606" s="3" t="s">
        <v>65</v>
      </c>
      <c r="P606" s="3" t="s">
        <v>148</v>
      </c>
      <c r="Q606" s="2" t="s">
        <v>8030</v>
      </c>
      <c r="R606" s="3" t="s">
        <v>67</v>
      </c>
      <c r="S606" s="4">
        <v>7</v>
      </c>
      <c r="T606" s="4">
        <v>7</v>
      </c>
      <c r="U606" s="5" t="s">
        <v>3074</v>
      </c>
      <c r="V606" s="5" t="s">
        <v>3074</v>
      </c>
      <c r="W606" s="5" t="s">
        <v>8031</v>
      </c>
      <c r="X606" s="5" t="s">
        <v>8031</v>
      </c>
      <c r="Y606" s="4">
        <v>1021</v>
      </c>
      <c r="Z606" s="4">
        <v>876</v>
      </c>
      <c r="AA606" s="4">
        <v>1300</v>
      </c>
      <c r="AB606" s="4">
        <v>6</v>
      </c>
      <c r="AC606" s="4">
        <v>20</v>
      </c>
      <c r="AD606" s="4">
        <v>47</v>
      </c>
      <c r="AE606" s="4">
        <v>59</v>
      </c>
      <c r="AF606" s="4">
        <v>19</v>
      </c>
      <c r="AG606" s="4">
        <v>22</v>
      </c>
      <c r="AH606" s="4">
        <v>7</v>
      </c>
      <c r="AI606" s="4">
        <v>7</v>
      </c>
      <c r="AJ606" s="4">
        <v>17</v>
      </c>
      <c r="AK606" s="4">
        <v>19</v>
      </c>
      <c r="AL606" s="4">
        <v>4</v>
      </c>
      <c r="AM606" s="4">
        <v>11</v>
      </c>
      <c r="AN606" s="4">
        <v>10</v>
      </c>
      <c r="AO606" s="4">
        <v>10</v>
      </c>
      <c r="AP606" s="3" t="s">
        <v>58</v>
      </c>
      <c r="AQ606" s="3" t="s">
        <v>58</v>
      </c>
      <c r="AS606" s="6" t="str">
        <f>HYPERLINK("https://creighton-primo.hosted.exlibrisgroup.com/primo-explore/search?tab=default_tab&amp;search_scope=EVERYTHING&amp;vid=01CRU&amp;lang=en_US&amp;offset=0&amp;query=any,contains,991004258529702656","Catalog Record")</f>
        <v>Catalog Record</v>
      </c>
      <c r="AT606" s="6" t="str">
        <f>HYPERLINK("http://www.worldcat.org/oclc/52418129","WorldCat Record")</f>
        <v>WorldCat Record</v>
      </c>
      <c r="AU606" s="3" t="s">
        <v>8032</v>
      </c>
      <c r="AV606" s="3" t="s">
        <v>8033</v>
      </c>
      <c r="AW606" s="3" t="s">
        <v>8034</v>
      </c>
      <c r="AX606" s="3" t="s">
        <v>8034</v>
      </c>
      <c r="AY606" s="3" t="s">
        <v>8035</v>
      </c>
      <c r="AZ606" s="3" t="s">
        <v>74</v>
      </c>
      <c r="BB606" s="3" t="s">
        <v>8036</v>
      </c>
      <c r="BC606" s="3" t="s">
        <v>8037</v>
      </c>
      <c r="BD606" s="3" t="s">
        <v>8038</v>
      </c>
    </row>
    <row r="607" spans="1:56" ht="45.75" customHeight="1" x14ac:dyDescent="0.25">
      <c r="A607" s="7" t="s">
        <v>58</v>
      </c>
      <c r="B607" s="2" t="s">
        <v>8039</v>
      </c>
      <c r="C607" s="2" t="s">
        <v>8040</v>
      </c>
      <c r="D607" s="2" t="s">
        <v>8041</v>
      </c>
      <c r="F607" s="3" t="s">
        <v>58</v>
      </c>
      <c r="G607" s="3" t="s">
        <v>59</v>
      </c>
      <c r="H607" s="3" t="s">
        <v>58</v>
      </c>
      <c r="I607" s="3" t="s">
        <v>58</v>
      </c>
      <c r="J607" s="3" t="s">
        <v>60</v>
      </c>
      <c r="K607" s="2" t="s">
        <v>8042</v>
      </c>
      <c r="L607" s="2" t="s">
        <v>8043</v>
      </c>
      <c r="M607" s="3" t="s">
        <v>1058</v>
      </c>
      <c r="O607" s="3" t="s">
        <v>65</v>
      </c>
      <c r="P607" s="3" t="s">
        <v>132</v>
      </c>
      <c r="R607" s="3" t="s">
        <v>67</v>
      </c>
      <c r="S607" s="4">
        <v>13</v>
      </c>
      <c r="T607" s="4">
        <v>13</v>
      </c>
      <c r="U607" s="5" t="s">
        <v>7100</v>
      </c>
      <c r="V607" s="5" t="s">
        <v>7100</v>
      </c>
      <c r="W607" s="5" t="s">
        <v>8044</v>
      </c>
      <c r="X607" s="5" t="s">
        <v>8044</v>
      </c>
      <c r="Y607" s="4">
        <v>137</v>
      </c>
      <c r="Z607" s="4">
        <v>121</v>
      </c>
      <c r="AA607" s="4">
        <v>124</v>
      </c>
      <c r="AB607" s="4">
        <v>2</v>
      </c>
      <c r="AC607" s="4">
        <v>2</v>
      </c>
      <c r="AD607" s="4">
        <v>2</v>
      </c>
      <c r="AE607" s="4">
        <v>3</v>
      </c>
      <c r="AF607" s="4">
        <v>0</v>
      </c>
      <c r="AG607" s="4">
        <v>0</v>
      </c>
      <c r="AH607" s="4">
        <v>0</v>
      </c>
      <c r="AI607" s="4">
        <v>0</v>
      </c>
      <c r="AJ607" s="4">
        <v>1</v>
      </c>
      <c r="AK607" s="4">
        <v>1</v>
      </c>
      <c r="AL607" s="4">
        <v>1</v>
      </c>
      <c r="AM607" s="4">
        <v>1</v>
      </c>
      <c r="AN607" s="4">
        <v>0</v>
      </c>
      <c r="AO607" s="4">
        <v>1</v>
      </c>
      <c r="AP607" s="3" t="s">
        <v>58</v>
      </c>
      <c r="AQ607" s="3" t="s">
        <v>58</v>
      </c>
      <c r="AS607" s="6" t="str">
        <f>HYPERLINK("https://creighton-primo.hosted.exlibrisgroup.com/primo-explore/search?tab=default_tab&amp;search_scope=EVERYTHING&amp;vid=01CRU&amp;lang=en_US&amp;offset=0&amp;query=any,contains,991001251039702656","Catalog Record")</f>
        <v>Catalog Record</v>
      </c>
      <c r="AT607" s="6" t="str">
        <f>HYPERLINK("http://www.worldcat.org/oclc/17676629","WorldCat Record")</f>
        <v>WorldCat Record</v>
      </c>
      <c r="AU607" s="3" t="s">
        <v>8045</v>
      </c>
      <c r="AV607" s="3" t="s">
        <v>8046</v>
      </c>
      <c r="AW607" s="3" t="s">
        <v>8047</v>
      </c>
      <c r="AX607" s="3" t="s">
        <v>8047</v>
      </c>
      <c r="AY607" s="3" t="s">
        <v>8048</v>
      </c>
      <c r="AZ607" s="3" t="s">
        <v>74</v>
      </c>
      <c r="BB607" s="3" t="s">
        <v>8049</v>
      </c>
      <c r="BC607" s="3" t="s">
        <v>8050</v>
      </c>
      <c r="BD607" s="3" t="s">
        <v>8051</v>
      </c>
    </row>
    <row r="608" spans="1:56" ht="45.75" customHeight="1" x14ac:dyDescent="0.25">
      <c r="A608" s="7" t="s">
        <v>58</v>
      </c>
      <c r="B608" s="2" t="s">
        <v>8052</v>
      </c>
      <c r="C608" s="2" t="s">
        <v>8053</v>
      </c>
      <c r="D608" s="2" t="s">
        <v>8054</v>
      </c>
      <c r="F608" s="3" t="s">
        <v>58</v>
      </c>
      <c r="G608" s="3" t="s">
        <v>59</v>
      </c>
      <c r="H608" s="3" t="s">
        <v>58</v>
      </c>
      <c r="I608" s="3" t="s">
        <v>58</v>
      </c>
      <c r="J608" s="3" t="s">
        <v>60</v>
      </c>
      <c r="L608" s="2" t="s">
        <v>8055</v>
      </c>
      <c r="M608" s="3" t="s">
        <v>290</v>
      </c>
      <c r="N608" s="2" t="s">
        <v>543</v>
      </c>
      <c r="O608" s="3" t="s">
        <v>65</v>
      </c>
      <c r="P608" s="3" t="s">
        <v>84</v>
      </c>
      <c r="Q608" s="2" t="s">
        <v>8056</v>
      </c>
      <c r="R608" s="3" t="s">
        <v>67</v>
      </c>
      <c r="S608" s="4">
        <v>6</v>
      </c>
      <c r="T608" s="4">
        <v>6</v>
      </c>
      <c r="U608" s="5" t="s">
        <v>8057</v>
      </c>
      <c r="V608" s="5" t="s">
        <v>8057</v>
      </c>
      <c r="W608" s="5" t="s">
        <v>8058</v>
      </c>
      <c r="X608" s="5" t="s">
        <v>8058</v>
      </c>
      <c r="Y608" s="4">
        <v>1237</v>
      </c>
      <c r="Z608" s="4">
        <v>1081</v>
      </c>
      <c r="AA608" s="4">
        <v>1091</v>
      </c>
      <c r="AB608" s="4">
        <v>5</v>
      </c>
      <c r="AC608" s="4">
        <v>5</v>
      </c>
      <c r="AD608" s="4">
        <v>35</v>
      </c>
      <c r="AE608" s="4">
        <v>35</v>
      </c>
      <c r="AF608" s="4">
        <v>15</v>
      </c>
      <c r="AG608" s="4">
        <v>15</v>
      </c>
      <c r="AH608" s="4">
        <v>8</v>
      </c>
      <c r="AI608" s="4">
        <v>8</v>
      </c>
      <c r="AJ608" s="4">
        <v>14</v>
      </c>
      <c r="AK608" s="4">
        <v>14</v>
      </c>
      <c r="AL608" s="4">
        <v>4</v>
      </c>
      <c r="AM608" s="4">
        <v>4</v>
      </c>
      <c r="AN608" s="4">
        <v>2</v>
      </c>
      <c r="AO608" s="4">
        <v>2</v>
      </c>
      <c r="AP608" s="3" t="s">
        <v>58</v>
      </c>
      <c r="AQ608" s="3" t="s">
        <v>58</v>
      </c>
      <c r="AS608" s="6" t="str">
        <f>HYPERLINK("https://creighton-primo.hosted.exlibrisgroup.com/primo-explore/search?tab=default_tab&amp;search_scope=EVERYTHING&amp;vid=01CRU&amp;lang=en_US&amp;offset=0&amp;query=any,contains,991003821159702656","Catalog Record")</f>
        <v>Catalog Record</v>
      </c>
      <c r="AT608" s="6" t="str">
        <f>HYPERLINK("http://www.worldcat.org/oclc/48434415","WorldCat Record")</f>
        <v>WorldCat Record</v>
      </c>
      <c r="AU608" s="3" t="s">
        <v>8059</v>
      </c>
      <c r="AV608" s="3" t="s">
        <v>8060</v>
      </c>
      <c r="AW608" s="3" t="s">
        <v>8061</v>
      </c>
      <c r="AX608" s="3" t="s">
        <v>8061</v>
      </c>
      <c r="AY608" s="3" t="s">
        <v>8062</v>
      </c>
      <c r="AZ608" s="3" t="s">
        <v>74</v>
      </c>
      <c r="BB608" s="3" t="s">
        <v>8063</v>
      </c>
      <c r="BC608" s="3" t="s">
        <v>8064</v>
      </c>
      <c r="BD608" s="3" t="s">
        <v>8065</v>
      </c>
    </row>
    <row r="609" spans="1:56" ht="45.75" customHeight="1" x14ac:dyDescent="0.25">
      <c r="A609" s="7" t="s">
        <v>58</v>
      </c>
      <c r="B609" s="2" t="s">
        <v>8066</v>
      </c>
      <c r="C609" s="2" t="s">
        <v>8067</v>
      </c>
      <c r="D609" s="2" t="s">
        <v>8068</v>
      </c>
      <c r="F609" s="3" t="s">
        <v>58</v>
      </c>
      <c r="G609" s="3" t="s">
        <v>59</v>
      </c>
      <c r="H609" s="3" t="s">
        <v>58</v>
      </c>
      <c r="I609" s="3" t="s">
        <v>58</v>
      </c>
      <c r="J609" s="3" t="s">
        <v>60</v>
      </c>
      <c r="K609" s="2" t="s">
        <v>8069</v>
      </c>
      <c r="L609" s="2" t="s">
        <v>8070</v>
      </c>
      <c r="M609" s="3" t="s">
        <v>63</v>
      </c>
      <c r="O609" s="3" t="s">
        <v>65</v>
      </c>
      <c r="P609" s="3" t="s">
        <v>175</v>
      </c>
      <c r="Q609" s="2" t="s">
        <v>8071</v>
      </c>
      <c r="R609" s="3" t="s">
        <v>67</v>
      </c>
      <c r="S609" s="4">
        <v>1</v>
      </c>
      <c r="T609" s="4">
        <v>1</v>
      </c>
      <c r="U609" s="5" t="s">
        <v>8072</v>
      </c>
      <c r="V609" s="5" t="s">
        <v>8072</v>
      </c>
      <c r="W609" s="5" t="s">
        <v>8072</v>
      </c>
      <c r="X609" s="5" t="s">
        <v>8072</v>
      </c>
      <c r="Y609" s="4">
        <v>345</v>
      </c>
      <c r="Z609" s="4">
        <v>218</v>
      </c>
      <c r="AA609" s="4">
        <v>220</v>
      </c>
      <c r="AB609" s="4">
        <v>2</v>
      </c>
      <c r="AC609" s="4">
        <v>2</v>
      </c>
      <c r="AD609" s="4">
        <v>9</v>
      </c>
      <c r="AE609" s="4">
        <v>9</v>
      </c>
      <c r="AF609" s="4">
        <v>4</v>
      </c>
      <c r="AG609" s="4">
        <v>4</v>
      </c>
      <c r="AH609" s="4">
        <v>2</v>
      </c>
      <c r="AI609" s="4">
        <v>2</v>
      </c>
      <c r="AJ609" s="4">
        <v>7</v>
      </c>
      <c r="AK609" s="4">
        <v>7</v>
      </c>
      <c r="AL609" s="4">
        <v>1</v>
      </c>
      <c r="AM609" s="4">
        <v>1</v>
      </c>
      <c r="AN609" s="4">
        <v>0</v>
      </c>
      <c r="AO609" s="4">
        <v>0</v>
      </c>
      <c r="AP609" s="3" t="s">
        <v>58</v>
      </c>
      <c r="AQ609" s="3" t="s">
        <v>87</v>
      </c>
      <c r="AR609" s="6" t="str">
        <f>HYPERLINK("http://catalog.hathitrust.org/Record/005052639","HathiTrust Record")</f>
        <v>HathiTrust Record</v>
      </c>
      <c r="AS609" s="6" t="str">
        <f>HYPERLINK("https://creighton-primo.hosted.exlibrisgroup.com/primo-explore/search?tab=default_tab&amp;search_scope=EVERYTHING&amp;vid=01CRU&amp;lang=en_US&amp;offset=0&amp;query=any,contains,991004765669702656","Catalog Record")</f>
        <v>Catalog Record</v>
      </c>
      <c r="AT609" s="6" t="str">
        <f>HYPERLINK("http://www.worldcat.org/oclc/57529172","WorldCat Record")</f>
        <v>WorldCat Record</v>
      </c>
      <c r="AU609" s="3" t="s">
        <v>8073</v>
      </c>
      <c r="AV609" s="3" t="s">
        <v>8074</v>
      </c>
      <c r="AW609" s="3" t="s">
        <v>8075</v>
      </c>
      <c r="AX609" s="3" t="s">
        <v>8075</v>
      </c>
      <c r="AY609" s="3" t="s">
        <v>8076</v>
      </c>
      <c r="AZ609" s="3" t="s">
        <v>74</v>
      </c>
      <c r="BB609" s="3" t="s">
        <v>8077</v>
      </c>
      <c r="BC609" s="3" t="s">
        <v>8078</v>
      </c>
      <c r="BD609" s="3" t="s">
        <v>8079</v>
      </c>
    </row>
    <row r="610" spans="1:56" ht="45.75" customHeight="1" x14ac:dyDescent="0.25">
      <c r="A610" s="7" t="s">
        <v>58</v>
      </c>
      <c r="B610" s="2" t="s">
        <v>8080</v>
      </c>
      <c r="C610" s="2" t="s">
        <v>8081</v>
      </c>
      <c r="D610" s="2" t="s">
        <v>8082</v>
      </c>
      <c r="F610" s="3" t="s">
        <v>58</v>
      </c>
      <c r="G610" s="3" t="s">
        <v>59</v>
      </c>
      <c r="H610" s="3" t="s">
        <v>58</v>
      </c>
      <c r="I610" s="3" t="s">
        <v>58</v>
      </c>
      <c r="J610" s="3" t="s">
        <v>60</v>
      </c>
      <c r="K610" s="2" t="s">
        <v>8083</v>
      </c>
      <c r="L610" s="2" t="s">
        <v>8084</v>
      </c>
      <c r="M610" s="3" t="s">
        <v>573</v>
      </c>
      <c r="N610" s="2" t="s">
        <v>2892</v>
      </c>
      <c r="O610" s="3" t="s">
        <v>65</v>
      </c>
      <c r="P610" s="3" t="s">
        <v>84</v>
      </c>
      <c r="R610" s="3" t="s">
        <v>67</v>
      </c>
      <c r="S610" s="4">
        <v>5</v>
      </c>
      <c r="T610" s="4">
        <v>5</v>
      </c>
      <c r="U610" s="5" t="s">
        <v>8085</v>
      </c>
      <c r="V610" s="5" t="s">
        <v>8085</v>
      </c>
      <c r="W610" s="5" t="s">
        <v>8086</v>
      </c>
      <c r="X610" s="5" t="s">
        <v>8086</v>
      </c>
      <c r="Y610" s="4">
        <v>77</v>
      </c>
      <c r="Z610" s="4">
        <v>65</v>
      </c>
      <c r="AA610" s="4">
        <v>1773</v>
      </c>
      <c r="AB610" s="4">
        <v>3</v>
      </c>
      <c r="AC610" s="4">
        <v>23</v>
      </c>
      <c r="AD610" s="4">
        <v>2</v>
      </c>
      <c r="AE610" s="4">
        <v>31</v>
      </c>
      <c r="AF610" s="4">
        <v>0</v>
      </c>
      <c r="AG610" s="4">
        <v>13</v>
      </c>
      <c r="AH610" s="4">
        <v>0</v>
      </c>
      <c r="AI610" s="4">
        <v>4</v>
      </c>
      <c r="AJ610" s="4">
        <v>0</v>
      </c>
      <c r="AK610" s="4">
        <v>14</v>
      </c>
      <c r="AL610" s="4">
        <v>2</v>
      </c>
      <c r="AM610" s="4">
        <v>4</v>
      </c>
      <c r="AN610" s="4">
        <v>0</v>
      </c>
      <c r="AO610" s="4">
        <v>2</v>
      </c>
      <c r="AP610" s="3" t="s">
        <v>58</v>
      </c>
      <c r="AQ610" s="3" t="s">
        <v>58</v>
      </c>
      <c r="AS610" s="6" t="str">
        <f>HYPERLINK("https://creighton-primo.hosted.exlibrisgroup.com/primo-explore/search?tab=default_tab&amp;search_scope=EVERYTHING&amp;vid=01CRU&amp;lang=en_US&amp;offset=0&amp;query=any,contains,991003843319702656","Catalog Record")</f>
        <v>Catalog Record</v>
      </c>
      <c r="AT610" s="6" t="str">
        <f>HYPERLINK("http://www.worldcat.org/oclc/52307018","WorldCat Record")</f>
        <v>WorldCat Record</v>
      </c>
      <c r="AU610" s="3" t="s">
        <v>8087</v>
      </c>
      <c r="AV610" s="3" t="s">
        <v>8088</v>
      </c>
      <c r="AW610" s="3" t="s">
        <v>8089</v>
      </c>
      <c r="AX610" s="3" t="s">
        <v>8089</v>
      </c>
      <c r="AY610" s="3" t="s">
        <v>8090</v>
      </c>
      <c r="AZ610" s="3" t="s">
        <v>74</v>
      </c>
      <c r="BB610" s="3" t="s">
        <v>8091</v>
      </c>
      <c r="BC610" s="3" t="s">
        <v>8092</v>
      </c>
      <c r="BD610" s="3" t="s">
        <v>8093</v>
      </c>
    </row>
    <row r="611" spans="1:56" ht="45.75" customHeight="1" x14ac:dyDescent="0.25">
      <c r="A611" s="7" t="s">
        <v>58</v>
      </c>
      <c r="B611" s="2" t="s">
        <v>8094</v>
      </c>
      <c r="C611" s="2" t="s">
        <v>8095</v>
      </c>
      <c r="D611" s="2" t="s">
        <v>8096</v>
      </c>
      <c r="F611" s="3" t="s">
        <v>58</v>
      </c>
      <c r="G611" s="3" t="s">
        <v>59</v>
      </c>
      <c r="H611" s="3" t="s">
        <v>58</v>
      </c>
      <c r="I611" s="3" t="s">
        <v>58</v>
      </c>
      <c r="J611" s="3" t="s">
        <v>60</v>
      </c>
      <c r="K611" s="2" t="s">
        <v>8097</v>
      </c>
      <c r="L611" s="2" t="s">
        <v>8098</v>
      </c>
      <c r="M611" s="3" t="s">
        <v>147</v>
      </c>
      <c r="O611" s="3" t="s">
        <v>65</v>
      </c>
      <c r="P611" s="3" t="s">
        <v>66</v>
      </c>
      <c r="R611" s="3" t="s">
        <v>67</v>
      </c>
      <c r="S611" s="4">
        <v>7</v>
      </c>
      <c r="T611" s="4">
        <v>7</v>
      </c>
      <c r="U611" s="5" t="s">
        <v>8099</v>
      </c>
      <c r="V611" s="5" t="s">
        <v>8099</v>
      </c>
      <c r="W611" s="5" t="s">
        <v>8100</v>
      </c>
      <c r="X611" s="5" t="s">
        <v>8100</v>
      </c>
      <c r="Y611" s="4">
        <v>722</v>
      </c>
      <c r="Z611" s="4">
        <v>699</v>
      </c>
      <c r="AA611" s="4">
        <v>705</v>
      </c>
      <c r="AB611" s="4">
        <v>8</v>
      </c>
      <c r="AC611" s="4">
        <v>8</v>
      </c>
      <c r="AD611" s="4">
        <v>14</v>
      </c>
      <c r="AE611" s="4">
        <v>14</v>
      </c>
      <c r="AF611" s="4">
        <v>2</v>
      </c>
      <c r="AG611" s="4">
        <v>2</v>
      </c>
      <c r="AH611" s="4">
        <v>4</v>
      </c>
      <c r="AI611" s="4">
        <v>4</v>
      </c>
      <c r="AJ611" s="4">
        <v>9</v>
      </c>
      <c r="AK611" s="4">
        <v>9</v>
      </c>
      <c r="AL611" s="4">
        <v>2</v>
      </c>
      <c r="AM611" s="4">
        <v>2</v>
      </c>
      <c r="AN611" s="4">
        <v>1</v>
      </c>
      <c r="AO611" s="4">
        <v>1</v>
      </c>
      <c r="AP611" s="3" t="s">
        <v>58</v>
      </c>
      <c r="AQ611" s="3" t="s">
        <v>58</v>
      </c>
      <c r="AS611" s="6" t="str">
        <f>HYPERLINK("https://creighton-primo.hosted.exlibrisgroup.com/primo-explore/search?tab=default_tab&amp;search_scope=EVERYTHING&amp;vid=01CRU&amp;lang=en_US&amp;offset=0&amp;query=any,contains,991004413029702656","Catalog Record")</f>
        <v>Catalog Record</v>
      </c>
      <c r="AT611" s="6" t="str">
        <f>HYPERLINK("http://www.worldcat.org/oclc/56370472","WorldCat Record")</f>
        <v>WorldCat Record</v>
      </c>
      <c r="AU611" s="3" t="s">
        <v>8101</v>
      </c>
      <c r="AV611" s="3" t="s">
        <v>8102</v>
      </c>
      <c r="AW611" s="3" t="s">
        <v>8103</v>
      </c>
      <c r="AX611" s="3" t="s">
        <v>8103</v>
      </c>
      <c r="AY611" s="3" t="s">
        <v>8104</v>
      </c>
      <c r="AZ611" s="3" t="s">
        <v>74</v>
      </c>
      <c r="BB611" s="3" t="s">
        <v>8105</v>
      </c>
      <c r="BC611" s="3" t="s">
        <v>8106</v>
      </c>
      <c r="BD611" s="3" t="s">
        <v>8107</v>
      </c>
    </row>
    <row r="612" spans="1:56" ht="45.75" customHeight="1" x14ac:dyDescent="0.25">
      <c r="A612" s="7" t="s">
        <v>58</v>
      </c>
      <c r="B612" s="2" t="s">
        <v>8108</v>
      </c>
      <c r="C612" s="2" t="s">
        <v>8109</v>
      </c>
      <c r="D612" s="2" t="s">
        <v>8110</v>
      </c>
      <c r="F612" s="3" t="s">
        <v>58</v>
      </c>
      <c r="G612" s="3" t="s">
        <v>59</v>
      </c>
      <c r="H612" s="3" t="s">
        <v>58</v>
      </c>
      <c r="I612" s="3" t="s">
        <v>58</v>
      </c>
      <c r="J612" s="3" t="s">
        <v>60</v>
      </c>
      <c r="K612" s="2" t="s">
        <v>8111</v>
      </c>
      <c r="L612" s="2" t="s">
        <v>8112</v>
      </c>
      <c r="M612" s="3" t="s">
        <v>573</v>
      </c>
      <c r="O612" s="3" t="s">
        <v>65</v>
      </c>
      <c r="P612" s="3" t="s">
        <v>84</v>
      </c>
      <c r="R612" s="3" t="s">
        <v>67</v>
      </c>
      <c r="S612" s="4">
        <v>5</v>
      </c>
      <c r="T612" s="4">
        <v>5</v>
      </c>
      <c r="U612" s="5" t="s">
        <v>8113</v>
      </c>
      <c r="V612" s="5" t="s">
        <v>8113</v>
      </c>
      <c r="W612" s="5" t="s">
        <v>8114</v>
      </c>
      <c r="X612" s="5" t="s">
        <v>8114</v>
      </c>
      <c r="Y612" s="4">
        <v>1251</v>
      </c>
      <c r="Z612" s="4">
        <v>1195</v>
      </c>
      <c r="AA612" s="4">
        <v>1244</v>
      </c>
      <c r="AB612" s="4">
        <v>11</v>
      </c>
      <c r="AC612" s="4">
        <v>11</v>
      </c>
      <c r="AD612" s="4">
        <v>15</v>
      </c>
      <c r="AE612" s="4">
        <v>15</v>
      </c>
      <c r="AF612" s="4">
        <v>4</v>
      </c>
      <c r="AG612" s="4">
        <v>4</v>
      </c>
      <c r="AH612" s="4">
        <v>3</v>
      </c>
      <c r="AI612" s="4">
        <v>3</v>
      </c>
      <c r="AJ612" s="4">
        <v>7</v>
      </c>
      <c r="AK612" s="4">
        <v>7</v>
      </c>
      <c r="AL612" s="4">
        <v>4</v>
      </c>
      <c r="AM612" s="4">
        <v>4</v>
      </c>
      <c r="AN612" s="4">
        <v>1</v>
      </c>
      <c r="AO612" s="4">
        <v>1</v>
      </c>
      <c r="AP612" s="3" t="s">
        <v>58</v>
      </c>
      <c r="AQ612" s="3" t="s">
        <v>58</v>
      </c>
      <c r="AS612" s="6" t="str">
        <f>HYPERLINK("https://creighton-primo.hosted.exlibrisgroup.com/primo-explore/search?tab=default_tab&amp;search_scope=EVERYTHING&amp;vid=01CRU&amp;lang=en_US&amp;offset=0&amp;query=any,contains,991004074289702656","Catalog Record")</f>
        <v>Catalog Record</v>
      </c>
      <c r="AT612" s="6" t="str">
        <f>HYPERLINK("http://www.worldcat.org/oclc/51783389","WorldCat Record")</f>
        <v>WorldCat Record</v>
      </c>
      <c r="AU612" s="3" t="s">
        <v>8115</v>
      </c>
      <c r="AV612" s="3" t="s">
        <v>8116</v>
      </c>
      <c r="AW612" s="3" t="s">
        <v>8117</v>
      </c>
      <c r="AX612" s="3" t="s">
        <v>8117</v>
      </c>
      <c r="AY612" s="3" t="s">
        <v>8118</v>
      </c>
      <c r="AZ612" s="3" t="s">
        <v>74</v>
      </c>
      <c r="BB612" s="3" t="s">
        <v>8119</v>
      </c>
      <c r="BC612" s="3" t="s">
        <v>8120</v>
      </c>
      <c r="BD612" s="3" t="s">
        <v>8121</v>
      </c>
    </row>
    <row r="613" spans="1:56" ht="45.75" customHeight="1" x14ac:dyDescent="0.25">
      <c r="A613" s="7" t="s">
        <v>58</v>
      </c>
      <c r="B613" s="2" t="s">
        <v>8122</v>
      </c>
      <c r="C613" s="2" t="s">
        <v>8123</v>
      </c>
      <c r="D613" s="2" t="s">
        <v>8124</v>
      </c>
      <c r="F613" s="3" t="s">
        <v>58</v>
      </c>
      <c r="G613" s="3" t="s">
        <v>59</v>
      </c>
      <c r="H613" s="3" t="s">
        <v>58</v>
      </c>
      <c r="I613" s="3" t="s">
        <v>58</v>
      </c>
      <c r="J613" s="3" t="s">
        <v>60</v>
      </c>
      <c r="K613" s="2" t="s">
        <v>8125</v>
      </c>
      <c r="L613" s="2" t="s">
        <v>8126</v>
      </c>
      <c r="M613" s="3" t="s">
        <v>63</v>
      </c>
      <c r="O613" s="3" t="s">
        <v>65</v>
      </c>
      <c r="P613" s="3" t="s">
        <v>84</v>
      </c>
      <c r="R613" s="3" t="s">
        <v>67</v>
      </c>
      <c r="S613" s="4">
        <v>5</v>
      </c>
      <c r="T613" s="4">
        <v>5</v>
      </c>
      <c r="U613" s="5" t="s">
        <v>3074</v>
      </c>
      <c r="V613" s="5" t="s">
        <v>3074</v>
      </c>
      <c r="W613" s="5" t="s">
        <v>8127</v>
      </c>
      <c r="X613" s="5" t="s">
        <v>8127</v>
      </c>
      <c r="Y613" s="4">
        <v>979</v>
      </c>
      <c r="Z613" s="4">
        <v>883</v>
      </c>
      <c r="AA613" s="4">
        <v>949</v>
      </c>
      <c r="AB613" s="4">
        <v>4</v>
      </c>
      <c r="AC613" s="4">
        <v>4</v>
      </c>
      <c r="AD613" s="4">
        <v>33</v>
      </c>
      <c r="AE613" s="4">
        <v>34</v>
      </c>
      <c r="AF613" s="4">
        <v>17</v>
      </c>
      <c r="AG613" s="4">
        <v>17</v>
      </c>
      <c r="AH613" s="4">
        <v>5</v>
      </c>
      <c r="AI613" s="4">
        <v>6</v>
      </c>
      <c r="AJ613" s="4">
        <v>15</v>
      </c>
      <c r="AK613" s="4">
        <v>16</v>
      </c>
      <c r="AL613" s="4">
        <v>3</v>
      </c>
      <c r="AM613" s="4">
        <v>3</v>
      </c>
      <c r="AN613" s="4">
        <v>3</v>
      </c>
      <c r="AO613" s="4">
        <v>3</v>
      </c>
      <c r="AP613" s="3" t="s">
        <v>58</v>
      </c>
      <c r="AQ613" s="3" t="s">
        <v>58</v>
      </c>
      <c r="AS613" s="6" t="str">
        <f>HYPERLINK("https://creighton-primo.hosted.exlibrisgroup.com/primo-explore/search?tab=default_tab&amp;search_scope=EVERYTHING&amp;vid=01CRU&amp;lang=en_US&amp;offset=0&amp;query=any,contains,991004586799702656","Catalog Record")</f>
        <v>Catalog Record</v>
      </c>
      <c r="AT613" s="6" t="str">
        <f>HYPERLINK("http://www.worldcat.org/oclc/57613597","WorldCat Record")</f>
        <v>WorldCat Record</v>
      </c>
      <c r="AU613" s="3" t="s">
        <v>8128</v>
      </c>
      <c r="AV613" s="3" t="s">
        <v>8129</v>
      </c>
      <c r="AW613" s="3" t="s">
        <v>8130</v>
      </c>
      <c r="AX613" s="3" t="s">
        <v>8130</v>
      </c>
      <c r="AY613" s="3" t="s">
        <v>8131</v>
      </c>
      <c r="AZ613" s="3" t="s">
        <v>74</v>
      </c>
      <c r="BB613" s="3" t="s">
        <v>8132</v>
      </c>
      <c r="BC613" s="3" t="s">
        <v>8133</v>
      </c>
      <c r="BD613" s="3" t="s">
        <v>8134</v>
      </c>
    </row>
    <row r="614" spans="1:56" ht="45.75" customHeight="1" x14ac:dyDescent="0.25">
      <c r="A614" s="7" t="s">
        <v>58</v>
      </c>
      <c r="B614" s="2" t="s">
        <v>8135</v>
      </c>
      <c r="C614" s="2" t="s">
        <v>8136</v>
      </c>
      <c r="D614" s="2" t="s">
        <v>8137</v>
      </c>
      <c r="F614" s="3" t="s">
        <v>58</v>
      </c>
      <c r="G614" s="3" t="s">
        <v>59</v>
      </c>
      <c r="H614" s="3" t="s">
        <v>58</v>
      </c>
      <c r="I614" s="3" t="s">
        <v>58</v>
      </c>
      <c r="J614" s="3" t="s">
        <v>60</v>
      </c>
      <c r="L614" s="2" t="s">
        <v>8138</v>
      </c>
      <c r="M614" s="3" t="s">
        <v>203</v>
      </c>
      <c r="O614" s="3" t="s">
        <v>65</v>
      </c>
      <c r="P614" s="3" t="s">
        <v>66</v>
      </c>
      <c r="R614" s="3" t="s">
        <v>67</v>
      </c>
      <c r="S614" s="4">
        <v>5</v>
      </c>
      <c r="T614" s="4">
        <v>5</v>
      </c>
      <c r="U614" s="5" t="s">
        <v>7142</v>
      </c>
      <c r="V614" s="5" t="s">
        <v>7142</v>
      </c>
      <c r="W614" s="5" t="s">
        <v>8139</v>
      </c>
      <c r="X614" s="5" t="s">
        <v>8139</v>
      </c>
      <c r="Y614" s="4">
        <v>496</v>
      </c>
      <c r="Z614" s="4">
        <v>444</v>
      </c>
      <c r="AA614" s="4">
        <v>753</v>
      </c>
      <c r="AB614" s="4">
        <v>3</v>
      </c>
      <c r="AC614" s="4">
        <v>4</v>
      </c>
      <c r="AD614" s="4">
        <v>20</v>
      </c>
      <c r="AE614" s="4">
        <v>23</v>
      </c>
      <c r="AF614" s="4">
        <v>7</v>
      </c>
      <c r="AG614" s="4">
        <v>9</v>
      </c>
      <c r="AH614" s="4">
        <v>5</v>
      </c>
      <c r="AI614" s="4">
        <v>5</v>
      </c>
      <c r="AJ614" s="4">
        <v>9</v>
      </c>
      <c r="AK614" s="4">
        <v>10</v>
      </c>
      <c r="AL614" s="4">
        <v>2</v>
      </c>
      <c r="AM614" s="4">
        <v>3</v>
      </c>
      <c r="AN614" s="4">
        <v>3</v>
      </c>
      <c r="AO614" s="4">
        <v>3</v>
      </c>
      <c r="AP614" s="3" t="s">
        <v>58</v>
      </c>
      <c r="AQ614" s="3" t="s">
        <v>58</v>
      </c>
      <c r="AS614" s="6" t="str">
        <f>HYPERLINK("https://creighton-primo.hosted.exlibrisgroup.com/primo-explore/search?tab=default_tab&amp;search_scope=EVERYTHING&amp;vid=01CRU&amp;lang=en_US&amp;offset=0&amp;query=any,contains,991003863039702656","Catalog Record")</f>
        <v>Catalog Record</v>
      </c>
      <c r="AT614" s="6" t="str">
        <f>HYPERLINK("http://www.worldcat.org/oclc/49725736","WorldCat Record")</f>
        <v>WorldCat Record</v>
      </c>
      <c r="AU614" s="3" t="s">
        <v>8140</v>
      </c>
      <c r="AV614" s="3" t="s">
        <v>8141</v>
      </c>
      <c r="AW614" s="3" t="s">
        <v>8142</v>
      </c>
      <c r="AX614" s="3" t="s">
        <v>8142</v>
      </c>
      <c r="AY614" s="3" t="s">
        <v>8143</v>
      </c>
      <c r="AZ614" s="3" t="s">
        <v>74</v>
      </c>
      <c r="BB614" s="3" t="s">
        <v>8144</v>
      </c>
      <c r="BC614" s="3" t="s">
        <v>8145</v>
      </c>
      <c r="BD614" s="3" t="s">
        <v>8146</v>
      </c>
    </row>
    <row r="615" spans="1:56" ht="45.75" customHeight="1" x14ac:dyDescent="0.25">
      <c r="A615" s="7" t="s">
        <v>58</v>
      </c>
      <c r="B615" s="2" t="s">
        <v>8147</v>
      </c>
      <c r="C615" s="2" t="s">
        <v>8148</v>
      </c>
      <c r="D615" s="2" t="s">
        <v>8149</v>
      </c>
      <c r="F615" s="3" t="s">
        <v>58</v>
      </c>
      <c r="G615" s="3" t="s">
        <v>59</v>
      </c>
      <c r="H615" s="3" t="s">
        <v>58</v>
      </c>
      <c r="I615" s="3" t="s">
        <v>58</v>
      </c>
      <c r="J615" s="3" t="s">
        <v>60</v>
      </c>
      <c r="L615" s="2" t="s">
        <v>8150</v>
      </c>
      <c r="M615" s="3" t="s">
        <v>573</v>
      </c>
      <c r="O615" s="3" t="s">
        <v>65</v>
      </c>
      <c r="P615" s="3" t="s">
        <v>772</v>
      </c>
      <c r="Q615" s="2" t="s">
        <v>8151</v>
      </c>
      <c r="R615" s="3" t="s">
        <v>67</v>
      </c>
      <c r="S615" s="4">
        <v>13</v>
      </c>
      <c r="T615" s="4">
        <v>13</v>
      </c>
      <c r="U615" s="5" t="s">
        <v>8152</v>
      </c>
      <c r="V615" s="5" t="s">
        <v>8152</v>
      </c>
      <c r="W615" s="5" t="s">
        <v>7367</v>
      </c>
      <c r="X615" s="5" t="s">
        <v>7367</v>
      </c>
      <c r="Y615" s="4">
        <v>668</v>
      </c>
      <c r="Z615" s="4">
        <v>595</v>
      </c>
      <c r="AA615" s="4">
        <v>653</v>
      </c>
      <c r="AB615" s="4">
        <v>5</v>
      </c>
      <c r="AC615" s="4">
        <v>5</v>
      </c>
      <c r="AD615" s="4">
        <v>33</v>
      </c>
      <c r="AE615" s="4">
        <v>33</v>
      </c>
      <c r="AF615" s="4">
        <v>12</v>
      </c>
      <c r="AG615" s="4">
        <v>12</v>
      </c>
      <c r="AH615" s="4">
        <v>6</v>
      </c>
      <c r="AI615" s="4">
        <v>6</v>
      </c>
      <c r="AJ615" s="4">
        <v>13</v>
      </c>
      <c r="AK615" s="4">
        <v>13</v>
      </c>
      <c r="AL615" s="4">
        <v>4</v>
      </c>
      <c r="AM615" s="4">
        <v>4</v>
      </c>
      <c r="AN615" s="4">
        <v>6</v>
      </c>
      <c r="AO615" s="4">
        <v>6</v>
      </c>
      <c r="AP615" s="3" t="s">
        <v>58</v>
      </c>
      <c r="AQ615" s="3" t="s">
        <v>87</v>
      </c>
      <c r="AR615" s="6" t="str">
        <f>HYPERLINK("http://catalog.hathitrust.org/Record/004317065","HathiTrust Record")</f>
        <v>HathiTrust Record</v>
      </c>
      <c r="AS615" s="6" t="str">
        <f>HYPERLINK("https://creighton-primo.hosted.exlibrisgroup.com/primo-explore/search?tab=default_tab&amp;search_scope=EVERYTHING&amp;vid=01CRU&amp;lang=en_US&amp;offset=0&amp;query=any,contains,991004462199702656","Catalog Record")</f>
        <v>Catalog Record</v>
      </c>
      <c r="AT615" s="6" t="str">
        <f>HYPERLINK("http://www.worldcat.org/oclc/50410126","WorldCat Record")</f>
        <v>WorldCat Record</v>
      </c>
      <c r="AU615" s="3" t="s">
        <v>8153</v>
      </c>
      <c r="AV615" s="3" t="s">
        <v>8154</v>
      </c>
      <c r="AW615" s="3" t="s">
        <v>8155</v>
      </c>
      <c r="AX615" s="3" t="s">
        <v>8155</v>
      </c>
      <c r="AY615" s="3" t="s">
        <v>8156</v>
      </c>
      <c r="AZ615" s="3" t="s">
        <v>74</v>
      </c>
      <c r="BB615" s="3" t="s">
        <v>8157</v>
      </c>
      <c r="BC615" s="3" t="s">
        <v>8158</v>
      </c>
      <c r="BD615" s="3" t="s">
        <v>8159</v>
      </c>
    </row>
    <row r="616" spans="1:56" ht="45.75" customHeight="1" x14ac:dyDescent="0.25">
      <c r="A616" s="7" t="s">
        <v>58</v>
      </c>
      <c r="B616" s="2" t="s">
        <v>8160</v>
      </c>
      <c r="C616" s="2" t="s">
        <v>8161</v>
      </c>
      <c r="D616" s="2" t="s">
        <v>8162</v>
      </c>
      <c r="F616" s="3" t="s">
        <v>58</v>
      </c>
      <c r="G616" s="3" t="s">
        <v>59</v>
      </c>
      <c r="H616" s="3" t="s">
        <v>58</v>
      </c>
      <c r="I616" s="3" t="s">
        <v>58</v>
      </c>
      <c r="J616" s="3" t="s">
        <v>60</v>
      </c>
      <c r="K616" s="2" t="s">
        <v>8163</v>
      </c>
      <c r="L616" s="2" t="s">
        <v>8164</v>
      </c>
      <c r="M616" s="3" t="s">
        <v>248</v>
      </c>
      <c r="O616" s="3" t="s">
        <v>65</v>
      </c>
      <c r="P616" s="3" t="s">
        <v>84</v>
      </c>
      <c r="Q616" s="2" t="s">
        <v>8165</v>
      </c>
      <c r="R616" s="3" t="s">
        <v>67</v>
      </c>
      <c r="S616" s="4">
        <v>1</v>
      </c>
      <c r="T616" s="4">
        <v>1</v>
      </c>
      <c r="U616" s="5" t="s">
        <v>8166</v>
      </c>
      <c r="V616" s="5" t="s">
        <v>8166</v>
      </c>
      <c r="W616" s="5" t="s">
        <v>8166</v>
      </c>
      <c r="X616" s="5" t="s">
        <v>8166</v>
      </c>
      <c r="Y616" s="4">
        <v>522</v>
      </c>
      <c r="Z616" s="4">
        <v>468</v>
      </c>
      <c r="AA616" s="4">
        <v>623</v>
      </c>
      <c r="AB616" s="4">
        <v>3</v>
      </c>
      <c r="AC616" s="4">
        <v>4</v>
      </c>
      <c r="AD616" s="4">
        <v>17</v>
      </c>
      <c r="AE616" s="4">
        <v>18</v>
      </c>
      <c r="AF616" s="4">
        <v>10</v>
      </c>
      <c r="AG616" s="4">
        <v>10</v>
      </c>
      <c r="AH616" s="4">
        <v>3</v>
      </c>
      <c r="AI616" s="4">
        <v>3</v>
      </c>
      <c r="AJ616" s="4">
        <v>8</v>
      </c>
      <c r="AK616" s="4">
        <v>8</v>
      </c>
      <c r="AL616" s="4">
        <v>2</v>
      </c>
      <c r="AM616" s="4">
        <v>3</v>
      </c>
      <c r="AN616" s="4">
        <v>1</v>
      </c>
      <c r="AO616" s="4">
        <v>1</v>
      </c>
      <c r="AP616" s="3" t="s">
        <v>58</v>
      </c>
      <c r="AQ616" s="3" t="s">
        <v>87</v>
      </c>
      <c r="AR616" s="6" t="str">
        <f>HYPERLINK("http://catalog.hathitrust.org/Record/005587293","HathiTrust Record")</f>
        <v>HathiTrust Record</v>
      </c>
      <c r="AS616" s="6" t="str">
        <f>HYPERLINK("https://creighton-primo.hosted.exlibrisgroup.com/primo-explore/search?tab=default_tab&amp;search_scope=EVERYTHING&amp;vid=01CRU&amp;lang=en_US&amp;offset=0&amp;query=any,contains,991005306829702656","Catalog Record")</f>
        <v>Catalog Record</v>
      </c>
      <c r="AT616" s="6" t="str">
        <f>HYPERLINK("http://www.worldcat.org/oclc/71329827","WorldCat Record")</f>
        <v>WorldCat Record</v>
      </c>
      <c r="AU616" s="3" t="s">
        <v>8167</v>
      </c>
      <c r="AV616" s="3" t="s">
        <v>8168</v>
      </c>
      <c r="AW616" s="3" t="s">
        <v>8169</v>
      </c>
      <c r="AX616" s="3" t="s">
        <v>8169</v>
      </c>
      <c r="AY616" s="3" t="s">
        <v>8170</v>
      </c>
      <c r="AZ616" s="3" t="s">
        <v>74</v>
      </c>
      <c r="BB616" s="3" t="s">
        <v>8171</v>
      </c>
      <c r="BC616" s="3" t="s">
        <v>8172</v>
      </c>
      <c r="BD616" s="3" t="s">
        <v>8173</v>
      </c>
    </row>
    <row r="617" spans="1:56" ht="45.75" customHeight="1" x14ac:dyDescent="0.25">
      <c r="A617" s="7" t="s">
        <v>58</v>
      </c>
      <c r="B617" s="2" t="s">
        <v>8174</v>
      </c>
      <c r="C617" s="2" t="s">
        <v>8175</v>
      </c>
      <c r="D617" s="2" t="s">
        <v>8176</v>
      </c>
      <c r="F617" s="3" t="s">
        <v>58</v>
      </c>
      <c r="G617" s="3" t="s">
        <v>59</v>
      </c>
      <c r="H617" s="3" t="s">
        <v>58</v>
      </c>
      <c r="I617" s="3" t="s">
        <v>58</v>
      </c>
      <c r="J617" s="3" t="s">
        <v>60</v>
      </c>
      <c r="K617" s="2" t="s">
        <v>8177</v>
      </c>
      <c r="L617" s="2" t="s">
        <v>8178</v>
      </c>
      <c r="M617" s="3" t="s">
        <v>203</v>
      </c>
      <c r="O617" s="3" t="s">
        <v>65</v>
      </c>
      <c r="P617" s="3" t="s">
        <v>175</v>
      </c>
      <c r="R617" s="3" t="s">
        <v>67</v>
      </c>
      <c r="S617" s="4">
        <v>4</v>
      </c>
      <c r="T617" s="4">
        <v>4</v>
      </c>
      <c r="U617" s="5" t="s">
        <v>8057</v>
      </c>
      <c r="V617" s="5" t="s">
        <v>8057</v>
      </c>
      <c r="W617" s="5" t="s">
        <v>8086</v>
      </c>
      <c r="X617" s="5" t="s">
        <v>8086</v>
      </c>
      <c r="Y617" s="4">
        <v>464</v>
      </c>
      <c r="Z617" s="4">
        <v>334</v>
      </c>
      <c r="AA617" s="4">
        <v>405</v>
      </c>
      <c r="AB617" s="4">
        <v>1</v>
      </c>
      <c r="AC617" s="4">
        <v>1</v>
      </c>
      <c r="AD617" s="4">
        <v>10</v>
      </c>
      <c r="AE617" s="4">
        <v>11</v>
      </c>
      <c r="AF617" s="4">
        <v>3</v>
      </c>
      <c r="AG617" s="4">
        <v>3</v>
      </c>
      <c r="AH617" s="4">
        <v>4</v>
      </c>
      <c r="AI617" s="4">
        <v>4</v>
      </c>
      <c r="AJ617" s="4">
        <v>4</v>
      </c>
      <c r="AK617" s="4">
        <v>5</v>
      </c>
      <c r="AL617" s="4">
        <v>0</v>
      </c>
      <c r="AM617" s="4">
        <v>0</v>
      </c>
      <c r="AN617" s="4">
        <v>1</v>
      </c>
      <c r="AO617" s="4">
        <v>1</v>
      </c>
      <c r="AP617" s="3" t="s">
        <v>58</v>
      </c>
      <c r="AQ617" s="3" t="s">
        <v>87</v>
      </c>
      <c r="AR617" s="6" t="str">
        <f>HYPERLINK("http://catalog.hathitrust.org/Record/004270265","HathiTrust Record")</f>
        <v>HathiTrust Record</v>
      </c>
      <c r="AS617" s="6" t="str">
        <f>HYPERLINK("https://creighton-primo.hosted.exlibrisgroup.com/primo-explore/search?tab=default_tab&amp;search_scope=EVERYTHING&amp;vid=01CRU&amp;lang=en_US&amp;offset=0&amp;query=any,contains,991003884659702656","Catalog Record")</f>
        <v>Catalog Record</v>
      </c>
      <c r="AT617" s="6" t="str">
        <f>HYPERLINK("http://www.worldcat.org/oclc/48836908","WorldCat Record")</f>
        <v>WorldCat Record</v>
      </c>
      <c r="AU617" s="3" t="s">
        <v>8179</v>
      </c>
      <c r="AV617" s="3" t="s">
        <v>8180</v>
      </c>
      <c r="AW617" s="3" t="s">
        <v>8181</v>
      </c>
      <c r="AX617" s="3" t="s">
        <v>8181</v>
      </c>
      <c r="AY617" s="3" t="s">
        <v>8182</v>
      </c>
      <c r="AZ617" s="3" t="s">
        <v>74</v>
      </c>
      <c r="BB617" s="3" t="s">
        <v>8183</v>
      </c>
      <c r="BC617" s="3" t="s">
        <v>8184</v>
      </c>
      <c r="BD617" s="3" t="s">
        <v>8185</v>
      </c>
    </row>
    <row r="618" spans="1:56" ht="45.75" customHeight="1" x14ac:dyDescent="0.25">
      <c r="A618" s="7" t="s">
        <v>58</v>
      </c>
      <c r="B618" s="2" t="s">
        <v>8186</v>
      </c>
      <c r="C618" s="2" t="s">
        <v>8187</v>
      </c>
      <c r="D618" s="2" t="s">
        <v>8188</v>
      </c>
      <c r="F618" s="3" t="s">
        <v>58</v>
      </c>
      <c r="G618" s="3" t="s">
        <v>59</v>
      </c>
      <c r="H618" s="3" t="s">
        <v>58</v>
      </c>
      <c r="I618" s="3" t="s">
        <v>58</v>
      </c>
      <c r="J618" s="3" t="s">
        <v>60</v>
      </c>
      <c r="K618" s="2" t="s">
        <v>8189</v>
      </c>
      <c r="L618" s="2" t="s">
        <v>8112</v>
      </c>
      <c r="M618" s="3" t="s">
        <v>573</v>
      </c>
      <c r="N618" s="2" t="s">
        <v>543</v>
      </c>
      <c r="O618" s="3" t="s">
        <v>65</v>
      </c>
      <c r="P618" s="3" t="s">
        <v>84</v>
      </c>
      <c r="R618" s="3" t="s">
        <v>67</v>
      </c>
      <c r="S618" s="4">
        <v>2</v>
      </c>
      <c r="T618" s="4">
        <v>2</v>
      </c>
      <c r="U618" s="5" t="s">
        <v>7543</v>
      </c>
      <c r="V618" s="5" t="s">
        <v>7543</v>
      </c>
      <c r="W618" s="5" t="s">
        <v>8190</v>
      </c>
      <c r="X618" s="5" t="s">
        <v>8190</v>
      </c>
      <c r="Y618" s="4">
        <v>1412</v>
      </c>
      <c r="Z618" s="4">
        <v>1355</v>
      </c>
      <c r="AA618" s="4">
        <v>1396</v>
      </c>
      <c r="AB618" s="4">
        <v>14</v>
      </c>
      <c r="AC618" s="4">
        <v>14</v>
      </c>
      <c r="AD618" s="4">
        <v>32</v>
      </c>
      <c r="AE618" s="4">
        <v>32</v>
      </c>
      <c r="AF618" s="4">
        <v>13</v>
      </c>
      <c r="AG618" s="4">
        <v>13</v>
      </c>
      <c r="AH618" s="4">
        <v>4</v>
      </c>
      <c r="AI618" s="4">
        <v>4</v>
      </c>
      <c r="AJ618" s="4">
        <v>16</v>
      </c>
      <c r="AK618" s="4">
        <v>16</v>
      </c>
      <c r="AL618" s="4">
        <v>6</v>
      </c>
      <c r="AM618" s="4">
        <v>6</v>
      </c>
      <c r="AN618" s="4">
        <v>0</v>
      </c>
      <c r="AO618" s="4">
        <v>0</v>
      </c>
      <c r="AP618" s="3" t="s">
        <v>58</v>
      </c>
      <c r="AQ618" s="3" t="s">
        <v>58</v>
      </c>
      <c r="AS618" s="6" t="str">
        <f>HYPERLINK("https://creighton-primo.hosted.exlibrisgroup.com/primo-explore/search?tab=default_tab&amp;search_scope=EVERYTHING&amp;vid=01CRU&amp;lang=en_US&amp;offset=0&amp;query=any,contains,991004120669702656","Catalog Record")</f>
        <v>Catalog Record</v>
      </c>
      <c r="AT618" s="6" t="str">
        <f>HYPERLINK("http://www.worldcat.org/oclc/52058206","WorldCat Record")</f>
        <v>WorldCat Record</v>
      </c>
      <c r="AU618" s="3" t="s">
        <v>8191</v>
      </c>
      <c r="AV618" s="3" t="s">
        <v>8192</v>
      </c>
      <c r="AW618" s="3" t="s">
        <v>8193</v>
      </c>
      <c r="AX618" s="3" t="s">
        <v>8193</v>
      </c>
      <c r="AY618" s="3" t="s">
        <v>8194</v>
      </c>
      <c r="AZ618" s="3" t="s">
        <v>74</v>
      </c>
      <c r="BB618" s="3" t="s">
        <v>8195</v>
      </c>
      <c r="BC618" s="3" t="s">
        <v>8196</v>
      </c>
      <c r="BD618" s="3" t="s">
        <v>8197</v>
      </c>
    </row>
    <row r="619" spans="1:56" ht="45.75" customHeight="1" x14ac:dyDescent="0.25">
      <c r="A619" s="7" t="s">
        <v>58</v>
      </c>
      <c r="B619" s="2" t="s">
        <v>8198</v>
      </c>
      <c r="C619" s="2" t="s">
        <v>8199</v>
      </c>
      <c r="D619" s="2" t="s">
        <v>8200</v>
      </c>
      <c r="F619" s="3" t="s">
        <v>58</v>
      </c>
      <c r="G619" s="3" t="s">
        <v>59</v>
      </c>
      <c r="H619" s="3" t="s">
        <v>58</v>
      </c>
      <c r="I619" s="3" t="s">
        <v>58</v>
      </c>
      <c r="J619" s="3" t="s">
        <v>60</v>
      </c>
      <c r="K619" s="2" t="s">
        <v>8201</v>
      </c>
      <c r="L619" s="2" t="s">
        <v>8202</v>
      </c>
      <c r="M619" s="3" t="s">
        <v>203</v>
      </c>
      <c r="O619" s="3" t="s">
        <v>65</v>
      </c>
      <c r="P619" s="3" t="s">
        <v>84</v>
      </c>
      <c r="R619" s="3" t="s">
        <v>67</v>
      </c>
      <c r="S619" s="4">
        <v>3</v>
      </c>
      <c r="T619" s="4">
        <v>3</v>
      </c>
      <c r="U619" s="5" t="s">
        <v>8203</v>
      </c>
      <c r="V619" s="5" t="s">
        <v>8203</v>
      </c>
      <c r="W619" s="5" t="s">
        <v>8204</v>
      </c>
      <c r="X619" s="5" t="s">
        <v>8204</v>
      </c>
      <c r="Y619" s="4">
        <v>1943</v>
      </c>
      <c r="Z619" s="4">
        <v>1890</v>
      </c>
      <c r="AA619" s="4">
        <v>2200</v>
      </c>
      <c r="AB619" s="4">
        <v>29</v>
      </c>
      <c r="AC619" s="4">
        <v>54</v>
      </c>
      <c r="AD619" s="4">
        <v>29</v>
      </c>
      <c r="AE619" s="4">
        <v>38</v>
      </c>
      <c r="AF619" s="4">
        <v>13</v>
      </c>
      <c r="AG619" s="4">
        <v>14</v>
      </c>
      <c r="AH619" s="4">
        <v>4</v>
      </c>
      <c r="AI619" s="4">
        <v>4</v>
      </c>
      <c r="AJ619" s="4">
        <v>10</v>
      </c>
      <c r="AK619" s="4">
        <v>11</v>
      </c>
      <c r="AL619" s="4">
        <v>8</v>
      </c>
      <c r="AM619" s="4">
        <v>15</v>
      </c>
      <c r="AN619" s="4">
        <v>1</v>
      </c>
      <c r="AO619" s="4">
        <v>1</v>
      </c>
      <c r="AP619" s="3" t="s">
        <v>58</v>
      </c>
      <c r="AQ619" s="3" t="s">
        <v>58</v>
      </c>
      <c r="AS619" s="6" t="str">
        <f>HYPERLINK("https://creighton-primo.hosted.exlibrisgroup.com/primo-explore/search?tab=default_tab&amp;search_scope=EVERYTHING&amp;vid=01CRU&amp;lang=en_US&amp;offset=0&amp;query=any,contains,991003769469702656","Catalog Record")</f>
        <v>Catalog Record</v>
      </c>
      <c r="AT619" s="6" t="str">
        <f>HYPERLINK("http://www.worldcat.org/oclc/49285562","WorldCat Record")</f>
        <v>WorldCat Record</v>
      </c>
      <c r="AU619" s="3" t="s">
        <v>8205</v>
      </c>
      <c r="AV619" s="3" t="s">
        <v>8206</v>
      </c>
      <c r="AW619" s="3" t="s">
        <v>8207</v>
      </c>
      <c r="AX619" s="3" t="s">
        <v>8207</v>
      </c>
      <c r="AY619" s="3" t="s">
        <v>8208</v>
      </c>
      <c r="AZ619" s="3" t="s">
        <v>74</v>
      </c>
      <c r="BB619" s="3" t="s">
        <v>8209</v>
      </c>
      <c r="BC619" s="3" t="s">
        <v>8210</v>
      </c>
      <c r="BD619" s="3" t="s">
        <v>8211</v>
      </c>
    </row>
    <row r="620" spans="1:56" ht="45.75" customHeight="1" x14ac:dyDescent="0.25">
      <c r="A620" s="7" t="s">
        <v>58</v>
      </c>
      <c r="B620" s="2" t="s">
        <v>8212</v>
      </c>
      <c r="C620" s="2" t="s">
        <v>8213</v>
      </c>
      <c r="D620" s="2" t="s">
        <v>8214</v>
      </c>
      <c r="F620" s="3" t="s">
        <v>58</v>
      </c>
      <c r="G620" s="3" t="s">
        <v>59</v>
      </c>
      <c r="H620" s="3" t="s">
        <v>58</v>
      </c>
      <c r="I620" s="3" t="s">
        <v>58</v>
      </c>
      <c r="J620" s="3" t="s">
        <v>60</v>
      </c>
      <c r="K620" s="2" t="s">
        <v>8215</v>
      </c>
      <c r="L620" s="2" t="s">
        <v>8216</v>
      </c>
      <c r="M620" s="3" t="s">
        <v>131</v>
      </c>
      <c r="O620" s="3" t="s">
        <v>65</v>
      </c>
      <c r="P620" s="3" t="s">
        <v>84</v>
      </c>
      <c r="R620" s="3" t="s">
        <v>67</v>
      </c>
      <c r="S620" s="4">
        <v>1</v>
      </c>
      <c r="T620" s="4">
        <v>1</v>
      </c>
      <c r="U620" s="5" t="s">
        <v>8217</v>
      </c>
      <c r="V620" s="5" t="s">
        <v>8217</v>
      </c>
      <c r="W620" s="5" t="s">
        <v>8217</v>
      </c>
      <c r="X620" s="5" t="s">
        <v>8217</v>
      </c>
      <c r="Y620" s="4">
        <v>2050</v>
      </c>
      <c r="Z620" s="4">
        <v>1914</v>
      </c>
      <c r="AA620" s="4">
        <v>2043</v>
      </c>
      <c r="AB620" s="4">
        <v>20</v>
      </c>
      <c r="AC620" s="4">
        <v>22</v>
      </c>
      <c r="AD620" s="4">
        <v>42</v>
      </c>
      <c r="AE620" s="4">
        <v>43</v>
      </c>
      <c r="AF620" s="4">
        <v>17</v>
      </c>
      <c r="AG620" s="4">
        <v>17</v>
      </c>
      <c r="AH620" s="4">
        <v>8</v>
      </c>
      <c r="AI620" s="4">
        <v>8</v>
      </c>
      <c r="AJ620" s="4">
        <v>18</v>
      </c>
      <c r="AK620" s="4">
        <v>18</v>
      </c>
      <c r="AL620" s="4">
        <v>5</v>
      </c>
      <c r="AM620" s="4">
        <v>6</v>
      </c>
      <c r="AN620" s="4">
        <v>4</v>
      </c>
      <c r="AO620" s="4">
        <v>4</v>
      </c>
      <c r="AP620" s="3" t="s">
        <v>58</v>
      </c>
      <c r="AQ620" s="3" t="s">
        <v>58</v>
      </c>
      <c r="AS620" s="6" t="str">
        <f>HYPERLINK("https://creighton-primo.hosted.exlibrisgroup.com/primo-explore/search?tab=default_tab&amp;search_scope=EVERYTHING&amp;vid=01CRU&amp;lang=en_US&amp;offset=0&amp;query=any,contains,991004848899702656","Catalog Record")</f>
        <v>Catalog Record</v>
      </c>
      <c r="AT620" s="6" t="str">
        <f>HYPERLINK("http://www.worldcat.org/oclc/70055568","WorldCat Record")</f>
        <v>WorldCat Record</v>
      </c>
      <c r="AU620" s="3" t="s">
        <v>8218</v>
      </c>
      <c r="AV620" s="3" t="s">
        <v>8219</v>
      </c>
      <c r="AW620" s="3" t="s">
        <v>8220</v>
      </c>
      <c r="AX620" s="3" t="s">
        <v>8220</v>
      </c>
      <c r="AY620" s="3" t="s">
        <v>8221</v>
      </c>
      <c r="AZ620" s="3" t="s">
        <v>74</v>
      </c>
      <c r="BB620" s="3" t="s">
        <v>8222</v>
      </c>
      <c r="BC620" s="3" t="s">
        <v>8223</v>
      </c>
      <c r="BD620" s="3" t="s">
        <v>8224</v>
      </c>
    </row>
    <row r="621" spans="1:56" ht="45.75" customHeight="1" x14ac:dyDescent="0.25">
      <c r="A621" s="7" t="s">
        <v>58</v>
      </c>
      <c r="B621" s="2" t="s">
        <v>8225</v>
      </c>
      <c r="C621" s="2" t="s">
        <v>8226</v>
      </c>
      <c r="D621" s="2" t="s">
        <v>8227</v>
      </c>
      <c r="F621" s="3" t="s">
        <v>58</v>
      </c>
      <c r="G621" s="3" t="s">
        <v>59</v>
      </c>
      <c r="H621" s="3" t="s">
        <v>58</v>
      </c>
      <c r="I621" s="3" t="s">
        <v>58</v>
      </c>
      <c r="J621" s="3" t="s">
        <v>60</v>
      </c>
      <c r="K621" s="2" t="s">
        <v>8215</v>
      </c>
      <c r="L621" s="2" t="s">
        <v>8228</v>
      </c>
      <c r="M621" s="3" t="s">
        <v>162</v>
      </c>
      <c r="N621" s="2" t="s">
        <v>543</v>
      </c>
      <c r="O621" s="3" t="s">
        <v>65</v>
      </c>
      <c r="P621" s="3" t="s">
        <v>84</v>
      </c>
      <c r="R621" s="3" t="s">
        <v>67</v>
      </c>
      <c r="S621" s="4">
        <v>3</v>
      </c>
      <c r="T621" s="4">
        <v>3</v>
      </c>
      <c r="U621" s="5" t="s">
        <v>8229</v>
      </c>
      <c r="V621" s="5" t="s">
        <v>8229</v>
      </c>
      <c r="W621" s="5" t="s">
        <v>8230</v>
      </c>
      <c r="X621" s="5" t="s">
        <v>8230</v>
      </c>
      <c r="Y621" s="4">
        <v>1600</v>
      </c>
      <c r="Z621" s="4">
        <v>1537</v>
      </c>
      <c r="AA621" s="4">
        <v>1598</v>
      </c>
      <c r="AB621" s="4">
        <v>14</v>
      </c>
      <c r="AC621" s="4">
        <v>14</v>
      </c>
      <c r="AD621" s="4">
        <v>26</v>
      </c>
      <c r="AE621" s="4">
        <v>26</v>
      </c>
      <c r="AF621" s="4">
        <v>10</v>
      </c>
      <c r="AG621" s="4">
        <v>10</v>
      </c>
      <c r="AH621" s="4">
        <v>4</v>
      </c>
      <c r="AI621" s="4">
        <v>4</v>
      </c>
      <c r="AJ621" s="4">
        <v>11</v>
      </c>
      <c r="AK621" s="4">
        <v>11</v>
      </c>
      <c r="AL621" s="4">
        <v>4</v>
      </c>
      <c r="AM621" s="4">
        <v>4</v>
      </c>
      <c r="AN621" s="4">
        <v>2</v>
      </c>
      <c r="AO621" s="4">
        <v>2</v>
      </c>
      <c r="AP621" s="3" t="s">
        <v>58</v>
      </c>
      <c r="AQ621" s="3" t="s">
        <v>58</v>
      </c>
      <c r="AS621" s="6" t="str">
        <f>HYPERLINK("https://creighton-primo.hosted.exlibrisgroup.com/primo-explore/search?tab=default_tab&amp;search_scope=EVERYTHING&amp;vid=01CRU&amp;lang=en_US&amp;offset=0&amp;query=any,contains,991005259279702656","Catalog Record")</f>
        <v>Catalog Record</v>
      </c>
      <c r="AT621" s="6" t="str">
        <f>HYPERLINK("http://www.worldcat.org/oclc/232118567","WorldCat Record")</f>
        <v>WorldCat Record</v>
      </c>
      <c r="AU621" s="3" t="s">
        <v>8231</v>
      </c>
      <c r="AV621" s="3" t="s">
        <v>8232</v>
      </c>
      <c r="AW621" s="3" t="s">
        <v>8233</v>
      </c>
      <c r="AX621" s="3" t="s">
        <v>8233</v>
      </c>
      <c r="AY621" s="3" t="s">
        <v>8234</v>
      </c>
      <c r="AZ621" s="3" t="s">
        <v>74</v>
      </c>
      <c r="BB621" s="3" t="s">
        <v>8235</v>
      </c>
      <c r="BC621" s="3" t="s">
        <v>8236</v>
      </c>
      <c r="BD621" s="3" t="s">
        <v>8237</v>
      </c>
    </row>
    <row r="622" spans="1:56" ht="45.75" customHeight="1" x14ac:dyDescent="0.25">
      <c r="A622" s="7" t="s">
        <v>58</v>
      </c>
      <c r="B622" s="2" t="s">
        <v>8238</v>
      </c>
      <c r="C622" s="2" t="s">
        <v>8239</v>
      </c>
      <c r="D622" s="2" t="s">
        <v>8240</v>
      </c>
      <c r="F622" s="3" t="s">
        <v>58</v>
      </c>
      <c r="G622" s="3" t="s">
        <v>59</v>
      </c>
      <c r="H622" s="3" t="s">
        <v>58</v>
      </c>
      <c r="I622" s="3" t="s">
        <v>58</v>
      </c>
      <c r="J622" s="3" t="s">
        <v>60</v>
      </c>
      <c r="K622" s="2" t="s">
        <v>8241</v>
      </c>
      <c r="L622" s="2" t="s">
        <v>8242</v>
      </c>
      <c r="M622" s="3" t="s">
        <v>248</v>
      </c>
      <c r="N622" s="2" t="s">
        <v>543</v>
      </c>
      <c r="O622" s="3" t="s">
        <v>65</v>
      </c>
      <c r="P622" s="3" t="s">
        <v>84</v>
      </c>
      <c r="R622" s="3" t="s">
        <v>67</v>
      </c>
      <c r="S622" s="4">
        <v>3</v>
      </c>
      <c r="T622" s="4">
        <v>3</v>
      </c>
      <c r="U622" s="5" t="s">
        <v>8243</v>
      </c>
      <c r="V622" s="5" t="s">
        <v>8243</v>
      </c>
      <c r="W622" s="5" t="s">
        <v>8244</v>
      </c>
      <c r="X622" s="5" t="s">
        <v>8244</v>
      </c>
      <c r="Y622" s="4">
        <v>518</v>
      </c>
      <c r="Z622" s="4">
        <v>496</v>
      </c>
      <c r="AA622" s="4">
        <v>506</v>
      </c>
      <c r="AB622" s="4">
        <v>2</v>
      </c>
      <c r="AC622" s="4">
        <v>2</v>
      </c>
      <c r="AD622" s="4">
        <v>12</v>
      </c>
      <c r="AE622" s="4">
        <v>12</v>
      </c>
      <c r="AF622" s="4">
        <v>3</v>
      </c>
      <c r="AG622" s="4">
        <v>3</v>
      </c>
      <c r="AH622" s="4">
        <v>2</v>
      </c>
      <c r="AI622" s="4">
        <v>2</v>
      </c>
      <c r="AJ622" s="4">
        <v>9</v>
      </c>
      <c r="AK622" s="4">
        <v>9</v>
      </c>
      <c r="AL622" s="4">
        <v>1</v>
      </c>
      <c r="AM622" s="4">
        <v>1</v>
      </c>
      <c r="AN622" s="4">
        <v>1</v>
      </c>
      <c r="AO622" s="4">
        <v>1</v>
      </c>
      <c r="AP622" s="3" t="s">
        <v>58</v>
      </c>
      <c r="AQ622" s="3" t="s">
        <v>58</v>
      </c>
      <c r="AS622" s="6" t="str">
        <f>HYPERLINK("https://creighton-primo.hosted.exlibrisgroup.com/primo-explore/search?tab=default_tab&amp;search_scope=EVERYTHING&amp;vid=01CRU&amp;lang=en_US&amp;offset=0&amp;query=any,contains,991005133119702656","Catalog Record")</f>
        <v>Catalog Record</v>
      </c>
      <c r="AT622" s="6" t="str">
        <f>HYPERLINK("http://www.worldcat.org/oclc/170613498","WorldCat Record")</f>
        <v>WorldCat Record</v>
      </c>
      <c r="AU622" s="3" t="s">
        <v>8245</v>
      </c>
      <c r="AV622" s="3" t="s">
        <v>8246</v>
      </c>
      <c r="AW622" s="3" t="s">
        <v>8247</v>
      </c>
      <c r="AX622" s="3" t="s">
        <v>8247</v>
      </c>
      <c r="AY622" s="3" t="s">
        <v>8248</v>
      </c>
      <c r="AZ622" s="3" t="s">
        <v>74</v>
      </c>
      <c r="BB622" s="3" t="s">
        <v>8249</v>
      </c>
      <c r="BC622" s="3" t="s">
        <v>8250</v>
      </c>
      <c r="BD622" s="3" t="s">
        <v>8251</v>
      </c>
    </row>
    <row r="623" spans="1:56" ht="45.75" customHeight="1" x14ac:dyDescent="0.25">
      <c r="A623" s="7" t="s">
        <v>58</v>
      </c>
      <c r="B623" s="2" t="s">
        <v>8252</v>
      </c>
      <c r="C623" s="2" t="s">
        <v>8253</v>
      </c>
      <c r="D623" s="2" t="s">
        <v>8254</v>
      </c>
      <c r="F623" s="3" t="s">
        <v>58</v>
      </c>
      <c r="G623" s="3" t="s">
        <v>59</v>
      </c>
      <c r="H623" s="3" t="s">
        <v>58</v>
      </c>
      <c r="I623" s="3" t="s">
        <v>58</v>
      </c>
      <c r="J623" s="3" t="s">
        <v>60</v>
      </c>
      <c r="L623" s="2" t="s">
        <v>8255</v>
      </c>
      <c r="M623" s="3" t="s">
        <v>573</v>
      </c>
      <c r="N623" s="2" t="s">
        <v>543</v>
      </c>
      <c r="O623" s="3" t="s">
        <v>65</v>
      </c>
      <c r="P623" s="3" t="s">
        <v>84</v>
      </c>
      <c r="R623" s="3" t="s">
        <v>67</v>
      </c>
      <c r="S623" s="4">
        <v>3</v>
      </c>
      <c r="T623" s="4">
        <v>3</v>
      </c>
      <c r="U623" s="5" t="s">
        <v>8256</v>
      </c>
      <c r="V623" s="5" t="s">
        <v>8256</v>
      </c>
      <c r="W623" s="5" t="s">
        <v>8086</v>
      </c>
      <c r="X623" s="5" t="s">
        <v>8086</v>
      </c>
      <c r="Y623" s="4">
        <v>639</v>
      </c>
      <c r="Z623" s="4">
        <v>616</v>
      </c>
      <c r="AA623" s="4">
        <v>621</v>
      </c>
      <c r="AB623" s="4">
        <v>5</v>
      </c>
      <c r="AC623" s="4">
        <v>5</v>
      </c>
      <c r="AD623" s="4">
        <v>9</v>
      </c>
      <c r="AE623" s="4">
        <v>9</v>
      </c>
      <c r="AF623" s="4">
        <v>4</v>
      </c>
      <c r="AG623" s="4">
        <v>4</v>
      </c>
      <c r="AH623" s="4">
        <v>2</v>
      </c>
      <c r="AI623" s="4">
        <v>2</v>
      </c>
      <c r="AJ623" s="4">
        <v>4</v>
      </c>
      <c r="AK623" s="4">
        <v>4</v>
      </c>
      <c r="AL623" s="4">
        <v>1</v>
      </c>
      <c r="AM623" s="4">
        <v>1</v>
      </c>
      <c r="AN623" s="4">
        <v>1</v>
      </c>
      <c r="AO623" s="4">
        <v>1</v>
      </c>
      <c r="AP623" s="3" t="s">
        <v>58</v>
      </c>
      <c r="AQ623" s="3" t="s">
        <v>58</v>
      </c>
      <c r="AS623" s="6" t="str">
        <f>HYPERLINK("https://creighton-primo.hosted.exlibrisgroup.com/primo-explore/search?tab=default_tab&amp;search_scope=EVERYTHING&amp;vid=01CRU&amp;lang=en_US&amp;offset=0&amp;query=any,contains,991004076699702656","Catalog Record")</f>
        <v>Catalog Record</v>
      </c>
      <c r="AT623" s="6" t="str">
        <f>HYPERLINK("http://www.worldcat.org/oclc/51855504","WorldCat Record")</f>
        <v>WorldCat Record</v>
      </c>
      <c r="AU623" s="3" t="s">
        <v>8257</v>
      </c>
      <c r="AV623" s="3" t="s">
        <v>8258</v>
      </c>
      <c r="AW623" s="3" t="s">
        <v>8259</v>
      </c>
      <c r="AX623" s="3" t="s">
        <v>8259</v>
      </c>
      <c r="AY623" s="3" t="s">
        <v>8260</v>
      </c>
      <c r="AZ623" s="3" t="s">
        <v>74</v>
      </c>
      <c r="BB623" s="3" t="s">
        <v>8261</v>
      </c>
      <c r="BC623" s="3" t="s">
        <v>8262</v>
      </c>
      <c r="BD623" s="3" t="s">
        <v>8263</v>
      </c>
    </row>
    <row r="624" spans="1:56" ht="45.75" customHeight="1" x14ac:dyDescent="0.25">
      <c r="A624" s="7" t="s">
        <v>58</v>
      </c>
      <c r="B624" s="2" t="s">
        <v>8264</v>
      </c>
      <c r="C624" s="2" t="s">
        <v>8265</v>
      </c>
      <c r="D624" s="2" t="s">
        <v>8266</v>
      </c>
      <c r="F624" s="3" t="s">
        <v>58</v>
      </c>
      <c r="G624" s="3" t="s">
        <v>59</v>
      </c>
      <c r="H624" s="3" t="s">
        <v>58</v>
      </c>
      <c r="I624" s="3" t="s">
        <v>58</v>
      </c>
      <c r="J624" s="3" t="s">
        <v>60</v>
      </c>
      <c r="L624" s="2" t="s">
        <v>8267</v>
      </c>
      <c r="M624" s="3" t="s">
        <v>203</v>
      </c>
      <c r="O624" s="3" t="s">
        <v>65</v>
      </c>
      <c r="P624" s="3" t="s">
        <v>84</v>
      </c>
      <c r="R624" s="3" t="s">
        <v>67</v>
      </c>
      <c r="S624" s="4">
        <v>6</v>
      </c>
      <c r="T624" s="4">
        <v>6</v>
      </c>
      <c r="U624" s="5" t="s">
        <v>7715</v>
      </c>
      <c r="V624" s="5" t="s">
        <v>7715</v>
      </c>
      <c r="W624" s="5" t="s">
        <v>8268</v>
      </c>
      <c r="X624" s="5" t="s">
        <v>8268</v>
      </c>
      <c r="Y624" s="4">
        <v>822</v>
      </c>
      <c r="Z624" s="4">
        <v>704</v>
      </c>
      <c r="AA624" s="4">
        <v>704</v>
      </c>
      <c r="AB624" s="4">
        <v>3</v>
      </c>
      <c r="AC624" s="4">
        <v>3</v>
      </c>
      <c r="AD624" s="4">
        <v>27</v>
      </c>
      <c r="AE624" s="4">
        <v>27</v>
      </c>
      <c r="AF624" s="4">
        <v>10</v>
      </c>
      <c r="AG624" s="4">
        <v>10</v>
      </c>
      <c r="AH624" s="4">
        <v>7</v>
      </c>
      <c r="AI624" s="4">
        <v>7</v>
      </c>
      <c r="AJ624" s="4">
        <v>13</v>
      </c>
      <c r="AK624" s="4">
        <v>13</v>
      </c>
      <c r="AL624" s="4">
        <v>2</v>
      </c>
      <c r="AM624" s="4">
        <v>2</v>
      </c>
      <c r="AN624" s="4">
        <v>1</v>
      </c>
      <c r="AO624" s="4">
        <v>1</v>
      </c>
      <c r="AP624" s="3" t="s">
        <v>58</v>
      </c>
      <c r="AQ624" s="3" t="s">
        <v>58</v>
      </c>
      <c r="AS624" s="6" t="str">
        <f>HYPERLINK("https://creighton-primo.hosted.exlibrisgroup.com/primo-explore/search?tab=default_tab&amp;search_scope=EVERYTHING&amp;vid=01CRU&amp;lang=en_US&amp;offset=0&amp;query=any,contains,991003849009702656","Catalog Record")</f>
        <v>Catalog Record</v>
      </c>
      <c r="AT624" s="6" t="str">
        <f>HYPERLINK("http://www.worldcat.org/oclc/50079920","WorldCat Record")</f>
        <v>WorldCat Record</v>
      </c>
      <c r="AU624" s="3" t="s">
        <v>8269</v>
      </c>
      <c r="AV624" s="3" t="s">
        <v>8270</v>
      </c>
      <c r="AW624" s="3" t="s">
        <v>8271</v>
      </c>
      <c r="AX624" s="3" t="s">
        <v>8271</v>
      </c>
      <c r="AY624" s="3" t="s">
        <v>8272</v>
      </c>
      <c r="AZ624" s="3" t="s">
        <v>74</v>
      </c>
      <c r="BB624" s="3" t="s">
        <v>8273</v>
      </c>
      <c r="BC624" s="3" t="s">
        <v>8274</v>
      </c>
      <c r="BD624" s="3" t="s">
        <v>8275</v>
      </c>
    </row>
    <row r="625" spans="1:56" ht="45.75" customHeight="1" x14ac:dyDescent="0.25">
      <c r="A625" s="7" t="s">
        <v>58</v>
      </c>
      <c r="B625" s="2" t="s">
        <v>8276</v>
      </c>
      <c r="C625" s="2" t="s">
        <v>8277</v>
      </c>
      <c r="D625" s="2" t="s">
        <v>8278</v>
      </c>
      <c r="F625" s="3" t="s">
        <v>58</v>
      </c>
      <c r="G625" s="3" t="s">
        <v>59</v>
      </c>
      <c r="H625" s="3" t="s">
        <v>58</v>
      </c>
      <c r="I625" s="3" t="s">
        <v>58</v>
      </c>
      <c r="J625" s="3" t="s">
        <v>60</v>
      </c>
      <c r="L625" s="2" t="s">
        <v>8279</v>
      </c>
      <c r="M625" s="3" t="s">
        <v>63</v>
      </c>
      <c r="O625" s="3" t="s">
        <v>65</v>
      </c>
      <c r="P625" s="3" t="s">
        <v>84</v>
      </c>
      <c r="R625" s="3" t="s">
        <v>67</v>
      </c>
      <c r="S625" s="4">
        <v>4</v>
      </c>
      <c r="T625" s="4">
        <v>4</v>
      </c>
      <c r="U625" s="5" t="s">
        <v>8280</v>
      </c>
      <c r="V625" s="5" t="s">
        <v>8280</v>
      </c>
      <c r="W625" s="5" t="s">
        <v>8281</v>
      </c>
      <c r="X625" s="5" t="s">
        <v>8281</v>
      </c>
      <c r="Y625" s="4">
        <v>196</v>
      </c>
      <c r="Z625" s="4">
        <v>159</v>
      </c>
      <c r="AA625" s="4">
        <v>164</v>
      </c>
      <c r="AB625" s="4">
        <v>1</v>
      </c>
      <c r="AC625" s="4">
        <v>1</v>
      </c>
      <c r="AD625" s="4">
        <v>9</v>
      </c>
      <c r="AE625" s="4">
        <v>9</v>
      </c>
      <c r="AF625" s="4">
        <v>2</v>
      </c>
      <c r="AG625" s="4">
        <v>2</v>
      </c>
      <c r="AH625" s="4">
        <v>3</v>
      </c>
      <c r="AI625" s="4">
        <v>3</v>
      </c>
      <c r="AJ625" s="4">
        <v>4</v>
      </c>
      <c r="AK625" s="4">
        <v>4</v>
      </c>
      <c r="AL625" s="4">
        <v>0</v>
      </c>
      <c r="AM625" s="4">
        <v>0</v>
      </c>
      <c r="AN625" s="4">
        <v>2</v>
      </c>
      <c r="AO625" s="4">
        <v>2</v>
      </c>
      <c r="AP625" s="3" t="s">
        <v>58</v>
      </c>
      <c r="AQ625" s="3" t="s">
        <v>58</v>
      </c>
      <c r="AS625" s="6" t="str">
        <f>HYPERLINK("https://creighton-primo.hosted.exlibrisgroup.com/primo-explore/search?tab=default_tab&amp;search_scope=EVERYTHING&amp;vid=01CRU&amp;lang=en_US&amp;offset=0&amp;query=any,contains,991004637619702656","Catalog Record")</f>
        <v>Catalog Record</v>
      </c>
      <c r="AT625" s="6" t="str">
        <f>HYPERLINK("http://www.worldcat.org/oclc/60342408","WorldCat Record")</f>
        <v>WorldCat Record</v>
      </c>
      <c r="AU625" s="3" t="s">
        <v>8282</v>
      </c>
      <c r="AV625" s="3" t="s">
        <v>8283</v>
      </c>
      <c r="AW625" s="3" t="s">
        <v>8284</v>
      </c>
      <c r="AX625" s="3" t="s">
        <v>8284</v>
      </c>
      <c r="AY625" s="3" t="s">
        <v>8285</v>
      </c>
      <c r="AZ625" s="3" t="s">
        <v>74</v>
      </c>
      <c r="BB625" s="3" t="s">
        <v>8286</v>
      </c>
      <c r="BC625" s="3" t="s">
        <v>8287</v>
      </c>
      <c r="BD625" s="3" t="s">
        <v>8288</v>
      </c>
    </row>
    <row r="626" spans="1:56" ht="45.75" customHeight="1" x14ac:dyDescent="0.25">
      <c r="A626" s="7" t="s">
        <v>58</v>
      </c>
      <c r="B626" s="2" t="s">
        <v>8289</v>
      </c>
      <c r="C626" s="2" t="s">
        <v>8290</v>
      </c>
      <c r="D626" s="2" t="s">
        <v>8291</v>
      </c>
      <c r="F626" s="3" t="s">
        <v>58</v>
      </c>
      <c r="G626" s="3" t="s">
        <v>59</v>
      </c>
      <c r="H626" s="3" t="s">
        <v>58</v>
      </c>
      <c r="I626" s="3" t="s">
        <v>58</v>
      </c>
      <c r="J626" s="3" t="s">
        <v>60</v>
      </c>
      <c r="L626" s="2" t="s">
        <v>8292</v>
      </c>
      <c r="M626" s="3" t="s">
        <v>203</v>
      </c>
      <c r="O626" s="3" t="s">
        <v>65</v>
      </c>
      <c r="P626" s="3" t="s">
        <v>84</v>
      </c>
      <c r="R626" s="3" t="s">
        <v>67</v>
      </c>
      <c r="S626" s="4">
        <v>4</v>
      </c>
      <c r="T626" s="4">
        <v>4</v>
      </c>
      <c r="U626" s="5" t="s">
        <v>8293</v>
      </c>
      <c r="V626" s="5" t="s">
        <v>8293</v>
      </c>
      <c r="W626" s="5" t="s">
        <v>8294</v>
      </c>
      <c r="X626" s="5" t="s">
        <v>8294</v>
      </c>
      <c r="Y626" s="4">
        <v>1264</v>
      </c>
      <c r="Z626" s="4">
        <v>1220</v>
      </c>
      <c r="AA626" s="4">
        <v>1674</v>
      </c>
      <c r="AB626" s="4">
        <v>20</v>
      </c>
      <c r="AC626" s="4">
        <v>23</v>
      </c>
      <c r="AD626" s="4">
        <v>22</v>
      </c>
      <c r="AE626" s="4">
        <v>27</v>
      </c>
      <c r="AF626" s="4">
        <v>9</v>
      </c>
      <c r="AG626" s="4">
        <v>12</v>
      </c>
      <c r="AH626" s="4">
        <v>3</v>
      </c>
      <c r="AI626" s="4">
        <v>5</v>
      </c>
      <c r="AJ626" s="4">
        <v>6</v>
      </c>
      <c r="AK626" s="4">
        <v>7</v>
      </c>
      <c r="AL626" s="4">
        <v>5</v>
      </c>
      <c r="AM626" s="4">
        <v>5</v>
      </c>
      <c r="AN626" s="4">
        <v>2</v>
      </c>
      <c r="AO626" s="4">
        <v>2</v>
      </c>
      <c r="AP626" s="3" t="s">
        <v>58</v>
      </c>
      <c r="AQ626" s="3" t="s">
        <v>58</v>
      </c>
      <c r="AS626" s="6" t="str">
        <f>HYPERLINK("https://creighton-primo.hosted.exlibrisgroup.com/primo-explore/search?tab=default_tab&amp;search_scope=EVERYTHING&amp;vid=01CRU&amp;lang=en_US&amp;offset=0&amp;query=any,contains,991003898949702656","Catalog Record")</f>
        <v>Catalog Record</v>
      </c>
      <c r="AT626" s="6" t="str">
        <f>HYPERLINK("http://www.worldcat.org/oclc/50028610","WorldCat Record")</f>
        <v>WorldCat Record</v>
      </c>
      <c r="AU626" s="3" t="s">
        <v>8295</v>
      </c>
      <c r="AV626" s="3" t="s">
        <v>8296</v>
      </c>
      <c r="AW626" s="3" t="s">
        <v>8297</v>
      </c>
      <c r="AX626" s="3" t="s">
        <v>8297</v>
      </c>
      <c r="AY626" s="3" t="s">
        <v>8298</v>
      </c>
      <c r="AZ626" s="3" t="s">
        <v>74</v>
      </c>
      <c r="BB626" s="3" t="s">
        <v>8299</v>
      </c>
      <c r="BC626" s="3" t="s">
        <v>8300</v>
      </c>
      <c r="BD626" s="3" t="s">
        <v>8301</v>
      </c>
    </row>
    <row r="627" spans="1:56" ht="45.75" customHeight="1" x14ac:dyDescent="0.25">
      <c r="A627" s="7" t="s">
        <v>58</v>
      </c>
      <c r="B627" s="2" t="s">
        <v>8302</v>
      </c>
      <c r="C627" s="2" t="s">
        <v>8303</v>
      </c>
      <c r="D627" s="2" t="s">
        <v>8304</v>
      </c>
      <c r="F627" s="3" t="s">
        <v>58</v>
      </c>
      <c r="G627" s="3" t="s">
        <v>59</v>
      </c>
      <c r="H627" s="3" t="s">
        <v>58</v>
      </c>
      <c r="I627" s="3" t="s">
        <v>58</v>
      </c>
      <c r="J627" s="3" t="s">
        <v>60</v>
      </c>
      <c r="K627" s="2" t="s">
        <v>8305</v>
      </c>
      <c r="L627" s="2" t="s">
        <v>8306</v>
      </c>
      <c r="M627" s="3" t="s">
        <v>131</v>
      </c>
      <c r="N627" s="2" t="s">
        <v>543</v>
      </c>
      <c r="O627" s="3" t="s">
        <v>65</v>
      </c>
      <c r="P627" s="3" t="s">
        <v>84</v>
      </c>
      <c r="R627" s="3" t="s">
        <v>67</v>
      </c>
      <c r="S627" s="4">
        <v>1</v>
      </c>
      <c r="T627" s="4">
        <v>1</v>
      </c>
      <c r="U627" s="5" t="s">
        <v>8307</v>
      </c>
      <c r="V627" s="5" t="s">
        <v>8307</v>
      </c>
      <c r="W627" s="5" t="s">
        <v>8307</v>
      </c>
      <c r="X627" s="5" t="s">
        <v>8307</v>
      </c>
      <c r="Y627" s="4">
        <v>677</v>
      </c>
      <c r="Z627" s="4">
        <v>623</v>
      </c>
      <c r="AA627" s="4">
        <v>644</v>
      </c>
      <c r="AB627" s="4">
        <v>4</v>
      </c>
      <c r="AC627" s="4">
        <v>4</v>
      </c>
      <c r="AD627" s="4">
        <v>30</v>
      </c>
      <c r="AE627" s="4">
        <v>31</v>
      </c>
      <c r="AF627" s="4">
        <v>12</v>
      </c>
      <c r="AG627" s="4">
        <v>13</v>
      </c>
      <c r="AH627" s="4">
        <v>5</v>
      </c>
      <c r="AI627" s="4">
        <v>6</v>
      </c>
      <c r="AJ627" s="4">
        <v>13</v>
      </c>
      <c r="AK627" s="4">
        <v>13</v>
      </c>
      <c r="AL627" s="4">
        <v>3</v>
      </c>
      <c r="AM627" s="4">
        <v>3</v>
      </c>
      <c r="AN627" s="4">
        <v>5</v>
      </c>
      <c r="AO627" s="4">
        <v>5</v>
      </c>
      <c r="AP627" s="3" t="s">
        <v>58</v>
      </c>
      <c r="AQ627" s="3" t="s">
        <v>58</v>
      </c>
      <c r="AS627" s="6" t="str">
        <f>HYPERLINK("https://creighton-primo.hosted.exlibrisgroup.com/primo-explore/search?tab=default_tab&amp;search_scope=EVERYTHING&amp;vid=01CRU&amp;lang=en_US&amp;offset=0&amp;query=any,contains,991005004749702656","Catalog Record")</f>
        <v>Catalog Record</v>
      </c>
      <c r="AT627" s="6" t="str">
        <f>HYPERLINK("http://www.worldcat.org/oclc/70176955","WorldCat Record")</f>
        <v>WorldCat Record</v>
      </c>
      <c r="AU627" s="3" t="s">
        <v>8308</v>
      </c>
      <c r="AV627" s="3" t="s">
        <v>8309</v>
      </c>
      <c r="AW627" s="3" t="s">
        <v>8310</v>
      </c>
      <c r="AX627" s="3" t="s">
        <v>8310</v>
      </c>
      <c r="AY627" s="3" t="s">
        <v>8311</v>
      </c>
      <c r="AZ627" s="3" t="s">
        <v>74</v>
      </c>
      <c r="BB627" s="3" t="s">
        <v>8312</v>
      </c>
      <c r="BC627" s="3" t="s">
        <v>8313</v>
      </c>
      <c r="BD627" s="3" t="s">
        <v>8314</v>
      </c>
    </row>
    <row r="628" spans="1:56" ht="45.75" customHeight="1" x14ac:dyDescent="0.25">
      <c r="A628" s="7" t="s">
        <v>58</v>
      </c>
      <c r="B628" s="2" t="s">
        <v>8315</v>
      </c>
      <c r="C628" s="2" t="s">
        <v>8316</v>
      </c>
      <c r="D628" s="2" t="s">
        <v>8317</v>
      </c>
      <c r="F628" s="3" t="s">
        <v>58</v>
      </c>
      <c r="G628" s="3" t="s">
        <v>59</v>
      </c>
      <c r="H628" s="3" t="s">
        <v>58</v>
      </c>
      <c r="I628" s="3" t="s">
        <v>58</v>
      </c>
      <c r="J628" s="3" t="s">
        <v>60</v>
      </c>
      <c r="K628" s="2" t="s">
        <v>8318</v>
      </c>
      <c r="L628" s="2" t="s">
        <v>8319</v>
      </c>
      <c r="M628" s="3" t="s">
        <v>63</v>
      </c>
      <c r="O628" s="3" t="s">
        <v>65</v>
      </c>
      <c r="P628" s="3" t="s">
        <v>132</v>
      </c>
      <c r="Q628" s="2" t="s">
        <v>4829</v>
      </c>
      <c r="R628" s="3" t="s">
        <v>67</v>
      </c>
      <c r="S628" s="4">
        <v>3</v>
      </c>
      <c r="T628" s="4">
        <v>3</v>
      </c>
      <c r="U628" s="5" t="s">
        <v>7100</v>
      </c>
      <c r="V628" s="5" t="s">
        <v>7100</v>
      </c>
      <c r="W628" s="5" t="s">
        <v>8320</v>
      </c>
      <c r="X628" s="5" t="s">
        <v>8320</v>
      </c>
      <c r="Y628" s="4">
        <v>542</v>
      </c>
      <c r="Z628" s="4">
        <v>524</v>
      </c>
      <c r="AA628" s="4">
        <v>913</v>
      </c>
      <c r="AB628" s="4">
        <v>4</v>
      </c>
      <c r="AC628" s="4">
        <v>7</v>
      </c>
      <c r="AD628" s="4">
        <v>13</v>
      </c>
      <c r="AE628" s="4">
        <v>25</v>
      </c>
      <c r="AF628" s="4">
        <v>3</v>
      </c>
      <c r="AG628" s="4">
        <v>9</v>
      </c>
      <c r="AH628" s="4">
        <v>1</v>
      </c>
      <c r="AI628" s="4">
        <v>5</v>
      </c>
      <c r="AJ628" s="4">
        <v>4</v>
      </c>
      <c r="AK628" s="4">
        <v>10</v>
      </c>
      <c r="AL628" s="4">
        <v>2</v>
      </c>
      <c r="AM628" s="4">
        <v>5</v>
      </c>
      <c r="AN628" s="4">
        <v>5</v>
      </c>
      <c r="AO628" s="4">
        <v>5</v>
      </c>
      <c r="AP628" s="3" t="s">
        <v>58</v>
      </c>
      <c r="AQ628" s="3" t="s">
        <v>58</v>
      </c>
      <c r="AS628" s="6" t="str">
        <f>HYPERLINK("https://creighton-primo.hosted.exlibrisgroup.com/primo-explore/search?tab=default_tab&amp;search_scope=EVERYTHING&amp;vid=01CRU&amp;lang=en_US&amp;offset=0&amp;query=any,contains,991004680679702656","Catalog Record")</f>
        <v>Catalog Record</v>
      </c>
      <c r="AT628" s="6" t="str">
        <f>HYPERLINK("http://www.worldcat.org/oclc/61179567","WorldCat Record")</f>
        <v>WorldCat Record</v>
      </c>
      <c r="AU628" s="3" t="s">
        <v>8321</v>
      </c>
      <c r="AV628" s="3" t="s">
        <v>8322</v>
      </c>
      <c r="AW628" s="3" t="s">
        <v>8323</v>
      </c>
      <c r="AX628" s="3" t="s">
        <v>8323</v>
      </c>
      <c r="AY628" s="3" t="s">
        <v>8324</v>
      </c>
      <c r="AZ628" s="3" t="s">
        <v>74</v>
      </c>
      <c r="BB628" s="3" t="s">
        <v>8325</v>
      </c>
      <c r="BC628" s="3" t="s">
        <v>8326</v>
      </c>
      <c r="BD628" s="3" t="s">
        <v>8327</v>
      </c>
    </row>
    <row r="629" spans="1:56" ht="45.75" customHeight="1" x14ac:dyDescent="0.25">
      <c r="A629" s="7" t="s">
        <v>58</v>
      </c>
      <c r="B629" s="2" t="s">
        <v>8328</v>
      </c>
      <c r="C629" s="2" t="s">
        <v>8329</v>
      </c>
      <c r="D629" s="2" t="s">
        <v>8330</v>
      </c>
      <c r="F629" s="3" t="s">
        <v>58</v>
      </c>
      <c r="G629" s="3" t="s">
        <v>59</v>
      </c>
      <c r="H629" s="3" t="s">
        <v>58</v>
      </c>
      <c r="I629" s="3" t="s">
        <v>58</v>
      </c>
      <c r="J629" s="3" t="s">
        <v>60</v>
      </c>
      <c r="K629" s="2" t="s">
        <v>8331</v>
      </c>
      <c r="L629" s="2" t="s">
        <v>8332</v>
      </c>
      <c r="M629" s="3" t="s">
        <v>203</v>
      </c>
      <c r="O629" s="3" t="s">
        <v>65</v>
      </c>
      <c r="P629" s="3" t="s">
        <v>84</v>
      </c>
      <c r="R629" s="3" t="s">
        <v>67</v>
      </c>
      <c r="S629" s="4">
        <v>7</v>
      </c>
      <c r="T629" s="4">
        <v>7</v>
      </c>
      <c r="U629" s="5" t="s">
        <v>8333</v>
      </c>
      <c r="V629" s="5" t="s">
        <v>8333</v>
      </c>
      <c r="W629" s="5" t="s">
        <v>2133</v>
      </c>
      <c r="X629" s="5" t="s">
        <v>2133</v>
      </c>
      <c r="Y629" s="4">
        <v>1563</v>
      </c>
      <c r="Z629" s="4">
        <v>1480</v>
      </c>
      <c r="AA629" s="4">
        <v>1666</v>
      </c>
      <c r="AB629" s="4">
        <v>15</v>
      </c>
      <c r="AC629" s="4">
        <v>16</v>
      </c>
      <c r="AD629" s="4">
        <v>34</v>
      </c>
      <c r="AE629" s="4">
        <v>38</v>
      </c>
      <c r="AF629" s="4">
        <v>14</v>
      </c>
      <c r="AG629" s="4">
        <v>15</v>
      </c>
      <c r="AH629" s="4">
        <v>7</v>
      </c>
      <c r="AI629" s="4">
        <v>8</v>
      </c>
      <c r="AJ629" s="4">
        <v>12</v>
      </c>
      <c r="AK629" s="4">
        <v>13</v>
      </c>
      <c r="AL629" s="4">
        <v>6</v>
      </c>
      <c r="AM629" s="4">
        <v>7</v>
      </c>
      <c r="AN629" s="4">
        <v>2</v>
      </c>
      <c r="AO629" s="4">
        <v>2</v>
      </c>
      <c r="AP629" s="3" t="s">
        <v>58</v>
      </c>
      <c r="AQ629" s="3" t="s">
        <v>58</v>
      </c>
      <c r="AS629" s="6" t="str">
        <f>HYPERLINK("https://creighton-primo.hosted.exlibrisgroup.com/primo-explore/search?tab=default_tab&amp;search_scope=EVERYTHING&amp;vid=01CRU&amp;lang=en_US&amp;offset=0&amp;query=any,contains,991003722969702656","Catalog Record")</f>
        <v>Catalog Record</v>
      </c>
      <c r="AT629" s="6" t="str">
        <f>HYPERLINK("http://www.worldcat.org/oclc/48811726","WorldCat Record")</f>
        <v>WorldCat Record</v>
      </c>
      <c r="AU629" s="3" t="s">
        <v>8334</v>
      </c>
      <c r="AV629" s="3" t="s">
        <v>8335</v>
      </c>
      <c r="AW629" s="3" t="s">
        <v>8336</v>
      </c>
      <c r="AX629" s="3" t="s">
        <v>8336</v>
      </c>
      <c r="AY629" s="3" t="s">
        <v>8337</v>
      </c>
      <c r="AZ629" s="3" t="s">
        <v>74</v>
      </c>
      <c r="BB629" s="3" t="s">
        <v>8338</v>
      </c>
      <c r="BC629" s="3" t="s">
        <v>8339</v>
      </c>
      <c r="BD629" s="3" t="s">
        <v>8340</v>
      </c>
    </row>
    <row r="630" spans="1:56" ht="45.75" customHeight="1" x14ac:dyDescent="0.25">
      <c r="A630" s="7" t="s">
        <v>58</v>
      </c>
      <c r="B630" s="2" t="s">
        <v>8341</v>
      </c>
      <c r="C630" s="2" t="s">
        <v>8342</v>
      </c>
      <c r="D630" s="2" t="s">
        <v>8343</v>
      </c>
      <c r="F630" s="3" t="s">
        <v>58</v>
      </c>
      <c r="G630" s="3" t="s">
        <v>59</v>
      </c>
      <c r="H630" s="3" t="s">
        <v>58</v>
      </c>
      <c r="I630" s="3" t="s">
        <v>58</v>
      </c>
      <c r="J630" s="3" t="s">
        <v>60</v>
      </c>
      <c r="K630" s="2" t="s">
        <v>8344</v>
      </c>
      <c r="L630" s="2" t="s">
        <v>8345</v>
      </c>
      <c r="M630" s="3" t="s">
        <v>63</v>
      </c>
      <c r="N630" s="2" t="s">
        <v>543</v>
      </c>
      <c r="O630" s="3" t="s">
        <v>65</v>
      </c>
      <c r="P630" s="3" t="s">
        <v>84</v>
      </c>
      <c r="R630" s="3" t="s">
        <v>67</v>
      </c>
      <c r="S630" s="4">
        <v>1</v>
      </c>
      <c r="T630" s="4">
        <v>1</v>
      </c>
      <c r="U630" s="5" t="s">
        <v>7142</v>
      </c>
      <c r="V630" s="5" t="s">
        <v>7142</v>
      </c>
      <c r="W630" s="5" t="s">
        <v>7142</v>
      </c>
      <c r="X630" s="5" t="s">
        <v>7142</v>
      </c>
      <c r="Y630" s="4">
        <v>433</v>
      </c>
      <c r="Z630" s="4">
        <v>407</v>
      </c>
      <c r="AA630" s="4">
        <v>512</v>
      </c>
      <c r="AB630" s="4">
        <v>2</v>
      </c>
      <c r="AC630" s="4">
        <v>2</v>
      </c>
      <c r="AD630" s="4">
        <v>5</v>
      </c>
      <c r="AE630" s="4">
        <v>6</v>
      </c>
      <c r="AF630" s="4">
        <v>1</v>
      </c>
      <c r="AG630" s="4">
        <v>1</v>
      </c>
      <c r="AH630" s="4">
        <v>1</v>
      </c>
      <c r="AI630" s="4">
        <v>2</v>
      </c>
      <c r="AJ630" s="4">
        <v>4</v>
      </c>
      <c r="AK630" s="4">
        <v>5</v>
      </c>
      <c r="AL630" s="4">
        <v>0</v>
      </c>
      <c r="AM630" s="4">
        <v>0</v>
      </c>
      <c r="AN630" s="4">
        <v>0</v>
      </c>
      <c r="AO630" s="4">
        <v>0</v>
      </c>
      <c r="AP630" s="3" t="s">
        <v>58</v>
      </c>
      <c r="AQ630" s="3" t="s">
        <v>58</v>
      </c>
      <c r="AS630" s="6" t="str">
        <f>HYPERLINK("https://creighton-primo.hosted.exlibrisgroup.com/primo-explore/search?tab=default_tab&amp;search_scope=EVERYTHING&amp;vid=01CRU&amp;lang=en_US&amp;offset=0&amp;query=any,contains,991004458629702656","Catalog Record")</f>
        <v>Catalog Record</v>
      </c>
      <c r="AT630" s="6" t="str">
        <f>HYPERLINK("http://www.worldcat.org/oclc/56329532","WorldCat Record")</f>
        <v>WorldCat Record</v>
      </c>
      <c r="AU630" s="3" t="s">
        <v>8346</v>
      </c>
      <c r="AV630" s="3" t="s">
        <v>8347</v>
      </c>
      <c r="AW630" s="3" t="s">
        <v>8348</v>
      </c>
      <c r="AX630" s="3" t="s">
        <v>8348</v>
      </c>
      <c r="AY630" s="3" t="s">
        <v>8349</v>
      </c>
      <c r="AZ630" s="3" t="s">
        <v>74</v>
      </c>
      <c r="BB630" s="3" t="s">
        <v>8350</v>
      </c>
      <c r="BC630" s="3" t="s">
        <v>8351</v>
      </c>
      <c r="BD630" s="3" t="s">
        <v>8352</v>
      </c>
    </row>
    <row r="631" spans="1:56" ht="45.75" customHeight="1" x14ac:dyDescent="0.25">
      <c r="A631" s="7" t="s">
        <v>58</v>
      </c>
      <c r="B631" s="2" t="s">
        <v>8353</v>
      </c>
      <c r="C631" s="2" t="s">
        <v>8354</v>
      </c>
      <c r="D631" s="2" t="s">
        <v>8355</v>
      </c>
      <c r="F631" s="3" t="s">
        <v>58</v>
      </c>
      <c r="G631" s="3" t="s">
        <v>59</v>
      </c>
      <c r="H631" s="3" t="s">
        <v>58</v>
      </c>
      <c r="I631" s="3" t="s">
        <v>58</v>
      </c>
      <c r="J631" s="3" t="s">
        <v>60</v>
      </c>
      <c r="K631" s="2" t="s">
        <v>8356</v>
      </c>
      <c r="L631" s="2" t="s">
        <v>8357</v>
      </c>
      <c r="M631" s="3" t="s">
        <v>290</v>
      </c>
      <c r="N631" s="2" t="s">
        <v>5706</v>
      </c>
      <c r="O631" s="3" t="s">
        <v>1527</v>
      </c>
      <c r="P631" s="3" t="s">
        <v>5707</v>
      </c>
      <c r="R631" s="3" t="s">
        <v>67</v>
      </c>
      <c r="S631" s="4">
        <v>2</v>
      </c>
      <c r="T631" s="4">
        <v>2</v>
      </c>
      <c r="U631" s="5" t="s">
        <v>8358</v>
      </c>
      <c r="V631" s="5" t="s">
        <v>8358</v>
      </c>
      <c r="W631" s="5" t="s">
        <v>8359</v>
      </c>
      <c r="X631" s="5" t="s">
        <v>8359</v>
      </c>
      <c r="Y631" s="4">
        <v>2</v>
      </c>
      <c r="Z631" s="4">
        <v>2</v>
      </c>
      <c r="AA631" s="4">
        <v>2</v>
      </c>
      <c r="AB631" s="4">
        <v>1</v>
      </c>
      <c r="AC631" s="4">
        <v>1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0</v>
      </c>
      <c r="AJ631" s="4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0</v>
      </c>
      <c r="AP631" s="3" t="s">
        <v>58</v>
      </c>
      <c r="AQ631" s="3" t="s">
        <v>58</v>
      </c>
      <c r="AS631" s="6" t="str">
        <f>HYPERLINK("https://creighton-primo.hosted.exlibrisgroup.com/primo-explore/search?tab=default_tab&amp;search_scope=EVERYTHING&amp;vid=01CRU&amp;lang=en_US&amp;offset=0&amp;query=any,contains,991004202749702656","Catalog Record")</f>
        <v>Catalog Record</v>
      </c>
      <c r="AT631" s="6" t="str">
        <f>HYPERLINK("http://www.worldcat.org/oclc/53688385","WorldCat Record")</f>
        <v>WorldCat Record</v>
      </c>
      <c r="AU631" s="3" t="s">
        <v>8360</v>
      </c>
      <c r="AV631" s="3" t="s">
        <v>8361</v>
      </c>
      <c r="AW631" s="3" t="s">
        <v>8362</v>
      </c>
      <c r="AX631" s="3" t="s">
        <v>8362</v>
      </c>
      <c r="AY631" s="3" t="s">
        <v>8363</v>
      </c>
      <c r="AZ631" s="3" t="s">
        <v>74</v>
      </c>
      <c r="BC631" s="3" t="s">
        <v>8364</v>
      </c>
      <c r="BD631" s="3" t="s">
        <v>8365</v>
      </c>
    </row>
    <row r="632" spans="1:56" ht="45.75" customHeight="1" x14ac:dyDescent="0.25">
      <c r="A632" s="7" t="s">
        <v>58</v>
      </c>
      <c r="B632" s="2" t="s">
        <v>8366</v>
      </c>
      <c r="C632" s="2" t="s">
        <v>8367</v>
      </c>
      <c r="D632" s="2" t="s">
        <v>8368</v>
      </c>
      <c r="F632" s="3" t="s">
        <v>58</v>
      </c>
      <c r="G632" s="3" t="s">
        <v>59</v>
      </c>
      <c r="H632" s="3" t="s">
        <v>58</v>
      </c>
      <c r="I632" s="3" t="s">
        <v>58</v>
      </c>
      <c r="J632" s="3" t="s">
        <v>60</v>
      </c>
      <c r="K632" s="2" t="s">
        <v>8369</v>
      </c>
      <c r="L632" s="2" t="s">
        <v>2865</v>
      </c>
      <c r="M632" s="3" t="s">
        <v>131</v>
      </c>
      <c r="O632" s="3" t="s">
        <v>65</v>
      </c>
      <c r="P632" s="3" t="s">
        <v>84</v>
      </c>
      <c r="R632" s="3" t="s">
        <v>67</v>
      </c>
      <c r="S632" s="4">
        <v>1</v>
      </c>
      <c r="T632" s="4">
        <v>1</v>
      </c>
      <c r="U632" s="5" t="s">
        <v>2866</v>
      </c>
      <c r="V632" s="5" t="s">
        <v>2866</v>
      </c>
      <c r="W632" s="5" t="s">
        <v>2866</v>
      </c>
      <c r="X632" s="5" t="s">
        <v>2866</v>
      </c>
      <c r="Y632" s="4">
        <v>155</v>
      </c>
      <c r="Z632" s="4">
        <v>131</v>
      </c>
      <c r="AA632" s="4">
        <v>136</v>
      </c>
      <c r="AB632" s="4">
        <v>2</v>
      </c>
      <c r="AC632" s="4">
        <v>2</v>
      </c>
      <c r="AD632" s="4">
        <v>7</v>
      </c>
      <c r="AE632" s="4">
        <v>7</v>
      </c>
      <c r="AF632" s="4">
        <v>0</v>
      </c>
      <c r="AG632" s="4">
        <v>0</v>
      </c>
      <c r="AH632" s="4">
        <v>3</v>
      </c>
      <c r="AI632" s="4">
        <v>3</v>
      </c>
      <c r="AJ632" s="4">
        <v>4</v>
      </c>
      <c r="AK632" s="4">
        <v>4</v>
      </c>
      <c r="AL632" s="4">
        <v>1</v>
      </c>
      <c r="AM632" s="4">
        <v>1</v>
      </c>
      <c r="AN632" s="4">
        <v>0</v>
      </c>
      <c r="AO632" s="4">
        <v>0</v>
      </c>
      <c r="AP632" s="3" t="s">
        <v>58</v>
      </c>
      <c r="AQ632" s="3" t="s">
        <v>58</v>
      </c>
      <c r="AS632" s="6" t="str">
        <f>HYPERLINK("https://creighton-primo.hosted.exlibrisgroup.com/primo-explore/search?tab=default_tab&amp;search_scope=EVERYTHING&amp;vid=01CRU&amp;lang=en_US&amp;offset=0&amp;query=any,contains,991004924449702656","Catalog Record")</f>
        <v>Catalog Record</v>
      </c>
      <c r="AT632" s="6" t="str">
        <f>HYPERLINK("http://www.worldcat.org/oclc/60766957","WorldCat Record")</f>
        <v>WorldCat Record</v>
      </c>
      <c r="AU632" s="3" t="s">
        <v>8370</v>
      </c>
      <c r="AV632" s="3" t="s">
        <v>8371</v>
      </c>
      <c r="AW632" s="3" t="s">
        <v>8372</v>
      </c>
      <c r="AX632" s="3" t="s">
        <v>8372</v>
      </c>
      <c r="AY632" s="3" t="s">
        <v>8373</v>
      </c>
      <c r="AZ632" s="3" t="s">
        <v>74</v>
      </c>
      <c r="BB632" s="3" t="s">
        <v>8374</v>
      </c>
      <c r="BC632" s="3" t="s">
        <v>8375</v>
      </c>
      <c r="BD632" s="3" t="s">
        <v>8376</v>
      </c>
    </row>
    <row r="633" spans="1:56" ht="45.75" customHeight="1" x14ac:dyDescent="0.25">
      <c r="A633" s="7" t="s">
        <v>58</v>
      </c>
      <c r="B633" s="2" t="s">
        <v>8377</v>
      </c>
      <c r="C633" s="2" t="s">
        <v>8378</v>
      </c>
      <c r="D633" s="2" t="s">
        <v>8379</v>
      </c>
      <c r="F633" s="3" t="s">
        <v>58</v>
      </c>
      <c r="G633" s="3" t="s">
        <v>59</v>
      </c>
      <c r="H633" s="3" t="s">
        <v>58</v>
      </c>
      <c r="I633" s="3" t="s">
        <v>58</v>
      </c>
      <c r="J633" s="3" t="s">
        <v>60</v>
      </c>
      <c r="K633" s="2" t="s">
        <v>8380</v>
      </c>
      <c r="L633" s="2" t="s">
        <v>8381</v>
      </c>
      <c r="M633" s="3" t="s">
        <v>63</v>
      </c>
      <c r="N633" s="2" t="s">
        <v>543</v>
      </c>
      <c r="O633" s="3" t="s">
        <v>65</v>
      </c>
      <c r="P633" s="3" t="s">
        <v>84</v>
      </c>
      <c r="R633" s="3" t="s">
        <v>67</v>
      </c>
      <c r="S633" s="4">
        <v>1</v>
      </c>
      <c r="T633" s="4">
        <v>1</v>
      </c>
      <c r="U633" s="5" t="s">
        <v>8382</v>
      </c>
      <c r="V633" s="5" t="s">
        <v>8382</v>
      </c>
      <c r="W633" s="5" t="s">
        <v>8383</v>
      </c>
      <c r="X633" s="5" t="s">
        <v>8383</v>
      </c>
      <c r="Y633" s="4">
        <v>834</v>
      </c>
      <c r="Z633" s="4">
        <v>762</v>
      </c>
      <c r="AA633" s="4">
        <v>824</v>
      </c>
      <c r="AB633" s="4">
        <v>3</v>
      </c>
      <c r="AC633" s="4">
        <v>3</v>
      </c>
      <c r="AD633" s="4">
        <v>28</v>
      </c>
      <c r="AE633" s="4">
        <v>30</v>
      </c>
      <c r="AF633" s="4">
        <v>12</v>
      </c>
      <c r="AG633" s="4">
        <v>14</v>
      </c>
      <c r="AH633" s="4">
        <v>5</v>
      </c>
      <c r="AI633" s="4">
        <v>5</v>
      </c>
      <c r="AJ633" s="4">
        <v>14</v>
      </c>
      <c r="AK633" s="4">
        <v>15</v>
      </c>
      <c r="AL633" s="4">
        <v>2</v>
      </c>
      <c r="AM633" s="4">
        <v>2</v>
      </c>
      <c r="AN633" s="4">
        <v>2</v>
      </c>
      <c r="AO633" s="4">
        <v>2</v>
      </c>
      <c r="AP633" s="3" t="s">
        <v>58</v>
      </c>
      <c r="AQ633" s="3" t="s">
        <v>58</v>
      </c>
      <c r="AS633" s="6" t="str">
        <f>HYPERLINK("https://creighton-primo.hosted.exlibrisgroup.com/primo-explore/search?tab=default_tab&amp;search_scope=EVERYTHING&amp;vid=01CRU&amp;lang=en_US&amp;offset=0&amp;query=any,contains,991004731109702656","Catalog Record")</f>
        <v>Catalog Record</v>
      </c>
      <c r="AT633" s="6" t="str">
        <f>HYPERLINK("http://www.worldcat.org/oclc/61162386","WorldCat Record")</f>
        <v>WorldCat Record</v>
      </c>
      <c r="AU633" s="3" t="s">
        <v>8384</v>
      </c>
      <c r="AV633" s="3" t="s">
        <v>8385</v>
      </c>
      <c r="AW633" s="3" t="s">
        <v>8386</v>
      </c>
      <c r="AX633" s="3" t="s">
        <v>8386</v>
      </c>
      <c r="AY633" s="3" t="s">
        <v>8387</v>
      </c>
      <c r="AZ633" s="3" t="s">
        <v>74</v>
      </c>
      <c r="BB633" s="3" t="s">
        <v>8388</v>
      </c>
      <c r="BC633" s="3" t="s">
        <v>8389</v>
      </c>
      <c r="BD633" s="3" t="s">
        <v>8390</v>
      </c>
    </row>
    <row r="634" spans="1:56" ht="45.75" customHeight="1" x14ac:dyDescent="0.25">
      <c r="A634" s="7" t="s">
        <v>58</v>
      </c>
      <c r="B634" s="2" t="s">
        <v>8391</v>
      </c>
      <c r="C634" s="2" t="s">
        <v>8392</v>
      </c>
      <c r="D634" s="2" t="s">
        <v>8393</v>
      </c>
      <c r="F634" s="3" t="s">
        <v>58</v>
      </c>
      <c r="G634" s="3" t="s">
        <v>59</v>
      </c>
      <c r="H634" s="3" t="s">
        <v>58</v>
      </c>
      <c r="I634" s="3" t="s">
        <v>58</v>
      </c>
      <c r="J634" s="3" t="s">
        <v>60</v>
      </c>
      <c r="L634" s="2" t="s">
        <v>8394</v>
      </c>
      <c r="M634" s="3" t="s">
        <v>203</v>
      </c>
      <c r="O634" s="3" t="s">
        <v>65</v>
      </c>
      <c r="P634" s="3" t="s">
        <v>8395</v>
      </c>
      <c r="R634" s="3" t="s">
        <v>67</v>
      </c>
      <c r="S634" s="4">
        <v>1</v>
      </c>
      <c r="T634" s="4">
        <v>1</v>
      </c>
      <c r="U634" s="5" t="s">
        <v>8396</v>
      </c>
      <c r="V634" s="5" t="s">
        <v>8396</v>
      </c>
      <c r="W634" s="5" t="s">
        <v>8396</v>
      </c>
      <c r="X634" s="5" t="s">
        <v>8396</v>
      </c>
      <c r="Y634" s="4">
        <v>83</v>
      </c>
      <c r="Z634" s="4">
        <v>29</v>
      </c>
      <c r="AA634" s="4">
        <v>31</v>
      </c>
      <c r="AB634" s="4">
        <v>1</v>
      </c>
      <c r="AC634" s="4">
        <v>1</v>
      </c>
      <c r="AD634" s="4">
        <v>1</v>
      </c>
      <c r="AE634" s="4">
        <v>1</v>
      </c>
      <c r="AF634" s="4">
        <v>0</v>
      </c>
      <c r="AG634" s="4">
        <v>0</v>
      </c>
      <c r="AH634" s="4">
        <v>0</v>
      </c>
      <c r="AI634" s="4">
        <v>0</v>
      </c>
      <c r="AJ634" s="4">
        <v>1</v>
      </c>
      <c r="AK634" s="4">
        <v>1</v>
      </c>
      <c r="AL634" s="4">
        <v>0</v>
      </c>
      <c r="AM634" s="4">
        <v>0</v>
      </c>
      <c r="AN634" s="4">
        <v>0</v>
      </c>
      <c r="AO634" s="4">
        <v>0</v>
      </c>
      <c r="AP634" s="3" t="s">
        <v>58</v>
      </c>
      <c r="AQ634" s="3" t="s">
        <v>87</v>
      </c>
      <c r="AR634" s="6" t="str">
        <f>HYPERLINK("http://catalog.hathitrust.org/Record/004364192","HathiTrust Record")</f>
        <v>HathiTrust Record</v>
      </c>
      <c r="AS634" s="6" t="str">
        <f>HYPERLINK("https://creighton-primo.hosted.exlibrisgroup.com/primo-explore/search?tab=default_tab&amp;search_scope=EVERYTHING&amp;vid=01CRU&amp;lang=en_US&amp;offset=0&amp;query=any,contains,991004241179702656","Catalog Record")</f>
        <v>Catalog Record</v>
      </c>
      <c r="AT634" s="6" t="str">
        <f>HYPERLINK("http://www.worldcat.org/oclc/50143151","WorldCat Record")</f>
        <v>WorldCat Record</v>
      </c>
      <c r="AU634" s="3" t="s">
        <v>8397</v>
      </c>
      <c r="AV634" s="3" t="s">
        <v>8398</v>
      </c>
      <c r="AW634" s="3" t="s">
        <v>8399</v>
      </c>
      <c r="AX634" s="3" t="s">
        <v>8399</v>
      </c>
      <c r="AY634" s="3" t="s">
        <v>8400</v>
      </c>
      <c r="AZ634" s="3" t="s">
        <v>74</v>
      </c>
      <c r="BB634" s="3" t="s">
        <v>8401</v>
      </c>
      <c r="BC634" s="3" t="s">
        <v>8402</v>
      </c>
      <c r="BD634" s="3" t="s">
        <v>8403</v>
      </c>
    </row>
    <row r="635" spans="1:56" ht="45.75" customHeight="1" x14ac:dyDescent="0.25">
      <c r="A635" s="7" t="s">
        <v>58</v>
      </c>
      <c r="B635" s="2" t="s">
        <v>8404</v>
      </c>
      <c r="C635" s="2" t="s">
        <v>8405</v>
      </c>
      <c r="D635" s="2" t="s">
        <v>8406</v>
      </c>
      <c r="F635" s="3" t="s">
        <v>58</v>
      </c>
      <c r="G635" s="3" t="s">
        <v>59</v>
      </c>
      <c r="H635" s="3" t="s">
        <v>58</v>
      </c>
      <c r="I635" s="3" t="s">
        <v>58</v>
      </c>
      <c r="J635" s="3" t="s">
        <v>60</v>
      </c>
      <c r="K635" s="2" t="s">
        <v>8407</v>
      </c>
      <c r="L635" s="2" t="s">
        <v>8408</v>
      </c>
      <c r="M635" s="3" t="s">
        <v>162</v>
      </c>
      <c r="O635" s="3" t="s">
        <v>65</v>
      </c>
      <c r="P635" s="3" t="s">
        <v>101</v>
      </c>
      <c r="R635" s="3" t="s">
        <v>67</v>
      </c>
      <c r="S635" s="4">
        <v>3</v>
      </c>
      <c r="T635" s="4">
        <v>3</v>
      </c>
      <c r="U635" s="5" t="s">
        <v>3989</v>
      </c>
      <c r="V635" s="5" t="s">
        <v>3989</v>
      </c>
      <c r="W635" s="5" t="s">
        <v>8409</v>
      </c>
      <c r="X635" s="5" t="s">
        <v>8409</v>
      </c>
      <c r="Y635" s="4">
        <v>67</v>
      </c>
      <c r="Z635" s="4">
        <v>22</v>
      </c>
      <c r="AA635" s="4">
        <v>203</v>
      </c>
      <c r="AB635" s="4">
        <v>1</v>
      </c>
      <c r="AC635" s="4">
        <v>1</v>
      </c>
      <c r="AD635" s="4">
        <v>0</v>
      </c>
      <c r="AE635" s="4">
        <v>0</v>
      </c>
      <c r="AF635" s="4">
        <v>0</v>
      </c>
      <c r="AG635" s="4">
        <v>0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0</v>
      </c>
      <c r="AP635" s="3" t="s">
        <v>58</v>
      </c>
      <c r="AQ635" s="3" t="s">
        <v>58</v>
      </c>
      <c r="AS635" s="6" t="str">
        <f>HYPERLINK("https://creighton-primo.hosted.exlibrisgroup.com/primo-explore/search?tab=default_tab&amp;search_scope=EVERYTHING&amp;vid=01CRU&amp;lang=en_US&amp;offset=0&amp;query=any,contains,991005260129702656","Catalog Record")</f>
        <v>Catalog Record</v>
      </c>
      <c r="AT635" s="6" t="str">
        <f>HYPERLINK("http://www.worldcat.org/oclc/175282612","WorldCat Record")</f>
        <v>WorldCat Record</v>
      </c>
      <c r="AU635" s="3" t="s">
        <v>8410</v>
      </c>
      <c r="AV635" s="3" t="s">
        <v>8411</v>
      </c>
      <c r="AW635" s="3" t="s">
        <v>8412</v>
      </c>
      <c r="AX635" s="3" t="s">
        <v>8412</v>
      </c>
      <c r="AY635" s="3" t="s">
        <v>8413</v>
      </c>
      <c r="AZ635" s="3" t="s">
        <v>74</v>
      </c>
      <c r="BB635" s="3" t="s">
        <v>8414</v>
      </c>
      <c r="BC635" s="3" t="s">
        <v>8415</v>
      </c>
      <c r="BD635" s="3" t="s">
        <v>8416</v>
      </c>
    </row>
    <row r="636" spans="1:56" ht="45.75" customHeight="1" x14ac:dyDescent="0.25">
      <c r="A636" s="7" t="s">
        <v>58</v>
      </c>
      <c r="B636" s="2" t="s">
        <v>8417</v>
      </c>
      <c r="C636" s="2" t="s">
        <v>8418</v>
      </c>
      <c r="D636" s="2" t="s">
        <v>8419</v>
      </c>
      <c r="F636" s="3" t="s">
        <v>58</v>
      </c>
      <c r="G636" s="3" t="s">
        <v>59</v>
      </c>
      <c r="H636" s="3" t="s">
        <v>58</v>
      </c>
      <c r="I636" s="3" t="s">
        <v>58</v>
      </c>
      <c r="J636" s="3" t="s">
        <v>60</v>
      </c>
      <c r="K636" s="2" t="s">
        <v>8420</v>
      </c>
      <c r="L636" s="2" t="s">
        <v>8421</v>
      </c>
      <c r="M636" s="3" t="s">
        <v>131</v>
      </c>
      <c r="N636" s="2" t="s">
        <v>543</v>
      </c>
      <c r="O636" s="3" t="s">
        <v>65</v>
      </c>
      <c r="P636" s="3" t="s">
        <v>84</v>
      </c>
      <c r="R636" s="3" t="s">
        <v>67</v>
      </c>
      <c r="S636" s="4">
        <v>1</v>
      </c>
      <c r="T636" s="4">
        <v>1</v>
      </c>
      <c r="U636" s="5" t="s">
        <v>7976</v>
      </c>
      <c r="V636" s="5" t="s">
        <v>7976</v>
      </c>
      <c r="W636" s="5" t="s">
        <v>7976</v>
      </c>
      <c r="X636" s="5" t="s">
        <v>7976</v>
      </c>
      <c r="Y636" s="4">
        <v>1065</v>
      </c>
      <c r="Z636" s="4">
        <v>1018</v>
      </c>
      <c r="AA636" s="4">
        <v>1102</v>
      </c>
      <c r="AB636" s="4">
        <v>10</v>
      </c>
      <c r="AC636" s="4">
        <v>10</v>
      </c>
      <c r="AD636" s="4">
        <v>26</v>
      </c>
      <c r="AE636" s="4">
        <v>30</v>
      </c>
      <c r="AF636" s="4">
        <v>8</v>
      </c>
      <c r="AG636" s="4">
        <v>12</v>
      </c>
      <c r="AH636" s="4">
        <v>6</v>
      </c>
      <c r="AI636" s="4">
        <v>7</v>
      </c>
      <c r="AJ636" s="4">
        <v>11</v>
      </c>
      <c r="AK636" s="4">
        <v>11</v>
      </c>
      <c r="AL636" s="4">
        <v>5</v>
      </c>
      <c r="AM636" s="4">
        <v>5</v>
      </c>
      <c r="AN636" s="4">
        <v>1</v>
      </c>
      <c r="AO636" s="4">
        <v>1</v>
      </c>
      <c r="AP636" s="3" t="s">
        <v>58</v>
      </c>
      <c r="AQ636" s="3" t="s">
        <v>58</v>
      </c>
      <c r="AS636" s="6" t="str">
        <f>HYPERLINK("https://creighton-primo.hosted.exlibrisgroup.com/primo-explore/search?tab=default_tab&amp;search_scope=EVERYTHING&amp;vid=01CRU&amp;lang=en_US&amp;offset=0&amp;query=any,contains,991004860639702656","Catalog Record")</f>
        <v>Catalog Record</v>
      </c>
      <c r="AT636" s="6" t="str">
        <f>HYPERLINK("http://www.worldcat.org/oclc/62679830","WorldCat Record")</f>
        <v>WorldCat Record</v>
      </c>
      <c r="AU636" s="3" t="s">
        <v>8422</v>
      </c>
      <c r="AV636" s="3" t="s">
        <v>8423</v>
      </c>
      <c r="AW636" s="3" t="s">
        <v>8424</v>
      </c>
      <c r="AX636" s="3" t="s">
        <v>8424</v>
      </c>
      <c r="AY636" s="3" t="s">
        <v>8425</v>
      </c>
      <c r="AZ636" s="3" t="s">
        <v>74</v>
      </c>
      <c r="BB636" s="3" t="s">
        <v>8426</v>
      </c>
      <c r="BC636" s="3" t="s">
        <v>8427</v>
      </c>
      <c r="BD636" s="3" t="s">
        <v>8428</v>
      </c>
    </row>
    <row r="637" spans="1:56" ht="45.75" customHeight="1" x14ac:dyDescent="0.25">
      <c r="A637" s="7" t="s">
        <v>58</v>
      </c>
      <c r="B637" s="2" t="s">
        <v>8429</v>
      </c>
      <c r="C637" s="2" t="s">
        <v>8430</v>
      </c>
      <c r="D637" s="2" t="s">
        <v>8431</v>
      </c>
      <c r="F637" s="3" t="s">
        <v>58</v>
      </c>
      <c r="G637" s="3" t="s">
        <v>59</v>
      </c>
      <c r="H637" s="3" t="s">
        <v>58</v>
      </c>
      <c r="I637" s="3" t="s">
        <v>58</v>
      </c>
      <c r="J637" s="3" t="s">
        <v>60</v>
      </c>
      <c r="K637" s="2" t="s">
        <v>8432</v>
      </c>
      <c r="L637" s="2" t="s">
        <v>8433</v>
      </c>
      <c r="M637" s="3" t="s">
        <v>147</v>
      </c>
      <c r="N637" s="2" t="s">
        <v>543</v>
      </c>
      <c r="O637" s="3" t="s">
        <v>65</v>
      </c>
      <c r="P637" s="3" t="s">
        <v>84</v>
      </c>
      <c r="R637" s="3" t="s">
        <v>67</v>
      </c>
      <c r="S637" s="4">
        <v>4</v>
      </c>
      <c r="T637" s="4">
        <v>4</v>
      </c>
      <c r="U637" s="5" t="s">
        <v>8434</v>
      </c>
      <c r="V637" s="5" t="s">
        <v>8434</v>
      </c>
      <c r="W637" s="5" t="s">
        <v>8435</v>
      </c>
      <c r="X637" s="5" t="s">
        <v>8435</v>
      </c>
      <c r="Y637" s="4">
        <v>563</v>
      </c>
      <c r="Z637" s="4">
        <v>518</v>
      </c>
      <c r="AA637" s="4">
        <v>552</v>
      </c>
      <c r="AB637" s="4">
        <v>3</v>
      </c>
      <c r="AC637" s="4">
        <v>3</v>
      </c>
      <c r="AD637" s="4">
        <v>16</v>
      </c>
      <c r="AE637" s="4">
        <v>16</v>
      </c>
      <c r="AF637" s="4">
        <v>6</v>
      </c>
      <c r="AG637" s="4">
        <v>6</v>
      </c>
      <c r="AH637" s="4">
        <v>3</v>
      </c>
      <c r="AI637" s="4">
        <v>3</v>
      </c>
      <c r="AJ637" s="4">
        <v>12</v>
      </c>
      <c r="AK637" s="4">
        <v>12</v>
      </c>
      <c r="AL637" s="4">
        <v>1</v>
      </c>
      <c r="AM637" s="4">
        <v>1</v>
      </c>
      <c r="AN637" s="4">
        <v>0</v>
      </c>
      <c r="AO637" s="4">
        <v>0</v>
      </c>
      <c r="AP637" s="3" t="s">
        <v>58</v>
      </c>
      <c r="AQ637" s="3" t="s">
        <v>58</v>
      </c>
      <c r="AS637" s="6" t="str">
        <f>HYPERLINK("https://creighton-primo.hosted.exlibrisgroup.com/primo-explore/search?tab=default_tab&amp;search_scope=EVERYTHING&amp;vid=01CRU&amp;lang=en_US&amp;offset=0&amp;query=any,contains,991004318419702656","Catalog Record")</f>
        <v>Catalog Record</v>
      </c>
      <c r="AT637" s="6" t="str">
        <f>HYPERLINK("http://www.worldcat.org/oclc/55593184","WorldCat Record")</f>
        <v>WorldCat Record</v>
      </c>
      <c r="AU637" s="3" t="s">
        <v>8436</v>
      </c>
      <c r="AV637" s="3" t="s">
        <v>8437</v>
      </c>
      <c r="AW637" s="3" t="s">
        <v>8438</v>
      </c>
      <c r="AX637" s="3" t="s">
        <v>8438</v>
      </c>
      <c r="AY637" s="3" t="s">
        <v>8439</v>
      </c>
      <c r="AZ637" s="3" t="s">
        <v>74</v>
      </c>
      <c r="BB637" s="3" t="s">
        <v>8440</v>
      </c>
      <c r="BC637" s="3" t="s">
        <v>8441</v>
      </c>
      <c r="BD637" s="3" t="s">
        <v>8442</v>
      </c>
    </row>
    <row r="638" spans="1:56" ht="45.75" customHeight="1" x14ac:dyDescent="0.25">
      <c r="A638" s="7" t="s">
        <v>58</v>
      </c>
      <c r="B638" s="2" t="s">
        <v>8443</v>
      </c>
      <c r="C638" s="2" t="s">
        <v>8444</v>
      </c>
      <c r="D638" s="2" t="s">
        <v>8445</v>
      </c>
      <c r="F638" s="3" t="s">
        <v>58</v>
      </c>
      <c r="G638" s="3" t="s">
        <v>59</v>
      </c>
      <c r="H638" s="3" t="s">
        <v>58</v>
      </c>
      <c r="I638" s="3" t="s">
        <v>58</v>
      </c>
      <c r="J638" s="3" t="s">
        <v>60</v>
      </c>
      <c r="K638" s="2" t="s">
        <v>8446</v>
      </c>
      <c r="L638" s="2" t="s">
        <v>8447</v>
      </c>
      <c r="M638" s="3" t="s">
        <v>248</v>
      </c>
      <c r="O638" s="3" t="s">
        <v>65</v>
      </c>
      <c r="P638" s="3" t="s">
        <v>84</v>
      </c>
      <c r="R638" s="3" t="s">
        <v>67</v>
      </c>
      <c r="S638" s="4">
        <v>1</v>
      </c>
      <c r="T638" s="4">
        <v>1</v>
      </c>
      <c r="U638" s="5" t="s">
        <v>4659</v>
      </c>
      <c r="V638" s="5" t="s">
        <v>4659</v>
      </c>
      <c r="W638" s="5" t="s">
        <v>4659</v>
      </c>
      <c r="X638" s="5" t="s">
        <v>4659</v>
      </c>
      <c r="Y638" s="4">
        <v>216</v>
      </c>
      <c r="Z638" s="4">
        <v>195</v>
      </c>
      <c r="AA638" s="4">
        <v>1098</v>
      </c>
      <c r="AB638" s="4">
        <v>3</v>
      </c>
      <c r="AC638" s="4">
        <v>16</v>
      </c>
      <c r="AD638" s="4">
        <v>12</v>
      </c>
      <c r="AE638" s="4">
        <v>41</v>
      </c>
      <c r="AF638" s="4">
        <v>1</v>
      </c>
      <c r="AG638" s="4">
        <v>12</v>
      </c>
      <c r="AH638" s="4">
        <v>3</v>
      </c>
      <c r="AI638" s="4">
        <v>7</v>
      </c>
      <c r="AJ638" s="4">
        <v>8</v>
      </c>
      <c r="AK638" s="4">
        <v>14</v>
      </c>
      <c r="AL638" s="4">
        <v>2</v>
      </c>
      <c r="AM638" s="4">
        <v>13</v>
      </c>
      <c r="AN638" s="4">
        <v>1</v>
      </c>
      <c r="AO638" s="4">
        <v>2</v>
      </c>
      <c r="AP638" s="3" t="s">
        <v>58</v>
      </c>
      <c r="AQ638" s="3" t="s">
        <v>58</v>
      </c>
      <c r="AS638" s="6" t="str">
        <f>HYPERLINK("https://creighton-primo.hosted.exlibrisgroup.com/primo-explore/search?tab=default_tab&amp;search_scope=EVERYTHING&amp;vid=01CRU&amp;lang=en_US&amp;offset=0&amp;query=any,contains,991004933649702656","Catalog Record")</f>
        <v>Catalog Record</v>
      </c>
      <c r="AT638" s="6" t="str">
        <f>HYPERLINK("http://www.worldcat.org/oclc/69331631","WorldCat Record")</f>
        <v>WorldCat Record</v>
      </c>
      <c r="AU638" s="3" t="s">
        <v>8448</v>
      </c>
      <c r="AV638" s="3" t="s">
        <v>8449</v>
      </c>
      <c r="AW638" s="3" t="s">
        <v>8450</v>
      </c>
      <c r="AX638" s="3" t="s">
        <v>8450</v>
      </c>
      <c r="AY638" s="3" t="s">
        <v>8451</v>
      </c>
      <c r="AZ638" s="3" t="s">
        <v>74</v>
      </c>
      <c r="BB638" s="3" t="s">
        <v>8452</v>
      </c>
      <c r="BC638" s="3" t="s">
        <v>8453</v>
      </c>
      <c r="BD638" s="3" t="s">
        <v>8454</v>
      </c>
    </row>
    <row r="639" spans="1:56" ht="45.75" customHeight="1" x14ac:dyDescent="0.25">
      <c r="A639" s="7" t="s">
        <v>58</v>
      </c>
      <c r="B639" s="2" t="s">
        <v>8455</v>
      </c>
      <c r="C639" s="2" t="s">
        <v>8456</v>
      </c>
      <c r="D639" s="2" t="s">
        <v>8457</v>
      </c>
      <c r="F639" s="3" t="s">
        <v>58</v>
      </c>
      <c r="G639" s="3" t="s">
        <v>59</v>
      </c>
      <c r="H639" s="3" t="s">
        <v>58</v>
      </c>
      <c r="I639" s="3" t="s">
        <v>58</v>
      </c>
      <c r="J639" s="3" t="s">
        <v>60</v>
      </c>
      <c r="K639" s="2" t="s">
        <v>8458</v>
      </c>
      <c r="L639" s="2" t="s">
        <v>8459</v>
      </c>
      <c r="M639" s="3" t="s">
        <v>162</v>
      </c>
      <c r="O639" s="3" t="s">
        <v>65</v>
      </c>
      <c r="P639" s="3" t="s">
        <v>84</v>
      </c>
      <c r="R639" s="3" t="s">
        <v>67</v>
      </c>
      <c r="S639" s="4">
        <v>1</v>
      </c>
      <c r="T639" s="4">
        <v>1</v>
      </c>
      <c r="U639" s="5" t="s">
        <v>8460</v>
      </c>
      <c r="V639" s="5" t="s">
        <v>8460</v>
      </c>
      <c r="W639" s="5" t="s">
        <v>8460</v>
      </c>
      <c r="X639" s="5" t="s">
        <v>8460</v>
      </c>
      <c r="Y639" s="4">
        <v>431</v>
      </c>
      <c r="Z639" s="4">
        <v>395</v>
      </c>
      <c r="AA639" s="4">
        <v>739</v>
      </c>
      <c r="AB639" s="4">
        <v>3</v>
      </c>
      <c r="AC639" s="4">
        <v>23</v>
      </c>
      <c r="AD639" s="4">
        <v>16</v>
      </c>
      <c r="AE639" s="4">
        <v>31</v>
      </c>
      <c r="AF639" s="4">
        <v>6</v>
      </c>
      <c r="AG639" s="4">
        <v>7</v>
      </c>
      <c r="AH639" s="4">
        <v>2</v>
      </c>
      <c r="AI639" s="4">
        <v>7</v>
      </c>
      <c r="AJ639" s="4">
        <v>10</v>
      </c>
      <c r="AK639" s="4">
        <v>11</v>
      </c>
      <c r="AL639" s="4">
        <v>2</v>
      </c>
      <c r="AM639" s="4">
        <v>11</v>
      </c>
      <c r="AN639" s="4">
        <v>0</v>
      </c>
      <c r="AO639" s="4">
        <v>0</v>
      </c>
      <c r="AP639" s="3" t="s">
        <v>58</v>
      </c>
      <c r="AQ639" s="3" t="s">
        <v>58</v>
      </c>
      <c r="AS639" s="6" t="str">
        <f>HYPERLINK("https://creighton-primo.hosted.exlibrisgroup.com/primo-explore/search?tab=default_tab&amp;search_scope=EVERYTHING&amp;vid=01CRU&amp;lang=en_US&amp;offset=0&amp;query=any,contains,991005334319702656","Catalog Record")</f>
        <v>Catalog Record</v>
      </c>
      <c r="AT639" s="6" t="str">
        <f>HYPERLINK("http://www.worldcat.org/oclc/173683729","WorldCat Record")</f>
        <v>WorldCat Record</v>
      </c>
      <c r="AU639" s="3" t="s">
        <v>8461</v>
      </c>
      <c r="AV639" s="3" t="s">
        <v>8462</v>
      </c>
      <c r="AW639" s="3" t="s">
        <v>8463</v>
      </c>
      <c r="AX639" s="3" t="s">
        <v>8463</v>
      </c>
      <c r="AY639" s="3" t="s">
        <v>8464</v>
      </c>
      <c r="AZ639" s="3" t="s">
        <v>74</v>
      </c>
      <c r="BB639" s="3" t="s">
        <v>8465</v>
      </c>
      <c r="BC639" s="3" t="s">
        <v>8466</v>
      </c>
      <c r="BD639" s="3" t="s">
        <v>8467</v>
      </c>
    </row>
    <row r="640" spans="1:56" ht="45.75" customHeight="1" x14ac:dyDescent="0.25">
      <c r="A640" s="7" t="s">
        <v>58</v>
      </c>
      <c r="B640" s="2" t="s">
        <v>8468</v>
      </c>
      <c r="C640" s="2" t="s">
        <v>8469</v>
      </c>
      <c r="D640" s="2" t="s">
        <v>8470</v>
      </c>
      <c r="F640" s="3" t="s">
        <v>58</v>
      </c>
      <c r="G640" s="3" t="s">
        <v>59</v>
      </c>
      <c r="H640" s="3" t="s">
        <v>58</v>
      </c>
      <c r="I640" s="3" t="s">
        <v>58</v>
      </c>
      <c r="J640" s="3" t="s">
        <v>60</v>
      </c>
      <c r="K640" s="2" t="s">
        <v>8471</v>
      </c>
      <c r="L640" s="2" t="s">
        <v>8472</v>
      </c>
      <c r="M640" s="3" t="s">
        <v>162</v>
      </c>
      <c r="O640" s="3" t="s">
        <v>65</v>
      </c>
      <c r="P640" s="3" t="s">
        <v>587</v>
      </c>
      <c r="R640" s="3" t="s">
        <v>67</v>
      </c>
      <c r="S640" s="4">
        <v>1</v>
      </c>
      <c r="T640" s="4">
        <v>1</v>
      </c>
      <c r="U640" s="5" t="s">
        <v>3450</v>
      </c>
      <c r="V640" s="5" t="s">
        <v>3450</v>
      </c>
      <c r="W640" s="5" t="s">
        <v>3450</v>
      </c>
      <c r="X640" s="5" t="s">
        <v>3450</v>
      </c>
      <c r="Y640" s="4">
        <v>400</v>
      </c>
      <c r="Z640" s="4">
        <v>360</v>
      </c>
      <c r="AA640" s="4">
        <v>1051</v>
      </c>
      <c r="AB640" s="4">
        <v>2</v>
      </c>
      <c r="AC640" s="4">
        <v>21</v>
      </c>
      <c r="AD640" s="4">
        <v>10</v>
      </c>
      <c r="AE640" s="4">
        <v>24</v>
      </c>
      <c r="AF640" s="4">
        <v>3</v>
      </c>
      <c r="AG640" s="4">
        <v>8</v>
      </c>
      <c r="AH640" s="4">
        <v>3</v>
      </c>
      <c r="AI640" s="4">
        <v>4</v>
      </c>
      <c r="AJ640" s="4">
        <v>6</v>
      </c>
      <c r="AK640" s="4">
        <v>7</v>
      </c>
      <c r="AL640" s="4">
        <v>1</v>
      </c>
      <c r="AM640" s="4">
        <v>9</v>
      </c>
      <c r="AN640" s="4">
        <v>1</v>
      </c>
      <c r="AO640" s="4">
        <v>2</v>
      </c>
      <c r="AP640" s="3" t="s">
        <v>58</v>
      </c>
      <c r="AQ640" s="3" t="s">
        <v>87</v>
      </c>
      <c r="AR640" s="6" t="str">
        <f>HYPERLINK("http://catalog.hathitrust.org/Record/005884130","HathiTrust Record")</f>
        <v>HathiTrust Record</v>
      </c>
      <c r="AS640" s="6" t="str">
        <f>HYPERLINK("https://creighton-primo.hosted.exlibrisgroup.com/primo-explore/search?tab=default_tab&amp;search_scope=EVERYTHING&amp;vid=01CRU&amp;lang=en_US&amp;offset=0&amp;query=any,contains,991005333479702656","Catalog Record")</f>
        <v>Catalog Record</v>
      </c>
      <c r="AT640" s="6" t="str">
        <f>HYPERLINK("http://www.worldcat.org/oclc/226357714","WorldCat Record")</f>
        <v>WorldCat Record</v>
      </c>
      <c r="AU640" s="3" t="s">
        <v>8473</v>
      </c>
      <c r="AV640" s="3" t="s">
        <v>8474</v>
      </c>
      <c r="AW640" s="3" t="s">
        <v>8475</v>
      </c>
      <c r="AX640" s="3" t="s">
        <v>8475</v>
      </c>
      <c r="AY640" s="3" t="s">
        <v>8476</v>
      </c>
      <c r="AZ640" s="3" t="s">
        <v>74</v>
      </c>
      <c r="BB640" s="3" t="s">
        <v>8477</v>
      </c>
      <c r="BC640" s="3" t="s">
        <v>8478</v>
      </c>
      <c r="BD640" s="3" t="s">
        <v>8479</v>
      </c>
    </row>
    <row r="641" spans="1:56" ht="45.75" customHeight="1" x14ac:dyDescent="0.25">
      <c r="A641" s="7" t="s">
        <v>58</v>
      </c>
      <c r="B641" s="2" t="s">
        <v>8480</v>
      </c>
      <c r="C641" s="2" t="s">
        <v>8481</v>
      </c>
      <c r="D641" s="2" t="s">
        <v>8482</v>
      </c>
      <c r="F641" s="3" t="s">
        <v>58</v>
      </c>
      <c r="G641" s="3" t="s">
        <v>59</v>
      </c>
      <c r="H641" s="3" t="s">
        <v>58</v>
      </c>
      <c r="I641" s="3" t="s">
        <v>58</v>
      </c>
      <c r="J641" s="3" t="s">
        <v>60</v>
      </c>
      <c r="K641" s="2" t="s">
        <v>8483</v>
      </c>
      <c r="L641" s="2" t="s">
        <v>8472</v>
      </c>
      <c r="M641" s="3" t="s">
        <v>162</v>
      </c>
      <c r="O641" s="3" t="s">
        <v>65</v>
      </c>
      <c r="P641" s="3" t="s">
        <v>587</v>
      </c>
      <c r="R641" s="3" t="s">
        <v>67</v>
      </c>
      <c r="S641" s="4">
        <v>1</v>
      </c>
      <c r="T641" s="4">
        <v>1</v>
      </c>
      <c r="U641" s="5" t="s">
        <v>8484</v>
      </c>
      <c r="V641" s="5" t="s">
        <v>8484</v>
      </c>
      <c r="W641" s="5" t="s">
        <v>8484</v>
      </c>
      <c r="X641" s="5" t="s">
        <v>8484</v>
      </c>
      <c r="Y641" s="4">
        <v>306</v>
      </c>
      <c r="Z641" s="4">
        <v>270</v>
      </c>
      <c r="AA641" s="4">
        <v>925</v>
      </c>
      <c r="AB641" s="4">
        <v>2</v>
      </c>
      <c r="AC641" s="4">
        <v>14</v>
      </c>
      <c r="AD641" s="4">
        <v>14</v>
      </c>
      <c r="AE641" s="4">
        <v>31</v>
      </c>
      <c r="AF641" s="4">
        <v>5</v>
      </c>
      <c r="AG641" s="4">
        <v>12</v>
      </c>
      <c r="AH641" s="4">
        <v>2</v>
      </c>
      <c r="AI641" s="4">
        <v>5</v>
      </c>
      <c r="AJ641" s="4">
        <v>10</v>
      </c>
      <c r="AK641" s="4">
        <v>10</v>
      </c>
      <c r="AL641" s="4">
        <v>1</v>
      </c>
      <c r="AM641" s="4">
        <v>9</v>
      </c>
      <c r="AN641" s="4">
        <v>1</v>
      </c>
      <c r="AO641" s="4">
        <v>1</v>
      </c>
      <c r="AP641" s="3" t="s">
        <v>58</v>
      </c>
      <c r="AQ641" s="3" t="s">
        <v>58</v>
      </c>
      <c r="AS641" s="6" t="str">
        <f>HYPERLINK("https://creighton-primo.hosted.exlibrisgroup.com/primo-explore/search?tab=default_tab&amp;search_scope=EVERYTHING&amp;vid=01CRU&amp;lang=en_US&amp;offset=0&amp;query=any,contains,991005270239702656","Catalog Record")</f>
        <v>Catalog Record</v>
      </c>
      <c r="AT641" s="6" t="str">
        <f>HYPERLINK("http://www.worldcat.org/oclc/155757047","WorldCat Record")</f>
        <v>WorldCat Record</v>
      </c>
      <c r="AU641" s="3" t="s">
        <v>8485</v>
      </c>
      <c r="AV641" s="3" t="s">
        <v>8486</v>
      </c>
      <c r="AW641" s="3" t="s">
        <v>8487</v>
      </c>
      <c r="AX641" s="3" t="s">
        <v>8487</v>
      </c>
      <c r="AY641" s="3" t="s">
        <v>8488</v>
      </c>
      <c r="AZ641" s="3" t="s">
        <v>74</v>
      </c>
      <c r="BB641" s="3" t="s">
        <v>8489</v>
      </c>
      <c r="BC641" s="3" t="s">
        <v>8490</v>
      </c>
      <c r="BD641" s="3" t="s">
        <v>8491</v>
      </c>
    </row>
    <row r="642" spans="1:56" ht="45.75" customHeight="1" x14ac:dyDescent="0.25">
      <c r="A642" s="7" t="s">
        <v>58</v>
      </c>
      <c r="B642" s="2" t="s">
        <v>8492</v>
      </c>
      <c r="C642" s="2" t="s">
        <v>8493</v>
      </c>
      <c r="D642" s="2" t="s">
        <v>8494</v>
      </c>
      <c r="F642" s="3" t="s">
        <v>58</v>
      </c>
      <c r="G642" s="3" t="s">
        <v>59</v>
      </c>
      <c r="H642" s="3" t="s">
        <v>58</v>
      </c>
      <c r="I642" s="3" t="s">
        <v>58</v>
      </c>
      <c r="J642" s="3" t="s">
        <v>60</v>
      </c>
      <c r="K642" s="2" t="s">
        <v>8495</v>
      </c>
      <c r="L642" s="2" t="s">
        <v>8496</v>
      </c>
      <c r="M642" s="3" t="s">
        <v>220</v>
      </c>
      <c r="O642" s="3" t="s">
        <v>65</v>
      </c>
      <c r="P642" s="3" t="s">
        <v>8497</v>
      </c>
      <c r="R642" s="3" t="s">
        <v>67</v>
      </c>
      <c r="S642" s="4">
        <v>4</v>
      </c>
      <c r="T642" s="4">
        <v>4</v>
      </c>
      <c r="U642" s="5" t="s">
        <v>6754</v>
      </c>
      <c r="V642" s="5" t="s">
        <v>6754</v>
      </c>
      <c r="W642" s="5" t="s">
        <v>8498</v>
      </c>
      <c r="X642" s="5" t="s">
        <v>8498</v>
      </c>
      <c r="Y642" s="4">
        <v>512</v>
      </c>
      <c r="Z642" s="4">
        <v>419</v>
      </c>
      <c r="AA642" s="4">
        <v>825</v>
      </c>
      <c r="AB642" s="4">
        <v>3</v>
      </c>
      <c r="AC642" s="4">
        <v>6</v>
      </c>
      <c r="AD642" s="4">
        <v>25</v>
      </c>
      <c r="AE642" s="4">
        <v>33</v>
      </c>
      <c r="AF642" s="4">
        <v>8</v>
      </c>
      <c r="AG642" s="4">
        <v>12</v>
      </c>
      <c r="AH642" s="4">
        <v>6</v>
      </c>
      <c r="AI642" s="4">
        <v>9</v>
      </c>
      <c r="AJ642" s="4">
        <v>15</v>
      </c>
      <c r="AK642" s="4">
        <v>16</v>
      </c>
      <c r="AL642" s="4">
        <v>2</v>
      </c>
      <c r="AM642" s="4">
        <v>4</v>
      </c>
      <c r="AN642" s="4">
        <v>0</v>
      </c>
      <c r="AO642" s="4">
        <v>0</v>
      </c>
      <c r="AP642" s="3" t="s">
        <v>58</v>
      </c>
      <c r="AQ642" s="3" t="s">
        <v>58</v>
      </c>
      <c r="AS642" s="6" t="str">
        <f>HYPERLINK("https://creighton-primo.hosted.exlibrisgroup.com/primo-explore/search?tab=default_tab&amp;search_scope=EVERYTHING&amp;vid=01CRU&amp;lang=en_US&amp;offset=0&amp;query=any,contains,991003038899702656","Catalog Record")</f>
        <v>Catalog Record</v>
      </c>
      <c r="AT642" s="6" t="str">
        <f>HYPERLINK("http://www.worldcat.org/oclc/41978162","WorldCat Record")</f>
        <v>WorldCat Record</v>
      </c>
      <c r="AU642" s="3" t="s">
        <v>8499</v>
      </c>
      <c r="AV642" s="3" t="s">
        <v>8500</v>
      </c>
      <c r="AW642" s="3" t="s">
        <v>8501</v>
      </c>
      <c r="AX642" s="3" t="s">
        <v>8501</v>
      </c>
      <c r="AY642" s="3" t="s">
        <v>8502</v>
      </c>
      <c r="AZ642" s="3" t="s">
        <v>74</v>
      </c>
      <c r="BB642" s="3" t="s">
        <v>8503</v>
      </c>
      <c r="BC642" s="3" t="s">
        <v>8504</v>
      </c>
      <c r="BD642" s="3" t="s">
        <v>8505</v>
      </c>
    </row>
    <row r="643" spans="1:56" ht="45.75" customHeight="1" x14ac:dyDescent="0.25">
      <c r="A643" s="7" t="s">
        <v>58</v>
      </c>
      <c r="B643" s="2" t="s">
        <v>8506</v>
      </c>
      <c r="C643" s="2" t="s">
        <v>8507</v>
      </c>
      <c r="D643" s="2" t="s">
        <v>8508</v>
      </c>
      <c r="F643" s="3" t="s">
        <v>58</v>
      </c>
      <c r="G643" s="3" t="s">
        <v>59</v>
      </c>
      <c r="H643" s="3" t="s">
        <v>58</v>
      </c>
      <c r="I643" s="3" t="s">
        <v>58</v>
      </c>
      <c r="J643" s="3" t="s">
        <v>60</v>
      </c>
      <c r="K643" s="2" t="s">
        <v>8509</v>
      </c>
      <c r="L643" s="2" t="s">
        <v>8510</v>
      </c>
      <c r="M643" s="3" t="s">
        <v>1088</v>
      </c>
      <c r="N643" s="2" t="s">
        <v>486</v>
      </c>
      <c r="O643" s="3" t="s">
        <v>65</v>
      </c>
      <c r="P643" s="3" t="s">
        <v>84</v>
      </c>
      <c r="R643" s="3" t="s">
        <v>67</v>
      </c>
      <c r="S643" s="4">
        <v>10</v>
      </c>
      <c r="T643" s="4">
        <v>10</v>
      </c>
      <c r="U643" s="5" t="s">
        <v>7061</v>
      </c>
      <c r="V643" s="5" t="s">
        <v>7061</v>
      </c>
      <c r="W643" s="5" t="s">
        <v>4293</v>
      </c>
      <c r="X643" s="5" t="s">
        <v>4293</v>
      </c>
      <c r="Y643" s="4">
        <v>654</v>
      </c>
      <c r="Z643" s="4">
        <v>619</v>
      </c>
      <c r="AA643" s="4">
        <v>624</v>
      </c>
      <c r="AB643" s="4">
        <v>3</v>
      </c>
      <c r="AC643" s="4">
        <v>3</v>
      </c>
      <c r="AD643" s="4">
        <v>20</v>
      </c>
      <c r="AE643" s="4">
        <v>20</v>
      </c>
      <c r="AF643" s="4">
        <v>7</v>
      </c>
      <c r="AG643" s="4">
        <v>7</v>
      </c>
      <c r="AH643" s="4">
        <v>5</v>
      </c>
      <c r="AI643" s="4">
        <v>5</v>
      </c>
      <c r="AJ643" s="4">
        <v>13</v>
      </c>
      <c r="AK643" s="4">
        <v>13</v>
      </c>
      <c r="AL643" s="4">
        <v>0</v>
      </c>
      <c r="AM643" s="4">
        <v>0</v>
      </c>
      <c r="AN643" s="4">
        <v>1</v>
      </c>
      <c r="AO643" s="4">
        <v>1</v>
      </c>
      <c r="AP643" s="3" t="s">
        <v>58</v>
      </c>
      <c r="AQ643" s="3" t="s">
        <v>58</v>
      </c>
      <c r="AS643" s="6" t="str">
        <f>HYPERLINK("https://creighton-primo.hosted.exlibrisgroup.com/primo-explore/search?tab=default_tab&amp;search_scope=EVERYTHING&amp;vid=01CRU&amp;lang=en_US&amp;offset=0&amp;query=any,contains,991000643069702656","Catalog Record")</f>
        <v>Catalog Record</v>
      </c>
      <c r="AT643" s="6" t="str">
        <f>HYPERLINK("http://www.worldcat.org/oclc/12107704","WorldCat Record")</f>
        <v>WorldCat Record</v>
      </c>
      <c r="AU643" s="3" t="s">
        <v>8511</v>
      </c>
      <c r="AV643" s="3" t="s">
        <v>8512</v>
      </c>
      <c r="AW643" s="3" t="s">
        <v>8513</v>
      </c>
      <c r="AX643" s="3" t="s">
        <v>8513</v>
      </c>
      <c r="AY643" s="3" t="s">
        <v>8514</v>
      </c>
      <c r="AZ643" s="3" t="s">
        <v>74</v>
      </c>
      <c r="BB643" s="3" t="s">
        <v>8515</v>
      </c>
      <c r="BC643" s="3" t="s">
        <v>8516</v>
      </c>
      <c r="BD643" s="3" t="s">
        <v>8517</v>
      </c>
    </row>
    <row r="644" spans="1:56" ht="45.75" customHeight="1" x14ac:dyDescent="0.25">
      <c r="A644" s="7" t="s">
        <v>58</v>
      </c>
      <c r="B644" s="2" t="s">
        <v>8518</v>
      </c>
      <c r="C644" s="2" t="s">
        <v>8519</v>
      </c>
      <c r="D644" s="2" t="s">
        <v>8520</v>
      </c>
      <c r="F644" s="3" t="s">
        <v>58</v>
      </c>
      <c r="G644" s="3" t="s">
        <v>59</v>
      </c>
      <c r="H644" s="3" t="s">
        <v>58</v>
      </c>
      <c r="I644" s="3" t="s">
        <v>58</v>
      </c>
      <c r="J644" s="3" t="s">
        <v>60</v>
      </c>
      <c r="L644" s="2" t="s">
        <v>8521</v>
      </c>
      <c r="M644" s="3" t="s">
        <v>83</v>
      </c>
      <c r="O644" s="3" t="s">
        <v>65</v>
      </c>
      <c r="P644" s="3" t="s">
        <v>2349</v>
      </c>
      <c r="Q644" s="2" t="s">
        <v>8522</v>
      </c>
      <c r="R644" s="3" t="s">
        <v>67</v>
      </c>
      <c r="S644" s="4">
        <v>7</v>
      </c>
      <c r="T644" s="4">
        <v>7</v>
      </c>
      <c r="U644" s="5" t="s">
        <v>7289</v>
      </c>
      <c r="V644" s="5" t="s">
        <v>7289</v>
      </c>
      <c r="W644" s="5" t="s">
        <v>4293</v>
      </c>
      <c r="X644" s="5" t="s">
        <v>4293</v>
      </c>
      <c r="Y644" s="4">
        <v>240</v>
      </c>
      <c r="Z644" s="4">
        <v>160</v>
      </c>
      <c r="AA644" s="4">
        <v>161</v>
      </c>
      <c r="AB644" s="4">
        <v>2</v>
      </c>
      <c r="AC644" s="4">
        <v>2</v>
      </c>
      <c r="AD644" s="4">
        <v>7</v>
      </c>
      <c r="AE644" s="4">
        <v>7</v>
      </c>
      <c r="AF644" s="4">
        <v>0</v>
      </c>
      <c r="AG644" s="4">
        <v>0</v>
      </c>
      <c r="AH644" s="4">
        <v>1</v>
      </c>
      <c r="AI644" s="4">
        <v>1</v>
      </c>
      <c r="AJ644" s="4">
        <v>2</v>
      </c>
      <c r="AK644" s="4">
        <v>2</v>
      </c>
      <c r="AL644" s="4">
        <v>1</v>
      </c>
      <c r="AM644" s="4">
        <v>1</v>
      </c>
      <c r="AN644" s="4">
        <v>3</v>
      </c>
      <c r="AO644" s="4">
        <v>3</v>
      </c>
      <c r="AP644" s="3" t="s">
        <v>58</v>
      </c>
      <c r="AQ644" s="3" t="s">
        <v>58</v>
      </c>
      <c r="AS644" s="6" t="str">
        <f>HYPERLINK("https://creighton-primo.hosted.exlibrisgroup.com/primo-explore/search?tab=default_tab&amp;search_scope=EVERYTHING&amp;vid=01CRU&amp;lang=en_US&amp;offset=0&amp;query=any,contains,991000792139702656","Catalog Record")</f>
        <v>Catalog Record</v>
      </c>
      <c r="AT644" s="6" t="str">
        <f>HYPERLINK("http://www.worldcat.org/oclc/13159095","WorldCat Record")</f>
        <v>WorldCat Record</v>
      </c>
      <c r="AU644" s="3" t="s">
        <v>8523</v>
      </c>
      <c r="AV644" s="3" t="s">
        <v>8524</v>
      </c>
      <c r="AW644" s="3" t="s">
        <v>8525</v>
      </c>
      <c r="AX644" s="3" t="s">
        <v>8525</v>
      </c>
      <c r="AY644" s="3" t="s">
        <v>8526</v>
      </c>
      <c r="AZ644" s="3" t="s">
        <v>74</v>
      </c>
      <c r="BB644" s="3" t="s">
        <v>8527</v>
      </c>
      <c r="BC644" s="3" t="s">
        <v>8528</v>
      </c>
      <c r="BD644" s="3" t="s">
        <v>8529</v>
      </c>
    </row>
    <row r="645" spans="1:56" ht="45.75" customHeight="1" x14ac:dyDescent="0.25">
      <c r="A645" s="7" t="s">
        <v>58</v>
      </c>
      <c r="B645" s="2" t="s">
        <v>8530</v>
      </c>
      <c r="C645" s="2" t="s">
        <v>8531</v>
      </c>
      <c r="D645" s="2" t="s">
        <v>8532</v>
      </c>
      <c r="F645" s="3" t="s">
        <v>58</v>
      </c>
      <c r="G645" s="3" t="s">
        <v>59</v>
      </c>
      <c r="H645" s="3" t="s">
        <v>58</v>
      </c>
      <c r="I645" s="3" t="s">
        <v>58</v>
      </c>
      <c r="J645" s="3" t="s">
        <v>60</v>
      </c>
      <c r="L645" s="2" t="s">
        <v>8533</v>
      </c>
      <c r="M645" s="3" t="s">
        <v>742</v>
      </c>
      <c r="O645" s="3" t="s">
        <v>65</v>
      </c>
      <c r="P645" s="3" t="s">
        <v>84</v>
      </c>
      <c r="R645" s="3" t="s">
        <v>67</v>
      </c>
      <c r="S645" s="4">
        <v>7</v>
      </c>
      <c r="T645" s="4">
        <v>7</v>
      </c>
      <c r="U645" s="5" t="s">
        <v>8534</v>
      </c>
      <c r="V645" s="5" t="s">
        <v>8534</v>
      </c>
      <c r="W645" s="5" t="s">
        <v>4293</v>
      </c>
      <c r="X645" s="5" t="s">
        <v>4293</v>
      </c>
      <c r="Y645" s="4">
        <v>180</v>
      </c>
      <c r="Z645" s="4">
        <v>160</v>
      </c>
      <c r="AA645" s="4">
        <v>176</v>
      </c>
      <c r="AB645" s="4">
        <v>1</v>
      </c>
      <c r="AC645" s="4">
        <v>1</v>
      </c>
      <c r="AD645" s="4">
        <v>5</v>
      </c>
      <c r="AE645" s="4">
        <v>6</v>
      </c>
      <c r="AF645" s="4">
        <v>1</v>
      </c>
      <c r="AG645" s="4">
        <v>1</v>
      </c>
      <c r="AH645" s="4">
        <v>4</v>
      </c>
      <c r="AI645" s="4">
        <v>4</v>
      </c>
      <c r="AJ645" s="4">
        <v>3</v>
      </c>
      <c r="AK645" s="4">
        <v>4</v>
      </c>
      <c r="AL645" s="4">
        <v>0</v>
      </c>
      <c r="AM645" s="4">
        <v>0</v>
      </c>
      <c r="AN645" s="4">
        <v>0</v>
      </c>
      <c r="AO645" s="4">
        <v>0</v>
      </c>
      <c r="AP645" s="3" t="s">
        <v>58</v>
      </c>
      <c r="AQ645" s="3" t="s">
        <v>58</v>
      </c>
      <c r="AS645" s="6" t="str">
        <f>HYPERLINK("https://creighton-primo.hosted.exlibrisgroup.com/primo-explore/search?tab=default_tab&amp;search_scope=EVERYTHING&amp;vid=01CRU&amp;lang=en_US&amp;offset=0&amp;query=any,contains,991001456949702656","Catalog Record")</f>
        <v>Catalog Record</v>
      </c>
      <c r="AT645" s="6" t="str">
        <f>HYPERLINK("http://www.worldcat.org/oclc/19388525","WorldCat Record")</f>
        <v>WorldCat Record</v>
      </c>
      <c r="AU645" s="3" t="s">
        <v>8535</v>
      </c>
      <c r="AV645" s="3" t="s">
        <v>8536</v>
      </c>
      <c r="AW645" s="3" t="s">
        <v>8537</v>
      </c>
      <c r="AX645" s="3" t="s">
        <v>8537</v>
      </c>
      <c r="AY645" s="3" t="s">
        <v>8538</v>
      </c>
      <c r="AZ645" s="3" t="s">
        <v>74</v>
      </c>
      <c r="BB645" s="3" t="s">
        <v>8539</v>
      </c>
      <c r="BC645" s="3" t="s">
        <v>8540</v>
      </c>
      <c r="BD645" s="3" t="s">
        <v>8541</v>
      </c>
    </row>
    <row r="646" spans="1:56" ht="45.75" customHeight="1" x14ac:dyDescent="0.25">
      <c r="A646" s="7" t="s">
        <v>58</v>
      </c>
      <c r="B646" s="2" t="s">
        <v>8542</v>
      </c>
      <c r="C646" s="2" t="s">
        <v>8543</v>
      </c>
      <c r="D646" s="2" t="s">
        <v>8544</v>
      </c>
      <c r="F646" s="3" t="s">
        <v>58</v>
      </c>
      <c r="G646" s="3" t="s">
        <v>59</v>
      </c>
      <c r="H646" s="3" t="s">
        <v>58</v>
      </c>
      <c r="I646" s="3" t="s">
        <v>58</v>
      </c>
      <c r="J646" s="3" t="s">
        <v>60</v>
      </c>
      <c r="K646" s="2" t="s">
        <v>8545</v>
      </c>
      <c r="L646" s="2" t="s">
        <v>8546</v>
      </c>
      <c r="M646" s="3" t="s">
        <v>189</v>
      </c>
      <c r="O646" s="3" t="s">
        <v>65</v>
      </c>
      <c r="P646" s="3" t="s">
        <v>175</v>
      </c>
      <c r="Q646" s="2" t="s">
        <v>8547</v>
      </c>
      <c r="R646" s="3" t="s">
        <v>67</v>
      </c>
      <c r="S646" s="4">
        <v>1</v>
      </c>
      <c r="T646" s="4">
        <v>1</v>
      </c>
      <c r="U646" s="5" t="s">
        <v>4816</v>
      </c>
      <c r="V646" s="5" t="s">
        <v>4816</v>
      </c>
      <c r="W646" s="5" t="s">
        <v>4816</v>
      </c>
      <c r="X646" s="5" t="s">
        <v>4816</v>
      </c>
      <c r="Y646" s="4">
        <v>148</v>
      </c>
      <c r="Z646" s="4">
        <v>98</v>
      </c>
      <c r="AA646" s="4">
        <v>717</v>
      </c>
      <c r="AB646" s="4">
        <v>3</v>
      </c>
      <c r="AC646" s="4">
        <v>17</v>
      </c>
      <c r="AD646" s="4">
        <v>4</v>
      </c>
      <c r="AE646" s="4">
        <v>16</v>
      </c>
      <c r="AF646" s="4">
        <v>1</v>
      </c>
      <c r="AG646" s="4">
        <v>5</v>
      </c>
      <c r="AH646" s="4">
        <v>1</v>
      </c>
      <c r="AI646" s="4">
        <v>2</v>
      </c>
      <c r="AJ646" s="4">
        <v>2</v>
      </c>
      <c r="AK646" s="4">
        <v>2</v>
      </c>
      <c r="AL646" s="4">
        <v>2</v>
      </c>
      <c r="AM646" s="4">
        <v>10</v>
      </c>
      <c r="AN646" s="4">
        <v>0</v>
      </c>
      <c r="AO646" s="4">
        <v>0</v>
      </c>
      <c r="AP646" s="3" t="s">
        <v>58</v>
      </c>
      <c r="AQ646" s="3" t="s">
        <v>87</v>
      </c>
      <c r="AR646" s="6" t="str">
        <f>HYPERLINK("http://catalog.hathitrust.org/Record/006857757","HathiTrust Record")</f>
        <v>HathiTrust Record</v>
      </c>
      <c r="AS646" s="6" t="str">
        <f>HYPERLINK("https://creighton-primo.hosted.exlibrisgroup.com/primo-explore/search?tab=default_tab&amp;search_scope=EVERYTHING&amp;vid=01CRU&amp;lang=en_US&amp;offset=0&amp;query=any,contains,991000381329702656","Catalog Record")</f>
        <v>Catalog Record</v>
      </c>
      <c r="AT646" s="6" t="str">
        <f>HYPERLINK("http://www.worldcat.org/oclc/417146323","WorldCat Record")</f>
        <v>WorldCat Record</v>
      </c>
      <c r="AU646" s="3" t="s">
        <v>8548</v>
      </c>
      <c r="AV646" s="3" t="s">
        <v>8549</v>
      </c>
      <c r="AW646" s="3" t="s">
        <v>8550</v>
      </c>
      <c r="AX646" s="3" t="s">
        <v>8550</v>
      </c>
      <c r="AY646" s="3" t="s">
        <v>8551</v>
      </c>
      <c r="AZ646" s="3" t="s">
        <v>74</v>
      </c>
      <c r="BB646" s="3" t="s">
        <v>8552</v>
      </c>
      <c r="BC646" s="3" t="s">
        <v>8553</v>
      </c>
      <c r="BD646" s="3" t="s">
        <v>8554</v>
      </c>
    </row>
    <row r="647" spans="1:56" ht="45.75" customHeight="1" x14ac:dyDescent="0.25">
      <c r="A647" s="7" t="s">
        <v>58</v>
      </c>
      <c r="B647" s="2" t="s">
        <v>8555</v>
      </c>
      <c r="C647" s="2" t="s">
        <v>8556</v>
      </c>
      <c r="D647" s="2" t="s">
        <v>8557</v>
      </c>
      <c r="F647" s="3" t="s">
        <v>58</v>
      </c>
      <c r="G647" s="3" t="s">
        <v>59</v>
      </c>
      <c r="H647" s="3" t="s">
        <v>58</v>
      </c>
      <c r="I647" s="3" t="s">
        <v>58</v>
      </c>
      <c r="J647" s="3" t="s">
        <v>60</v>
      </c>
      <c r="K647" s="2" t="s">
        <v>8558</v>
      </c>
      <c r="L647" s="2" t="s">
        <v>7099</v>
      </c>
      <c r="M647" s="3" t="s">
        <v>248</v>
      </c>
      <c r="O647" s="3" t="s">
        <v>65</v>
      </c>
      <c r="P647" s="3" t="s">
        <v>66</v>
      </c>
      <c r="R647" s="3" t="s">
        <v>67</v>
      </c>
      <c r="S647" s="4">
        <v>1</v>
      </c>
      <c r="T647" s="4">
        <v>1</v>
      </c>
      <c r="U647" s="5" t="s">
        <v>7101</v>
      </c>
      <c r="V647" s="5" t="s">
        <v>7101</v>
      </c>
      <c r="W647" s="5" t="s">
        <v>7101</v>
      </c>
      <c r="X647" s="5" t="s">
        <v>7101</v>
      </c>
      <c r="Y647" s="4">
        <v>621</v>
      </c>
      <c r="Z647" s="4">
        <v>528</v>
      </c>
      <c r="AA647" s="4">
        <v>532</v>
      </c>
      <c r="AB647" s="4">
        <v>4</v>
      </c>
      <c r="AC647" s="4">
        <v>4</v>
      </c>
      <c r="AD647" s="4">
        <v>20</v>
      </c>
      <c r="AE647" s="4">
        <v>20</v>
      </c>
      <c r="AF647" s="4">
        <v>7</v>
      </c>
      <c r="AG647" s="4">
        <v>7</v>
      </c>
      <c r="AH647" s="4">
        <v>5</v>
      </c>
      <c r="AI647" s="4">
        <v>5</v>
      </c>
      <c r="AJ647" s="4">
        <v>10</v>
      </c>
      <c r="AK647" s="4">
        <v>10</v>
      </c>
      <c r="AL647" s="4">
        <v>3</v>
      </c>
      <c r="AM647" s="4">
        <v>3</v>
      </c>
      <c r="AN647" s="4">
        <v>1</v>
      </c>
      <c r="AO647" s="4">
        <v>1</v>
      </c>
      <c r="AP647" s="3" t="s">
        <v>58</v>
      </c>
      <c r="AQ647" s="3" t="s">
        <v>58</v>
      </c>
      <c r="AS647" s="6" t="str">
        <f>HYPERLINK("https://creighton-primo.hosted.exlibrisgroup.com/primo-explore/search?tab=default_tab&amp;search_scope=EVERYTHING&amp;vid=01CRU&amp;lang=en_US&amp;offset=0&amp;query=any,contains,991005112769702656","Catalog Record")</f>
        <v>Catalog Record</v>
      </c>
      <c r="AT647" s="6" t="str">
        <f>HYPERLINK("http://www.worldcat.org/oclc/124036176","WorldCat Record")</f>
        <v>WorldCat Record</v>
      </c>
      <c r="AU647" s="3" t="s">
        <v>8559</v>
      </c>
      <c r="AV647" s="3" t="s">
        <v>8560</v>
      </c>
      <c r="AW647" s="3" t="s">
        <v>8561</v>
      </c>
      <c r="AX647" s="3" t="s">
        <v>8561</v>
      </c>
      <c r="AY647" s="3" t="s">
        <v>8562</v>
      </c>
      <c r="AZ647" s="3" t="s">
        <v>74</v>
      </c>
      <c r="BB647" s="3" t="s">
        <v>8563</v>
      </c>
      <c r="BC647" s="3" t="s">
        <v>8564</v>
      </c>
      <c r="BD647" s="3" t="s">
        <v>8565</v>
      </c>
    </row>
    <row r="648" spans="1:56" ht="45.75" customHeight="1" x14ac:dyDescent="0.25">
      <c r="A648" s="7" t="s">
        <v>58</v>
      </c>
      <c r="B648" s="2" t="s">
        <v>8566</v>
      </c>
      <c r="C648" s="2" t="s">
        <v>8567</v>
      </c>
      <c r="D648" s="2" t="s">
        <v>8568</v>
      </c>
      <c r="F648" s="3" t="s">
        <v>58</v>
      </c>
      <c r="G648" s="3" t="s">
        <v>59</v>
      </c>
      <c r="H648" s="3" t="s">
        <v>58</v>
      </c>
      <c r="I648" s="3" t="s">
        <v>58</v>
      </c>
      <c r="J648" s="3" t="s">
        <v>60</v>
      </c>
      <c r="L648" s="2" t="s">
        <v>8569</v>
      </c>
      <c r="M648" s="3" t="s">
        <v>800</v>
      </c>
      <c r="O648" s="3" t="s">
        <v>65</v>
      </c>
      <c r="P648" s="3" t="s">
        <v>175</v>
      </c>
      <c r="R648" s="3" t="s">
        <v>67</v>
      </c>
      <c r="S648" s="4">
        <v>15</v>
      </c>
      <c r="T648" s="4">
        <v>15</v>
      </c>
      <c r="U648" s="5" t="s">
        <v>7289</v>
      </c>
      <c r="V648" s="5" t="s">
        <v>7289</v>
      </c>
      <c r="W648" s="5" t="s">
        <v>8570</v>
      </c>
      <c r="X648" s="5" t="s">
        <v>8570</v>
      </c>
      <c r="Y648" s="4">
        <v>240</v>
      </c>
      <c r="Z648" s="4">
        <v>157</v>
      </c>
      <c r="AA648" s="4">
        <v>159</v>
      </c>
      <c r="AB648" s="4">
        <v>1</v>
      </c>
      <c r="AC648" s="4">
        <v>1</v>
      </c>
      <c r="AD648" s="4">
        <v>10</v>
      </c>
      <c r="AE648" s="4">
        <v>10</v>
      </c>
      <c r="AF648" s="4">
        <v>4</v>
      </c>
      <c r="AG648" s="4">
        <v>4</v>
      </c>
      <c r="AH648" s="4">
        <v>4</v>
      </c>
      <c r="AI648" s="4">
        <v>4</v>
      </c>
      <c r="AJ648" s="4">
        <v>3</v>
      </c>
      <c r="AK648" s="4">
        <v>3</v>
      </c>
      <c r="AL648" s="4">
        <v>0</v>
      </c>
      <c r="AM648" s="4">
        <v>0</v>
      </c>
      <c r="AN648" s="4">
        <v>2</v>
      </c>
      <c r="AO648" s="4">
        <v>2</v>
      </c>
      <c r="AP648" s="3" t="s">
        <v>58</v>
      </c>
      <c r="AQ648" s="3" t="s">
        <v>87</v>
      </c>
      <c r="AR648" s="6" t="str">
        <f>HYPERLINK("http://catalog.hathitrust.org/Record/002505479","HathiTrust Record")</f>
        <v>HathiTrust Record</v>
      </c>
      <c r="AS648" s="6" t="str">
        <f>HYPERLINK("https://creighton-primo.hosted.exlibrisgroup.com/primo-explore/search?tab=default_tab&amp;search_scope=EVERYTHING&amp;vid=01CRU&amp;lang=en_US&amp;offset=0&amp;query=any,contains,991001861389702656","Catalog Record")</f>
        <v>Catalog Record</v>
      </c>
      <c r="AT648" s="6" t="str">
        <f>HYPERLINK("http://www.worldcat.org/oclc/23384185","WorldCat Record")</f>
        <v>WorldCat Record</v>
      </c>
      <c r="AU648" s="3" t="s">
        <v>8571</v>
      </c>
      <c r="AV648" s="3" t="s">
        <v>8572</v>
      </c>
      <c r="AW648" s="3" t="s">
        <v>8573</v>
      </c>
      <c r="AX648" s="3" t="s">
        <v>8573</v>
      </c>
      <c r="AY648" s="3" t="s">
        <v>8574</v>
      </c>
      <c r="AZ648" s="3" t="s">
        <v>74</v>
      </c>
      <c r="BB648" s="3" t="s">
        <v>8575</v>
      </c>
      <c r="BC648" s="3" t="s">
        <v>8576</v>
      </c>
      <c r="BD648" s="3" t="s">
        <v>8577</v>
      </c>
    </row>
    <row r="649" spans="1:56" ht="45.75" customHeight="1" x14ac:dyDescent="0.25">
      <c r="A649" s="7" t="s">
        <v>58</v>
      </c>
      <c r="B649" s="2" t="s">
        <v>8578</v>
      </c>
      <c r="C649" s="2" t="s">
        <v>8579</v>
      </c>
      <c r="D649" s="2" t="s">
        <v>8580</v>
      </c>
      <c r="F649" s="3" t="s">
        <v>58</v>
      </c>
      <c r="G649" s="3" t="s">
        <v>59</v>
      </c>
      <c r="H649" s="3" t="s">
        <v>58</v>
      </c>
      <c r="I649" s="3" t="s">
        <v>58</v>
      </c>
      <c r="J649" s="3" t="s">
        <v>60</v>
      </c>
      <c r="K649" s="2" t="s">
        <v>8581</v>
      </c>
      <c r="L649" s="2" t="s">
        <v>8582</v>
      </c>
      <c r="M649" s="3" t="s">
        <v>131</v>
      </c>
      <c r="N649" s="2" t="s">
        <v>543</v>
      </c>
      <c r="O649" s="3" t="s">
        <v>65</v>
      </c>
      <c r="P649" s="3" t="s">
        <v>84</v>
      </c>
      <c r="R649" s="3" t="s">
        <v>67</v>
      </c>
      <c r="S649" s="4">
        <v>2</v>
      </c>
      <c r="T649" s="4">
        <v>2</v>
      </c>
      <c r="U649" s="5" t="s">
        <v>8583</v>
      </c>
      <c r="V649" s="5" t="s">
        <v>8583</v>
      </c>
      <c r="W649" s="5" t="s">
        <v>7404</v>
      </c>
      <c r="X649" s="5" t="s">
        <v>7404</v>
      </c>
      <c r="Y649" s="4">
        <v>368</v>
      </c>
      <c r="Z649" s="4">
        <v>292</v>
      </c>
      <c r="AA649" s="4">
        <v>745</v>
      </c>
      <c r="AB649" s="4">
        <v>2</v>
      </c>
      <c r="AC649" s="4">
        <v>6</v>
      </c>
      <c r="AD649" s="4">
        <v>11</v>
      </c>
      <c r="AE649" s="4">
        <v>29</v>
      </c>
      <c r="AF649" s="4">
        <v>3</v>
      </c>
      <c r="AG649" s="4">
        <v>10</v>
      </c>
      <c r="AH649" s="4">
        <v>3</v>
      </c>
      <c r="AI649" s="4">
        <v>8</v>
      </c>
      <c r="AJ649" s="4">
        <v>7</v>
      </c>
      <c r="AK649" s="4">
        <v>11</v>
      </c>
      <c r="AL649" s="4">
        <v>1</v>
      </c>
      <c r="AM649" s="4">
        <v>5</v>
      </c>
      <c r="AN649" s="4">
        <v>1</v>
      </c>
      <c r="AO649" s="4">
        <v>2</v>
      </c>
      <c r="AP649" s="3" t="s">
        <v>58</v>
      </c>
      <c r="AQ649" s="3" t="s">
        <v>58</v>
      </c>
      <c r="AS649" s="6" t="str">
        <f>HYPERLINK("https://creighton-primo.hosted.exlibrisgroup.com/primo-explore/search?tab=default_tab&amp;search_scope=EVERYTHING&amp;vid=01CRU&amp;lang=en_US&amp;offset=0&amp;query=any,contains,991005124439702656","Catalog Record")</f>
        <v>Catalog Record</v>
      </c>
      <c r="AT649" s="6" t="str">
        <f>HYPERLINK("http://www.worldcat.org/oclc/65205159","WorldCat Record")</f>
        <v>WorldCat Record</v>
      </c>
      <c r="AU649" s="3" t="s">
        <v>8584</v>
      </c>
      <c r="AV649" s="3" t="s">
        <v>8585</v>
      </c>
      <c r="AW649" s="3" t="s">
        <v>8586</v>
      </c>
      <c r="AX649" s="3" t="s">
        <v>8586</v>
      </c>
      <c r="AY649" s="3" t="s">
        <v>8587</v>
      </c>
      <c r="AZ649" s="3" t="s">
        <v>74</v>
      </c>
      <c r="BB649" s="3" t="s">
        <v>8588</v>
      </c>
      <c r="BC649" s="3" t="s">
        <v>8589</v>
      </c>
      <c r="BD649" s="3" t="s">
        <v>8590</v>
      </c>
    </row>
    <row r="650" spans="1:56" ht="45.75" customHeight="1" x14ac:dyDescent="0.25">
      <c r="A650" s="7" t="s">
        <v>58</v>
      </c>
      <c r="B650" s="2" t="s">
        <v>8591</v>
      </c>
      <c r="C650" s="2" t="s">
        <v>8592</v>
      </c>
      <c r="D650" s="2" t="s">
        <v>8593</v>
      </c>
      <c r="F650" s="3" t="s">
        <v>58</v>
      </c>
      <c r="G650" s="3" t="s">
        <v>59</v>
      </c>
      <c r="H650" s="3" t="s">
        <v>58</v>
      </c>
      <c r="I650" s="3" t="s">
        <v>58</v>
      </c>
      <c r="J650" s="3" t="s">
        <v>60</v>
      </c>
      <c r="K650" s="2" t="s">
        <v>8594</v>
      </c>
      <c r="L650" s="2" t="s">
        <v>8595</v>
      </c>
      <c r="M650" s="3" t="s">
        <v>189</v>
      </c>
      <c r="O650" s="3" t="s">
        <v>65</v>
      </c>
      <c r="P650" s="3" t="s">
        <v>84</v>
      </c>
      <c r="Q650" s="2" t="s">
        <v>8596</v>
      </c>
      <c r="R650" s="3" t="s">
        <v>67</v>
      </c>
      <c r="S650" s="4">
        <v>2</v>
      </c>
      <c r="T650" s="4">
        <v>2</v>
      </c>
      <c r="U650" s="5" t="s">
        <v>7100</v>
      </c>
      <c r="V650" s="5" t="s">
        <v>7100</v>
      </c>
      <c r="W650" s="5" t="s">
        <v>8597</v>
      </c>
      <c r="X650" s="5" t="s">
        <v>8597</v>
      </c>
      <c r="Y650" s="4">
        <v>467</v>
      </c>
      <c r="Z650" s="4">
        <v>388</v>
      </c>
      <c r="AA650" s="4">
        <v>427</v>
      </c>
      <c r="AB650" s="4">
        <v>5</v>
      </c>
      <c r="AC650" s="4">
        <v>5</v>
      </c>
      <c r="AD650" s="4">
        <v>19</v>
      </c>
      <c r="AE650" s="4">
        <v>21</v>
      </c>
      <c r="AF650" s="4">
        <v>6</v>
      </c>
      <c r="AG650" s="4">
        <v>8</v>
      </c>
      <c r="AH650" s="4">
        <v>5</v>
      </c>
      <c r="AI650" s="4">
        <v>6</v>
      </c>
      <c r="AJ650" s="4">
        <v>9</v>
      </c>
      <c r="AK650" s="4">
        <v>9</v>
      </c>
      <c r="AL650" s="4">
        <v>4</v>
      </c>
      <c r="AM650" s="4">
        <v>4</v>
      </c>
      <c r="AN650" s="4">
        <v>0</v>
      </c>
      <c r="AO650" s="4">
        <v>0</v>
      </c>
      <c r="AP650" s="3" t="s">
        <v>58</v>
      </c>
      <c r="AQ650" s="3" t="s">
        <v>58</v>
      </c>
      <c r="AS650" s="6" t="str">
        <f>HYPERLINK("https://creighton-primo.hosted.exlibrisgroup.com/primo-explore/search?tab=default_tab&amp;search_scope=EVERYTHING&amp;vid=01CRU&amp;lang=en_US&amp;offset=0&amp;query=any,contains,991005388709702656","Catalog Record")</f>
        <v>Catalog Record</v>
      </c>
      <c r="AT650" s="6" t="str">
        <f>HYPERLINK("http://www.worldcat.org/oclc/317068141","WorldCat Record")</f>
        <v>WorldCat Record</v>
      </c>
      <c r="AU650" s="3" t="s">
        <v>8598</v>
      </c>
      <c r="AV650" s="3" t="s">
        <v>8599</v>
      </c>
      <c r="AW650" s="3" t="s">
        <v>8600</v>
      </c>
      <c r="AX650" s="3" t="s">
        <v>8600</v>
      </c>
      <c r="AY650" s="3" t="s">
        <v>8601</v>
      </c>
      <c r="AZ650" s="3" t="s">
        <v>74</v>
      </c>
      <c r="BB650" s="3" t="s">
        <v>8602</v>
      </c>
      <c r="BC650" s="3" t="s">
        <v>8603</v>
      </c>
      <c r="BD650" s="3" t="s">
        <v>8604</v>
      </c>
    </row>
    <row r="651" spans="1:56" ht="45.75" customHeight="1" x14ac:dyDescent="0.25">
      <c r="A651" s="7" t="s">
        <v>58</v>
      </c>
      <c r="B651" s="2" t="s">
        <v>8605</v>
      </c>
      <c r="C651" s="2" t="s">
        <v>8606</v>
      </c>
      <c r="D651" s="2" t="s">
        <v>8607</v>
      </c>
      <c r="F651" s="3" t="s">
        <v>58</v>
      </c>
      <c r="G651" s="3" t="s">
        <v>59</v>
      </c>
      <c r="H651" s="3" t="s">
        <v>58</v>
      </c>
      <c r="I651" s="3" t="s">
        <v>58</v>
      </c>
      <c r="J651" s="3" t="s">
        <v>60</v>
      </c>
      <c r="L651" s="2" t="s">
        <v>8608</v>
      </c>
      <c r="M651" s="3" t="s">
        <v>147</v>
      </c>
      <c r="O651" s="3" t="s">
        <v>65</v>
      </c>
      <c r="P651" s="3" t="s">
        <v>8609</v>
      </c>
      <c r="R651" s="3" t="s">
        <v>67</v>
      </c>
      <c r="S651" s="4">
        <v>1</v>
      </c>
      <c r="T651" s="4">
        <v>1</v>
      </c>
      <c r="U651" s="5" t="s">
        <v>3917</v>
      </c>
      <c r="V651" s="5" t="s">
        <v>3917</v>
      </c>
      <c r="W651" s="5" t="s">
        <v>2959</v>
      </c>
      <c r="X651" s="5" t="s">
        <v>2959</v>
      </c>
      <c r="Y651" s="4">
        <v>125</v>
      </c>
      <c r="Z651" s="4">
        <v>90</v>
      </c>
      <c r="AA651" s="4">
        <v>108</v>
      </c>
      <c r="AB651" s="4">
        <v>1</v>
      </c>
      <c r="AC651" s="4">
        <v>2</v>
      </c>
      <c r="AD651" s="4">
        <v>6</v>
      </c>
      <c r="AE651" s="4">
        <v>7</v>
      </c>
      <c r="AF651" s="4">
        <v>0</v>
      </c>
      <c r="AG651" s="4">
        <v>0</v>
      </c>
      <c r="AH651" s="4">
        <v>4</v>
      </c>
      <c r="AI651" s="4">
        <v>4</v>
      </c>
      <c r="AJ651" s="4">
        <v>4</v>
      </c>
      <c r="AK651" s="4">
        <v>4</v>
      </c>
      <c r="AL651" s="4">
        <v>0</v>
      </c>
      <c r="AM651" s="4">
        <v>1</v>
      </c>
      <c r="AN651" s="4">
        <v>0</v>
      </c>
      <c r="AO651" s="4">
        <v>0</v>
      </c>
      <c r="AP651" s="3" t="s">
        <v>58</v>
      </c>
      <c r="AQ651" s="3" t="s">
        <v>87</v>
      </c>
      <c r="AR651" s="6" t="str">
        <f>HYPERLINK("http://catalog.hathitrust.org/Record/008316428","HathiTrust Record")</f>
        <v>HathiTrust Record</v>
      </c>
      <c r="AS651" s="6" t="str">
        <f>HYPERLINK("https://creighton-primo.hosted.exlibrisgroup.com/primo-explore/search?tab=default_tab&amp;search_scope=EVERYTHING&amp;vid=01CRU&amp;lang=en_US&amp;offset=0&amp;query=any,contains,991004742519702656","Catalog Record")</f>
        <v>Catalog Record</v>
      </c>
      <c r="AT651" s="6" t="str">
        <f>HYPERLINK("http://www.worldcat.org/oclc/55233553","WorldCat Record")</f>
        <v>WorldCat Record</v>
      </c>
      <c r="AU651" s="3" t="s">
        <v>8610</v>
      </c>
      <c r="AV651" s="3" t="s">
        <v>8611</v>
      </c>
      <c r="AW651" s="3" t="s">
        <v>8612</v>
      </c>
      <c r="AX651" s="3" t="s">
        <v>8612</v>
      </c>
      <c r="AY651" s="3" t="s">
        <v>8613</v>
      </c>
      <c r="AZ651" s="3" t="s">
        <v>74</v>
      </c>
      <c r="BB651" s="3" t="s">
        <v>8614</v>
      </c>
      <c r="BC651" s="3" t="s">
        <v>8615</v>
      </c>
      <c r="BD651" s="3" t="s">
        <v>8616</v>
      </c>
    </row>
    <row r="652" spans="1:56" ht="45.75" customHeight="1" x14ac:dyDescent="0.25">
      <c r="A652" s="7" t="s">
        <v>58</v>
      </c>
      <c r="B652" s="2" t="s">
        <v>8617</v>
      </c>
      <c r="C652" s="2" t="s">
        <v>8618</v>
      </c>
      <c r="D652" s="2" t="s">
        <v>8619</v>
      </c>
      <c r="F652" s="3" t="s">
        <v>58</v>
      </c>
      <c r="G652" s="3" t="s">
        <v>59</v>
      </c>
      <c r="H652" s="3" t="s">
        <v>58</v>
      </c>
      <c r="I652" s="3" t="s">
        <v>58</v>
      </c>
      <c r="J652" s="3" t="s">
        <v>60</v>
      </c>
      <c r="K652" s="2" t="s">
        <v>8620</v>
      </c>
      <c r="L652" s="2" t="s">
        <v>8621</v>
      </c>
      <c r="M652" s="3" t="s">
        <v>203</v>
      </c>
      <c r="O652" s="3" t="s">
        <v>65</v>
      </c>
      <c r="P652" s="3" t="s">
        <v>772</v>
      </c>
      <c r="R652" s="3" t="s">
        <v>67</v>
      </c>
      <c r="S652" s="4">
        <v>3</v>
      </c>
      <c r="T652" s="4">
        <v>3</v>
      </c>
      <c r="U652" s="5" t="s">
        <v>8622</v>
      </c>
      <c r="V652" s="5" t="s">
        <v>8622</v>
      </c>
      <c r="W652" s="5" t="s">
        <v>8623</v>
      </c>
      <c r="X652" s="5" t="s">
        <v>8623</v>
      </c>
      <c r="Y652" s="4">
        <v>14</v>
      </c>
      <c r="Z652" s="4">
        <v>9</v>
      </c>
      <c r="AA652" s="4">
        <v>477</v>
      </c>
      <c r="AB652" s="4">
        <v>1</v>
      </c>
      <c r="AC652" s="4">
        <v>2</v>
      </c>
      <c r="AD652" s="4">
        <v>0</v>
      </c>
      <c r="AE652" s="4">
        <v>28</v>
      </c>
      <c r="AF652" s="4">
        <v>0</v>
      </c>
      <c r="AG652" s="4">
        <v>14</v>
      </c>
      <c r="AH652" s="4">
        <v>0</v>
      </c>
      <c r="AI652" s="4">
        <v>7</v>
      </c>
      <c r="AJ652" s="4">
        <v>0</v>
      </c>
      <c r="AK652" s="4">
        <v>14</v>
      </c>
      <c r="AL652" s="4">
        <v>0</v>
      </c>
      <c r="AM652" s="4">
        <v>1</v>
      </c>
      <c r="AN652" s="4">
        <v>0</v>
      </c>
      <c r="AO652" s="4">
        <v>1</v>
      </c>
      <c r="AP652" s="3" t="s">
        <v>58</v>
      </c>
      <c r="AQ652" s="3" t="s">
        <v>58</v>
      </c>
      <c r="AS652" s="6" t="str">
        <f>HYPERLINK("https://creighton-primo.hosted.exlibrisgroup.com/primo-explore/search?tab=default_tab&amp;search_scope=EVERYTHING&amp;vid=01CRU&amp;lang=en_US&amp;offset=0&amp;query=any,contains,991004157009702656","Catalog Record")</f>
        <v>Catalog Record</v>
      </c>
      <c r="AT652" s="6" t="str">
        <f>HYPERLINK("http://www.worldcat.org/oclc/49394359","WorldCat Record")</f>
        <v>WorldCat Record</v>
      </c>
      <c r="AU652" s="3" t="s">
        <v>8624</v>
      </c>
      <c r="AV652" s="3" t="s">
        <v>8625</v>
      </c>
      <c r="AW652" s="3" t="s">
        <v>8626</v>
      </c>
      <c r="AX652" s="3" t="s">
        <v>8626</v>
      </c>
      <c r="AY652" s="3" t="s">
        <v>8627</v>
      </c>
      <c r="AZ652" s="3" t="s">
        <v>74</v>
      </c>
      <c r="BB652" s="3" t="s">
        <v>8628</v>
      </c>
      <c r="BC652" s="3" t="s">
        <v>8629</v>
      </c>
      <c r="BD652" s="3" t="s">
        <v>8630</v>
      </c>
    </row>
    <row r="653" spans="1:56" ht="45.75" customHeight="1" x14ac:dyDescent="0.25">
      <c r="A653" s="7" t="s">
        <v>58</v>
      </c>
      <c r="B653" s="2" t="s">
        <v>8631</v>
      </c>
      <c r="C653" s="2" t="s">
        <v>8632</v>
      </c>
      <c r="D653" s="2" t="s">
        <v>8633</v>
      </c>
      <c r="F653" s="3" t="s">
        <v>58</v>
      </c>
      <c r="G653" s="3" t="s">
        <v>59</v>
      </c>
      <c r="H653" s="3" t="s">
        <v>58</v>
      </c>
      <c r="I653" s="3" t="s">
        <v>58</v>
      </c>
      <c r="J653" s="3" t="s">
        <v>60</v>
      </c>
      <c r="K653" s="2" t="s">
        <v>8634</v>
      </c>
      <c r="L653" s="2" t="s">
        <v>8635</v>
      </c>
      <c r="M653" s="3" t="s">
        <v>203</v>
      </c>
      <c r="O653" s="3" t="s">
        <v>65</v>
      </c>
      <c r="P653" s="3" t="s">
        <v>772</v>
      </c>
      <c r="R653" s="3" t="s">
        <v>67</v>
      </c>
      <c r="S653" s="4">
        <v>4</v>
      </c>
      <c r="T653" s="4">
        <v>4</v>
      </c>
      <c r="U653" s="5" t="s">
        <v>8636</v>
      </c>
      <c r="V653" s="5" t="s">
        <v>8636</v>
      </c>
      <c r="W653" s="5" t="s">
        <v>4660</v>
      </c>
      <c r="X653" s="5" t="s">
        <v>4660</v>
      </c>
      <c r="Y653" s="4">
        <v>408</v>
      </c>
      <c r="Z653" s="4">
        <v>345</v>
      </c>
      <c r="AA653" s="4">
        <v>351</v>
      </c>
      <c r="AB653" s="4">
        <v>3</v>
      </c>
      <c r="AC653" s="4">
        <v>3</v>
      </c>
      <c r="AD653" s="4">
        <v>16</v>
      </c>
      <c r="AE653" s="4">
        <v>16</v>
      </c>
      <c r="AF653" s="4">
        <v>5</v>
      </c>
      <c r="AG653" s="4">
        <v>5</v>
      </c>
      <c r="AH653" s="4">
        <v>5</v>
      </c>
      <c r="AI653" s="4">
        <v>5</v>
      </c>
      <c r="AJ653" s="4">
        <v>8</v>
      </c>
      <c r="AK653" s="4">
        <v>8</v>
      </c>
      <c r="AL653" s="4">
        <v>2</v>
      </c>
      <c r="AM653" s="4">
        <v>2</v>
      </c>
      <c r="AN653" s="4">
        <v>0</v>
      </c>
      <c r="AO653" s="4">
        <v>0</v>
      </c>
      <c r="AP653" s="3" t="s">
        <v>58</v>
      </c>
      <c r="AQ653" s="3" t="s">
        <v>58</v>
      </c>
      <c r="AS653" s="6" t="str">
        <f>HYPERLINK("https://creighton-primo.hosted.exlibrisgroup.com/primo-explore/search?tab=default_tab&amp;search_scope=EVERYTHING&amp;vid=01CRU&amp;lang=en_US&amp;offset=0&amp;query=any,contains,991004159339702656","Catalog Record")</f>
        <v>Catalog Record</v>
      </c>
      <c r="AT653" s="6" t="str">
        <f>HYPERLINK("http://www.worldcat.org/oclc/49044380","WorldCat Record")</f>
        <v>WorldCat Record</v>
      </c>
      <c r="AU653" s="3" t="s">
        <v>8637</v>
      </c>
      <c r="AV653" s="3" t="s">
        <v>8638</v>
      </c>
      <c r="AW653" s="3" t="s">
        <v>8639</v>
      </c>
      <c r="AX653" s="3" t="s">
        <v>8639</v>
      </c>
      <c r="AY653" s="3" t="s">
        <v>8640</v>
      </c>
      <c r="AZ653" s="3" t="s">
        <v>74</v>
      </c>
      <c r="BB653" s="3" t="s">
        <v>8641</v>
      </c>
      <c r="BC653" s="3" t="s">
        <v>8642</v>
      </c>
      <c r="BD653" s="3" t="s">
        <v>8643</v>
      </c>
    </row>
    <row r="654" spans="1:56" ht="45.75" customHeight="1" x14ac:dyDescent="0.25">
      <c r="A654" s="7" t="s">
        <v>58</v>
      </c>
      <c r="B654" s="2" t="s">
        <v>8644</v>
      </c>
      <c r="C654" s="2" t="s">
        <v>8645</v>
      </c>
      <c r="D654" s="2" t="s">
        <v>8646</v>
      </c>
      <c r="F654" s="3" t="s">
        <v>58</v>
      </c>
      <c r="G654" s="3" t="s">
        <v>59</v>
      </c>
      <c r="H654" s="3" t="s">
        <v>58</v>
      </c>
      <c r="I654" s="3" t="s">
        <v>58</v>
      </c>
      <c r="J654" s="3" t="s">
        <v>60</v>
      </c>
      <c r="K654" s="2" t="s">
        <v>8647</v>
      </c>
      <c r="L654" s="2" t="s">
        <v>8648</v>
      </c>
      <c r="M654" s="3" t="s">
        <v>162</v>
      </c>
      <c r="O654" s="3" t="s">
        <v>65</v>
      </c>
      <c r="P654" s="3" t="s">
        <v>204</v>
      </c>
      <c r="R654" s="3" t="s">
        <v>67</v>
      </c>
      <c r="S654" s="4">
        <v>2</v>
      </c>
      <c r="T654" s="4">
        <v>2</v>
      </c>
      <c r="U654" s="5" t="s">
        <v>8649</v>
      </c>
      <c r="V654" s="5" t="s">
        <v>8649</v>
      </c>
      <c r="W654" s="5" t="s">
        <v>487</v>
      </c>
      <c r="X654" s="5" t="s">
        <v>487</v>
      </c>
      <c r="Y654" s="4">
        <v>716</v>
      </c>
      <c r="Z654" s="4">
        <v>636</v>
      </c>
      <c r="AA654" s="4">
        <v>1001</v>
      </c>
      <c r="AB654" s="4">
        <v>7</v>
      </c>
      <c r="AC654" s="4">
        <v>9</v>
      </c>
      <c r="AD654" s="4">
        <v>33</v>
      </c>
      <c r="AE654" s="4">
        <v>46</v>
      </c>
      <c r="AF654" s="4">
        <v>14</v>
      </c>
      <c r="AG654" s="4">
        <v>18</v>
      </c>
      <c r="AH654" s="4">
        <v>5</v>
      </c>
      <c r="AI654" s="4">
        <v>9</v>
      </c>
      <c r="AJ654" s="4">
        <v>14</v>
      </c>
      <c r="AK654" s="4">
        <v>19</v>
      </c>
      <c r="AL654" s="4">
        <v>6</v>
      </c>
      <c r="AM654" s="4">
        <v>8</v>
      </c>
      <c r="AN654" s="4">
        <v>1</v>
      </c>
      <c r="AO654" s="4">
        <v>2</v>
      </c>
      <c r="AP654" s="3" t="s">
        <v>58</v>
      </c>
      <c r="AQ654" s="3" t="s">
        <v>58</v>
      </c>
      <c r="AS654" s="6" t="str">
        <f>HYPERLINK("https://creighton-primo.hosted.exlibrisgroup.com/primo-explore/search?tab=default_tab&amp;search_scope=EVERYTHING&amp;vid=01CRU&amp;lang=en_US&amp;offset=0&amp;query=any,contains,991005270329702656","Catalog Record")</f>
        <v>Catalog Record</v>
      </c>
      <c r="AT654" s="6" t="str">
        <f>HYPERLINK("http://www.worldcat.org/oclc/154800556","WorldCat Record")</f>
        <v>WorldCat Record</v>
      </c>
      <c r="AU654" s="3" t="s">
        <v>8650</v>
      </c>
      <c r="AV654" s="3" t="s">
        <v>8651</v>
      </c>
      <c r="AW654" s="3" t="s">
        <v>8652</v>
      </c>
      <c r="AX654" s="3" t="s">
        <v>8652</v>
      </c>
      <c r="AY654" s="3" t="s">
        <v>8653</v>
      </c>
      <c r="AZ654" s="3" t="s">
        <v>74</v>
      </c>
      <c r="BB654" s="3" t="s">
        <v>8654</v>
      </c>
      <c r="BC654" s="3" t="s">
        <v>8655</v>
      </c>
      <c r="BD654" s="3" t="s">
        <v>8656</v>
      </c>
    </row>
    <row r="655" spans="1:56" ht="45.75" customHeight="1" x14ac:dyDescent="0.25">
      <c r="A655" s="7" t="s">
        <v>58</v>
      </c>
      <c r="B655" s="2" t="s">
        <v>8657</v>
      </c>
      <c r="C655" s="2" t="s">
        <v>8658</v>
      </c>
      <c r="D655" s="2" t="s">
        <v>8659</v>
      </c>
      <c r="F655" s="3" t="s">
        <v>58</v>
      </c>
      <c r="G655" s="3" t="s">
        <v>59</v>
      </c>
      <c r="H655" s="3" t="s">
        <v>58</v>
      </c>
      <c r="I655" s="3" t="s">
        <v>58</v>
      </c>
      <c r="J655" s="3" t="s">
        <v>60</v>
      </c>
      <c r="K655" s="2" t="s">
        <v>8660</v>
      </c>
      <c r="L655" s="2" t="s">
        <v>8661</v>
      </c>
      <c r="M655" s="3" t="s">
        <v>203</v>
      </c>
      <c r="O655" s="3" t="s">
        <v>65</v>
      </c>
      <c r="P655" s="3" t="s">
        <v>336</v>
      </c>
      <c r="R655" s="3" t="s">
        <v>67</v>
      </c>
      <c r="S655" s="4">
        <v>7</v>
      </c>
      <c r="T655" s="4">
        <v>7</v>
      </c>
      <c r="U655" s="5" t="s">
        <v>8057</v>
      </c>
      <c r="V655" s="5" t="s">
        <v>8057</v>
      </c>
      <c r="W655" s="5" t="s">
        <v>6255</v>
      </c>
      <c r="X655" s="5" t="s">
        <v>6255</v>
      </c>
      <c r="Y655" s="4">
        <v>782</v>
      </c>
      <c r="Z655" s="4">
        <v>639</v>
      </c>
      <c r="AA655" s="4">
        <v>645</v>
      </c>
      <c r="AB655" s="4">
        <v>4</v>
      </c>
      <c r="AC655" s="4">
        <v>4</v>
      </c>
      <c r="AD655" s="4">
        <v>26</v>
      </c>
      <c r="AE655" s="4">
        <v>27</v>
      </c>
      <c r="AF655" s="4">
        <v>12</v>
      </c>
      <c r="AG655" s="4">
        <v>12</v>
      </c>
      <c r="AH655" s="4">
        <v>7</v>
      </c>
      <c r="AI655" s="4">
        <v>7</v>
      </c>
      <c r="AJ655" s="4">
        <v>11</v>
      </c>
      <c r="AK655" s="4">
        <v>12</v>
      </c>
      <c r="AL655" s="4">
        <v>2</v>
      </c>
      <c r="AM655" s="4">
        <v>2</v>
      </c>
      <c r="AN655" s="4">
        <v>1</v>
      </c>
      <c r="AO655" s="4">
        <v>1</v>
      </c>
      <c r="AP655" s="3" t="s">
        <v>58</v>
      </c>
      <c r="AQ655" s="3" t="s">
        <v>58</v>
      </c>
      <c r="AS655" s="6" t="str">
        <f>HYPERLINK("https://creighton-primo.hosted.exlibrisgroup.com/primo-explore/search?tab=default_tab&amp;search_scope=EVERYTHING&amp;vid=01CRU&amp;lang=en_US&amp;offset=0&amp;query=any,contains,991004074029702656","Catalog Record")</f>
        <v>Catalog Record</v>
      </c>
      <c r="AT655" s="6" t="str">
        <f>HYPERLINK("http://www.worldcat.org/oclc/49315209","WorldCat Record")</f>
        <v>WorldCat Record</v>
      </c>
      <c r="AU655" s="3" t="s">
        <v>8662</v>
      </c>
      <c r="AV655" s="3" t="s">
        <v>8663</v>
      </c>
      <c r="AW655" s="3" t="s">
        <v>8664</v>
      </c>
      <c r="AX655" s="3" t="s">
        <v>8664</v>
      </c>
      <c r="AY655" s="3" t="s">
        <v>8665</v>
      </c>
      <c r="AZ655" s="3" t="s">
        <v>74</v>
      </c>
      <c r="BB655" s="3" t="s">
        <v>8666</v>
      </c>
      <c r="BC655" s="3" t="s">
        <v>8667</v>
      </c>
      <c r="BD655" s="3" t="s">
        <v>8668</v>
      </c>
    </row>
    <row r="656" spans="1:56" ht="45.75" customHeight="1" x14ac:dyDescent="0.25">
      <c r="A656" s="7" t="s">
        <v>58</v>
      </c>
      <c r="B656" s="2" t="s">
        <v>8669</v>
      </c>
      <c r="C656" s="2" t="s">
        <v>8670</v>
      </c>
      <c r="D656" s="2" t="s">
        <v>8671</v>
      </c>
      <c r="F656" s="3" t="s">
        <v>58</v>
      </c>
      <c r="G656" s="3" t="s">
        <v>59</v>
      </c>
      <c r="H656" s="3" t="s">
        <v>58</v>
      </c>
      <c r="I656" s="3" t="s">
        <v>58</v>
      </c>
      <c r="J656" s="3" t="s">
        <v>60</v>
      </c>
      <c r="K656" s="2" t="s">
        <v>8672</v>
      </c>
      <c r="L656" s="2" t="s">
        <v>8673</v>
      </c>
      <c r="M656" s="3" t="s">
        <v>248</v>
      </c>
      <c r="O656" s="3" t="s">
        <v>65</v>
      </c>
      <c r="P656" s="3" t="s">
        <v>587</v>
      </c>
      <c r="R656" s="3" t="s">
        <v>67</v>
      </c>
      <c r="S656" s="4">
        <v>5</v>
      </c>
      <c r="T656" s="4">
        <v>5</v>
      </c>
      <c r="U656" s="5" t="s">
        <v>8674</v>
      </c>
      <c r="V656" s="5" t="s">
        <v>8674</v>
      </c>
      <c r="W656" s="5" t="s">
        <v>4947</v>
      </c>
      <c r="X656" s="5" t="s">
        <v>4947</v>
      </c>
      <c r="Y656" s="4">
        <v>590</v>
      </c>
      <c r="Z656" s="4">
        <v>467</v>
      </c>
      <c r="AA656" s="4">
        <v>475</v>
      </c>
      <c r="AB656" s="4">
        <v>5</v>
      </c>
      <c r="AC656" s="4">
        <v>5</v>
      </c>
      <c r="AD656" s="4">
        <v>25</v>
      </c>
      <c r="AE656" s="4">
        <v>25</v>
      </c>
      <c r="AF656" s="4">
        <v>11</v>
      </c>
      <c r="AG656" s="4">
        <v>11</v>
      </c>
      <c r="AH656" s="4">
        <v>6</v>
      </c>
      <c r="AI656" s="4">
        <v>6</v>
      </c>
      <c r="AJ656" s="4">
        <v>10</v>
      </c>
      <c r="AK656" s="4">
        <v>10</v>
      </c>
      <c r="AL656" s="4">
        <v>4</v>
      </c>
      <c r="AM656" s="4">
        <v>4</v>
      </c>
      <c r="AN656" s="4">
        <v>1</v>
      </c>
      <c r="AO656" s="4">
        <v>1</v>
      </c>
      <c r="AP656" s="3" t="s">
        <v>58</v>
      </c>
      <c r="AQ656" s="3" t="s">
        <v>58</v>
      </c>
      <c r="AS656" s="6" t="str">
        <f>HYPERLINK("https://creighton-primo.hosted.exlibrisgroup.com/primo-explore/search?tab=default_tab&amp;search_scope=EVERYTHING&amp;vid=01CRU&amp;lang=en_US&amp;offset=0&amp;query=any,contains,991005176069702656","Catalog Record")</f>
        <v>Catalog Record</v>
      </c>
      <c r="AT656" s="6" t="str">
        <f>HYPERLINK("http://www.worldcat.org/oclc/71368884","WorldCat Record")</f>
        <v>WorldCat Record</v>
      </c>
      <c r="AU656" s="3" t="s">
        <v>8675</v>
      </c>
      <c r="AV656" s="3" t="s">
        <v>8676</v>
      </c>
      <c r="AW656" s="3" t="s">
        <v>8677</v>
      </c>
      <c r="AX656" s="3" t="s">
        <v>8677</v>
      </c>
      <c r="AY656" s="3" t="s">
        <v>8678</v>
      </c>
      <c r="AZ656" s="3" t="s">
        <v>74</v>
      </c>
      <c r="BB656" s="3" t="s">
        <v>8679</v>
      </c>
      <c r="BC656" s="3" t="s">
        <v>8680</v>
      </c>
      <c r="BD656" s="3" t="s">
        <v>8681</v>
      </c>
    </row>
    <row r="657" spans="1:56" ht="45.75" customHeight="1" x14ac:dyDescent="0.25">
      <c r="A657" s="7" t="s">
        <v>58</v>
      </c>
      <c r="B657" s="2" t="s">
        <v>8682</v>
      </c>
      <c r="C657" s="2" t="s">
        <v>8683</v>
      </c>
      <c r="D657" s="2" t="s">
        <v>8684</v>
      </c>
      <c r="F657" s="3" t="s">
        <v>58</v>
      </c>
      <c r="G657" s="3" t="s">
        <v>59</v>
      </c>
      <c r="H657" s="3" t="s">
        <v>58</v>
      </c>
      <c r="I657" s="3" t="s">
        <v>58</v>
      </c>
      <c r="J657" s="3" t="s">
        <v>60</v>
      </c>
      <c r="L657" s="2" t="s">
        <v>8685</v>
      </c>
      <c r="M657" s="3" t="s">
        <v>63</v>
      </c>
      <c r="O657" s="3" t="s">
        <v>65</v>
      </c>
      <c r="P657" s="3" t="s">
        <v>772</v>
      </c>
      <c r="Q657" s="2" t="s">
        <v>8686</v>
      </c>
      <c r="R657" s="3" t="s">
        <v>67</v>
      </c>
      <c r="S657" s="4">
        <v>2</v>
      </c>
      <c r="T657" s="4">
        <v>2</v>
      </c>
      <c r="U657" s="5" t="s">
        <v>8687</v>
      </c>
      <c r="V657" s="5" t="s">
        <v>8687</v>
      </c>
      <c r="W657" s="5" t="s">
        <v>8687</v>
      </c>
      <c r="X657" s="5" t="s">
        <v>8687</v>
      </c>
      <c r="Y657" s="4">
        <v>278</v>
      </c>
      <c r="Z657" s="4">
        <v>204</v>
      </c>
      <c r="AA657" s="4">
        <v>220</v>
      </c>
      <c r="AB657" s="4">
        <v>1</v>
      </c>
      <c r="AC657" s="4">
        <v>1</v>
      </c>
      <c r="AD657" s="4">
        <v>12</v>
      </c>
      <c r="AE657" s="4">
        <v>12</v>
      </c>
      <c r="AF657" s="4">
        <v>5</v>
      </c>
      <c r="AG657" s="4">
        <v>5</v>
      </c>
      <c r="AH657" s="4">
        <v>4</v>
      </c>
      <c r="AI657" s="4">
        <v>4</v>
      </c>
      <c r="AJ657" s="4">
        <v>8</v>
      </c>
      <c r="AK657" s="4">
        <v>8</v>
      </c>
      <c r="AL657" s="4">
        <v>0</v>
      </c>
      <c r="AM657" s="4">
        <v>0</v>
      </c>
      <c r="AN657" s="4">
        <v>0</v>
      </c>
      <c r="AO657" s="4">
        <v>0</v>
      </c>
      <c r="AP657" s="3" t="s">
        <v>58</v>
      </c>
      <c r="AQ657" s="3" t="s">
        <v>58</v>
      </c>
      <c r="AS657" s="6" t="str">
        <f>HYPERLINK("https://creighton-primo.hosted.exlibrisgroup.com/primo-explore/search?tab=default_tab&amp;search_scope=EVERYTHING&amp;vid=01CRU&amp;lang=en_US&amp;offset=0&amp;query=any,contains,991004992009702656","Catalog Record")</f>
        <v>Catalog Record</v>
      </c>
      <c r="AT657" s="6" t="str">
        <f>HYPERLINK("http://www.worldcat.org/oclc/61500013","WorldCat Record")</f>
        <v>WorldCat Record</v>
      </c>
      <c r="AU657" s="3" t="s">
        <v>8688</v>
      </c>
      <c r="AV657" s="3" t="s">
        <v>8689</v>
      </c>
      <c r="AW657" s="3" t="s">
        <v>8690</v>
      </c>
      <c r="AX657" s="3" t="s">
        <v>8690</v>
      </c>
      <c r="AY657" s="3" t="s">
        <v>8691</v>
      </c>
      <c r="AZ657" s="3" t="s">
        <v>74</v>
      </c>
      <c r="BB657" s="3" t="s">
        <v>8692</v>
      </c>
      <c r="BC657" s="3" t="s">
        <v>8693</v>
      </c>
      <c r="BD657" s="3" t="s">
        <v>8694</v>
      </c>
    </row>
    <row r="658" spans="1:56" ht="45.75" customHeight="1" x14ac:dyDescent="0.25">
      <c r="A658" s="7" t="s">
        <v>58</v>
      </c>
      <c r="B658" s="2" t="s">
        <v>8695</v>
      </c>
      <c r="C658" s="2" t="s">
        <v>8696</v>
      </c>
      <c r="D658" s="2" t="s">
        <v>8697</v>
      </c>
      <c r="F658" s="3" t="s">
        <v>58</v>
      </c>
      <c r="G658" s="3" t="s">
        <v>59</v>
      </c>
      <c r="H658" s="3" t="s">
        <v>58</v>
      </c>
      <c r="I658" s="3" t="s">
        <v>58</v>
      </c>
      <c r="J658" s="3" t="s">
        <v>60</v>
      </c>
      <c r="K658" s="2" t="s">
        <v>8698</v>
      </c>
      <c r="L658" s="2" t="s">
        <v>1971</v>
      </c>
      <c r="M658" s="3" t="s">
        <v>867</v>
      </c>
      <c r="O658" s="3" t="s">
        <v>65</v>
      </c>
      <c r="P658" s="3" t="s">
        <v>190</v>
      </c>
      <c r="R658" s="3" t="s">
        <v>67</v>
      </c>
      <c r="S658" s="4">
        <v>39</v>
      </c>
      <c r="T658" s="4">
        <v>39</v>
      </c>
      <c r="U658" s="5" t="s">
        <v>8244</v>
      </c>
      <c r="V658" s="5" t="s">
        <v>8244</v>
      </c>
      <c r="W658" s="5" t="s">
        <v>8699</v>
      </c>
      <c r="X658" s="5" t="s">
        <v>8699</v>
      </c>
      <c r="Y658" s="4">
        <v>254</v>
      </c>
      <c r="Z658" s="4">
        <v>212</v>
      </c>
      <c r="AA658" s="4">
        <v>334</v>
      </c>
      <c r="AB658" s="4">
        <v>3</v>
      </c>
      <c r="AC658" s="4">
        <v>4</v>
      </c>
      <c r="AD658" s="4">
        <v>7</v>
      </c>
      <c r="AE658" s="4">
        <v>14</v>
      </c>
      <c r="AF658" s="4">
        <v>1</v>
      </c>
      <c r="AG658" s="4">
        <v>5</v>
      </c>
      <c r="AH658" s="4">
        <v>2</v>
      </c>
      <c r="AI658" s="4">
        <v>3</v>
      </c>
      <c r="AJ658" s="4">
        <v>3</v>
      </c>
      <c r="AK658" s="4">
        <v>5</v>
      </c>
      <c r="AL658" s="4">
        <v>2</v>
      </c>
      <c r="AM658" s="4">
        <v>3</v>
      </c>
      <c r="AN658" s="4">
        <v>0</v>
      </c>
      <c r="AO658" s="4">
        <v>1</v>
      </c>
      <c r="AP658" s="3" t="s">
        <v>58</v>
      </c>
      <c r="AQ658" s="3" t="s">
        <v>58</v>
      </c>
      <c r="AS658" s="6" t="str">
        <f>HYPERLINK("https://creighton-primo.hosted.exlibrisgroup.com/primo-explore/search?tab=default_tab&amp;search_scope=EVERYTHING&amp;vid=01CRU&amp;lang=en_US&amp;offset=0&amp;query=any,contains,991001999439702656","Catalog Record")</f>
        <v>Catalog Record</v>
      </c>
      <c r="AT658" s="6" t="str">
        <f>HYPERLINK("http://www.worldcat.org/oclc/25410277","WorldCat Record")</f>
        <v>WorldCat Record</v>
      </c>
      <c r="AU658" s="3" t="s">
        <v>8700</v>
      </c>
      <c r="AV658" s="3" t="s">
        <v>8701</v>
      </c>
      <c r="AW658" s="3" t="s">
        <v>8702</v>
      </c>
      <c r="AX658" s="3" t="s">
        <v>8702</v>
      </c>
      <c r="AY658" s="3" t="s">
        <v>8703</v>
      </c>
      <c r="AZ658" s="3" t="s">
        <v>74</v>
      </c>
      <c r="BB658" s="3" t="s">
        <v>8704</v>
      </c>
      <c r="BC658" s="3" t="s">
        <v>8705</v>
      </c>
      <c r="BD658" s="3" t="s">
        <v>8706</v>
      </c>
    </row>
    <row r="659" spans="1:56" ht="45.75" customHeight="1" x14ac:dyDescent="0.25">
      <c r="A659" s="7" t="s">
        <v>58</v>
      </c>
      <c r="B659" s="2" t="s">
        <v>8707</v>
      </c>
      <c r="C659" s="2" t="s">
        <v>8708</v>
      </c>
      <c r="D659" s="2" t="s">
        <v>8709</v>
      </c>
      <c r="F659" s="3" t="s">
        <v>58</v>
      </c>
      <c r="G659" s="3" t="s">
        <v>59</v>
      </c>
      <c r="H659" s="3" t="s">
        <v>58</v>
      </c>
      <c r="I659" s="3" t="s">
        <v>58</v>
      </c>
      <c r="J659" s="3" t="s">
        <v>60</v>
      </c>
      <c r="K659" s="2" t="s">
        <v>8710</v>
      </c>
      <c r="L659" s="2" t="s">
        <v>8711</v>
      </c>
      <c r="M659" s="3" t="s">
        <v>116</v>
      </c>
      <c r="O659" s="3" t="s">
        <v>65</v>
      </c>
      <c r="P659" s="3" t="s">
        <v>66</v>
      </c>
      <c r="R659" s="3" t="s">
        <v>67</v>
      </c>
      <c r="S659" s="4">
        <v>13</v>
      </c>
      <c r="T659" s="4">
        <v>13</v>
      </c>
      <c r="U659" s="5" t="s">
        <v>8712</v>
      </c>
      <c r="V659" s="5" t="s">
        <v>8712</v>
      </c>
      <c r="W659" s="5" t="s">
        <v>8713</v>
      </c>
      <c r="X659" s="5" t="s">
        <v>8713</v>
      </c>
      <c r="Y659" s="4">
        <v>628</v>
      </c>
      <c r="Z659" s="4">
        <v>603</v>
      </c>
      <c r="AA659" s="4">
        <v>613</v>
      </c>
      <c r="AB659" s="4">
        <v>4</v>
      </c>
      <c r="AC659" s="4">
        <v>4</v>
      </c>
      <c r="AD659" s="4">
        <v>15</v>
      </c>
      <c r="AE659" s="4">
        <v>15</v>
      </c>
      <c r="AF659" s="4">
        <v>3</v>
      </c>
      <c r="AG659" s="4">
        <v>3</v>
      </c>
      <c r="AH659" s="4">
        <v>4</v>
      </c>
      <c r="AI659" s="4">
        <v>4</v>
      </c>
      <c r="AJ659" s="4">
        <v>9</v>
      </c>
      <c r="AK659" s="4">
        <v>9</v>
      </c>
      <c r="AL659" s="4">
        <v>2</v>
      </c>
      <c r="AM659" s="4">
        <v>2</v>
      </c>
      <c r="AN659" s="4">
        <v>0</v>
      </c>
      <c r="AO659" s="4">
        <v>0</v>
      </c>
      <c r="AP659" s="3" t="s">
        <v>58</v>
      </c>
      <c r="AQ659" s="3" t="s">
        <v>87</v>
      </c>
      <c r="AR659" s="6" t="str">
        <f>HYPERLINK("http://catalog.hathitrust.org/Record/003952367","HathiTrust Record")</f>
        <v>HathiTrust Record</v>
      </c>
      <c r="AS659" s="6" t="str">
        <f>HYPERLINK("https://creighton-primo.hosted.exlibrisgroup.com/primo-explore/search?tab=default_tab&amp;search_scope=EVERYTHING&amp;vid=01CRU&amp;lang=en_US&amp;offset=0&amp;query=any,contains,991002881649702656","Catalog Record")</f>
        <v>Catalog Record</v>
      </c>
      <c r="AT659" s="6" t="str">
        <f>HYPERLINK("http://www.worldcat.org/oclc/37976378","WorldCat Record")</f>
        <v>WorldCat Record</v>
      </c>
      <c r="AU659" s="3" t="s">
        <v>8714</v>
      </c>
      <c r="AV659" s="3" t="s">
        <v>8715</v>
      </c>
      <c r="AW659" s="3" t="s">
        <v>8716</v>
      </c>
      <c r="AX659" s="3" t="s">
        <v>8716</v>
      </c>
      <c r="AY659" s="3" t="s">
        <v>8717</v>
      </c>
      <c r="AZ659" s="3" t="s">
        <v>74</v>
      </c>
      <c r="BB659" s="3" t="s">
        <v>8718</v>
      </c>
      <c r="BC659" s="3" t="s">
        <v>8719</v>
      </c>
      <c r="BD659" s="3" t="s">
        <v>8720</v>
      </c>
    </row>
    <row r="660" spans="1:56" ht="45.75" customHeight="1" x14ac:dyDescent="0.25">
      <c r="A660" s="7" t="s">
        <v>58</v>
      </c>
      <c r="B660" s="2" t="s">
        <v>8721</v>
      </c>
      <c r="C660" s="2" t="s">
        <v>8722</v>
      </c>
      <c r="D660" s="2" t="s">
        <v>8723</v>
      </c>
      <c r="F660" s="3" t="s">
        <v>58</v>
      </c>
      <c r="G660" s="3" t="s">
        <v>59</v>
      </c>
      <c r="H660" s="3" t="s">
        <v>87</v>
      </c>
      <c r="I660" s="3" t="s">
        <v>58</v>
      </c>
      <c r="J660" s="3" t="s">
        <v>60</v>
      </c>
      <c r="K660" s="2" t="s">
        <v>8724</v>
      </c>
      <c r="L660" s="2" t="s">
        <v>8725</v>
      </c>
      <c r="M660" s="3" t="s">
        <v>307</v>
      </c>
      <c r="O660" s="3" t="s">
        <v>65</v>
      </c>
      <c r="P660" s="3" t="s">
        <v>84</v>
      </c>
      <c r="Q660" s="2" t="s">
        <v>8726</v>
      </c>
      <c r="R660" s="3" t="s">
        <v>67</v>
      </c>
      <c r="S660" s="4">
        <v>24</v>
      </c>
      <c r="T660" s="4">
        <v>26</v>
      </c>
      <c r="U660" s="5" t="s">
        <v>8727</v>
      </c>
      <c r="V660" s="5" t="s">
        <v>8727</v>
      </c>
      <c r="W660" s="5" t="s">
        <v>8728</v>
      </c>
      <c r="X660" s="5" t="s">
        <v>8729</v>
      </c>
      <c r="Y660" s="4">
        <v>1068</v>
      </c>
      <c r="Z660" s="4">
        <v>963</v>
      </c>
      <c r="AA660" s="4">
        <v>1054</v>
      </c>
      <c r="AB660" s="4">
        <v>8</v>
      </c>
      <c r="AC660" s="4">
        <v>9</v>
      </c>
      <c r="AD660" s="4">
        <v>46</v>
      </c>
      <c r="AE660" s="4">
        <v>49</v>
      </c>
      <c r="AF660" s="4">
        <v>15</v>
      </c>
      <c r="AG660" s="4">
        <v>17</v>
      </c>
      <c r="AH660" s="4">
        <v>9</v>
      </c>
      <c r="AI660" s="4">
        <v>10</v>
      </c>
      <c r="AJ660" s="4">
        <v>19</v>
      </c>
      <c r="AK660" s="4">
        <v>19</v>
      </c>
      <c r="AL660" s="4">
        <v>6</v>
      </c>
      <c r="AM660" s="4">
        <v>7</v>
      </c>
      <c r="AN660" s="4">
        <v>7</v>
      </c>
      <c r="AO660" s="4">
        <v>7</v>
      </c>
      <c r="AP660" s="3" t="s">
        <v>58</v>
      </c>
      <c r="AQ660" s="3" t="s">
        <v>87</v>
      </c>
      <c r="AR660" s="6" t="str">
        <f>HYPERLINK("http://catalog.hathitrust.org/Record/003003787","HathiTrust Record")</f>
        <v>HathiTrust Record</v>
      </c>
      <c r="AS660" s="6" t="str">
        <f>HYPERLINK("https://creighton-primo.hosted.exlibrisgroup.com/primo-explore/search?tab=default_tab&amp;search_scope=EVERYTHING&amp;vid=01CRU&amp;lang=en_US&amp;offset=0&amp;query=any,contains,991001663699702656","Catalog Record")</f>
        <v>Catalog Record</v>
      </c>
      <c r="AT660" s="6" t="str">
        <f>HYPERLINK("http://www.worldcat.org/oclc/30972498","WorldCat Record")</f>
        <v>WorldCat Record</v>
      </c>
      <c r="AU660" s="3" t="s">
        <v>8730</v>
      </c>
      <c r="AV660" s="3" t="s">
        <v>8731</v>
      </c>
      <c r="AW660" s="3" t="s">
        <v>8732</v>
      </c>
      <c r="AX660" s="3" t="s">
        <v>8732</v>
      </c>
      <c r="AY660" s="3" t="s">
        <v>8733</v>
      </c>
      <c r="AZ660" s="3" t="s">
        <v>74</v>
      </c>
      <c r="BB660" s="3" t="s">
        <v>8734</v>
      </c>
      <c r="BC660" s="3" t="s">
        <v>8735</v>
      </c>
      <c r="BD660" s="3" t="s">
        <v>8736</v>
      </c>
    </row>
    <row r="661" spans="1:56" ht="45.75" customHeight="1" x14ac:dyDescent="0.25">
      <c r="A661" s="7" t="s">
        <v>58</v>
      </c>
      <c r="B661" s="2" t="s">
        <v>8737</v>
      </c>
      <c r="C661" s="2" t="s">
        <v>8738</v>
      </c>
      <c r="D661" s="2" t="s">
        <v>8739</v>
      </c>
      <c r="F661" s="3" t="s">
        <v>58</v>
      </c>
      <c r="G661" s="3" t="s">
        <v>59</v>
      </c>
      <c r="H661" s="3" t="s">
        <v>58</v>
      </c>
      <c r="I661" s="3" t="s">
        <v>58</v>
      </c>
      <c r="J661" s="3" t="s">
        <v>60</v>
      </c>
      <c r="K661" s="2" t="s">
        <v>8740</v>
      </c>
      <c r="L661" s="2" t="s">
        <v>8741</v>
      </c>
      <c r="M661" s="3" t="s">
        <v>629</v>
      </c>
      <c r="N661" s="2" t="s">
        <v>8742</v>
      </c>
      <c r="O661" s="3" t="s">
        <v>65</v>
      </c>
      <c r="P661" s="3" t="s">
        <v>529</v>
      </c>
      <c r="R661" s="3" t="s">
        <v>67</v>
      </c>
      <c r="S661" s="4">
        <v>32</v>
      </c>
      <c r="T661" s="4">
        <v>32</v>
      </c>
      <c r="U661" s="5" t="s">
        <v>8743</v>
      </c>
      <c r="V661" s="5" t="s">
        <v>8743</v>
      </c>
      <c r="W661" s="5" t="s">
        <v>8744</v>
      </c>
      <c r="X661" s="5" t="s">
        <v>8744</v>
      </c>
      <c r="Y661" s="4">
        <v>382</v>
      </c>
      <c r="Z661" s="4">
        <v>358</v>
      </c>
      <c r="AA661" s="4">
        <v>627</v>
      </c>
      <c r="AB661" s="4">
        <v>3</v>
      </c>
      <c r="AC661" s="4">
        <v>6</v>
      </c>
      <c r="AD661" s="4">
        <v>10</v>
      </c>
      <c r="AE661" s="4">
        <v>24</v>
      </c>
      <c r="AF661" s="4">
        <v>3</v>
      </c>
      <c r="AG661" s="4">
        <v>9</v>
      </c>
      <c r="AH661" s="4">
        <v>0</v>
      </c>
      <c r="AI661" s="4">
        <v>4</v>
      </c>
      <c r="AJ661" s="4">
        <v>4</v>
      </c>
      <c r="AK661" s="4">
        <v>8</v>
      </c>
      <c r="AL661" s="4">
        <v>2</v>
      </c>
      <c r="AM661" s="4">
        <v>5</v>
      </c>
      <c r="AN661" s="4">
        <v>2</v>
      </c>
      <c r="AO661" s="4">
        <v>2</v>
      </c>
      <c r="AP661" s="3" t="s">
        <v>58</v>
      </c>
      <c r="AQ661" s="3" t="s">
        <v>58</v>
      </c>
      <c r="AS661" s="6" t="str">
        <f>HYPERLINK("https://creighton-primo.hosted.exlibrisgroup.com/primo-explore/search?tab=default_tab&amp;search_scope=EVERYTHING&amp;vid=01CRU&amp;lang=en_US&amp;offset=0&amp;query=any,contains,991002461549702656","Catalog Record")</f>
        <v>Catalog Record</v>
      </c>
      <c r="AT661" s="6" t="str">
        <f>HYPERLINK("http://www.worldcat.org/oclc/32083445","WorldCat Record")</f>
        <v>WorldCat Record</v>
      </c>
      <c r="AU661" s="3" t="s">
        <v>8745</v>
      </c>
      <c r="AV661" s="3" t="s">
        <v>8746</v>
      </c>
      <c r="AW661" s="3" t="s">
        <v>8747</v>
      </c>
      <c r="AX661" s="3" t="s">
        <v>8747</v>
      </c>
      <c r="AY661" s="3" t="s">
        <v>8748</v>
      </c>
      <c r="AZ661" s="3" t="s">
        <v>74</v>
      </c>
      <c r="BB661" s="3" t="s">
        <v>8749</v>
      </c>
      <c r="BC661" s="3" t="s">
        <v>8750</v>
      </c>
      <c r="BD661" s="3" t="s">
        <v>8751</v>
      </c>
    </row>
    <row r="662" spans="1:56" ht="45.75" customHeight="1" x14ac:dyDescent="0.25">
      <c r="A662" s="7" t="s">
        <v>58</v>
      </c>
      <c r="B662" s="2" t="s">
        <v>8752</v>
      </c>
      <c r="C662" s="2" t="s">
        <v>8753</v>
      </c>
      <c r="D662" s="2" t="s">
        <v>8754</v>
      </c>
      <c r="F662" s="3" t="s">
        <v>58</v>
      </c>
      <c r="G662" s="3" t="s">
        <v>59</v>
      </c>
      <c r="H662" s="3" t="s">
        <v>58</v>
      </c>
      <c r="I662" s="3" t="s">
        <v>58</v>
      </c>
      <c r="J662" s="3" t="s">
        <v>60</v>
      </c>
      <c r="K662" s="2" t="s">
        <v>8755</v>
      </c>
      <c r="L662" s="2" t="s">
        <v>5328</v>
      </c>
      <c r="M662" s="3" t="s">
        <v>800</v>
      </c>
      <c r="O662" s="3" t="s">
        <v>65</v>
      </c>
      <c r="P662" s="3" t="s">
        <v>204</v>
      </c>
      <c r="R662" s="3" t="s">
        <v>67</v>
      </c>
      <c r="S662" s="4">
        <v>30</v>
      </c>
      <c r="T662" s="4">
        <v>30</v>
      </c>
      <c r="U662" s="5" t="s">
        <v>392</v>
      </c>
      <c r="V662" s="5" t="s">
        <v>392</v>
      </c>
      <c r="W662" s="5" t="s">
        <v>8756</v>
      </c>
      <c r="X662" s="5" t="s">
        <v>8756</v>
      </c>
      <c r="Y662" s="4">
        <v>626</v>
      </c>
      <c r="Z662" s="4">
        <v>582</v>
      </c>
      <c r="AA662" s="4">
        <v>776</v>
      </c>
      <c r="AB662" s="4">
        <v>3</v>
      </c>
      <c r="AC662" s="4">
        <v>4</v>
      </c>
      <c r="AD662" s="4">
        <v>26</v>
      </c>
      <c r="AE662" s="4">
        <v>34</v>
      </c>
      <c r="AF662" s="4">
        <v>13</v>
      </c>
      <c r="AG662" s="4">
        <v>18</v>
      </c>
      <c r="AH662" s="4">
        <v>6</v>
      </c>
      <c r="AI662" s="4">
        <v>8</v>
      </c>
      <c r="AJ662" s="4">
        <v>14</v>
      </c>
      <c r="AK662" s="4">
        <v>15</v>
      </c>
      <c r="AL662" s="4">
        <v>2</v>
      </c>
      <c r="AM662" s="4">
        <v>3</v>
      </c>
      <c r="AN662" s="4">
        <v>0</v>
      </c>
      <c r="AO662" s="4">
        <v>0</v>
      </c>
      <c r="AP662" s="3" t="s">
        <v>58</v>
      </c>
      <c r="AQ662" s="3" t="s">
        <v>58</v>
      </c>
      <c r="AS662" s="6" t="str">
        <f>HYPERLINK("https://creighton-primo.hosted.exlibrisgroup.com/primo-explore/search?tab=default_tab&amp;search_scope=EVERYTHING&amp;vid=01CRU&amp;lang=en_US&amp;offset=0&amp;query=any,contains,991001847229702656","Catalog Record")</f>
        <v>Catalog Record</v>
      </c>
      <c r="AT662" s="6" t="str">
        <f>HYPERLINK("http://www.worldcat.org/oclc/23180002","WorldCat Record")</f>
        <v>WorldCat Record</v>
      </c>
      <c r="AU662" s="3" t="s">
        <v>8757</v>
      </c>
      <c r="AV662" s="3" t="s">
        <v>8758</v>
      </c>
      <c r="AW662" s="3" t="s">
        <v>8759</v>
      </c>
      <c r="AX662" s="3" t="s">
        <v>8759</v>
      </c>
      <c r="AY662" s="3" t="s">
        <v>8760</v>
      </c>
      <c r="AZ662" s="3" t="s">
        <v>74</v>
      </c>
      <c r="BB662" s="3" t="s">
        <v>8761</v>
      </c>
      <c r="BC662" s="3" t="s">
        <v>8762</v>
      </c>
      <c r="BD662" s="3" t="s">
        <v>8763</v>
      </c>
    </row>
    <row r="663" spans="1:56" ht="45.75" customHeight="1" x14ac:dyDescent="0.25">
      <c r="A663" s="7" t="s">
        <v>58</v>
      </c>
      <c r="B663" s="2" t="s">
        <v>8764</v>
      </c>
      <c r="C663" s="2" t="s">
        <v>8765</v>
      </c>
      <c r="D663" s="2" t="s">
        <v>8766</v>
      </c>
      <c r="F663" s="3" t="s">
        <v>58</v>
      </c>
      <c r="G663" s="3" t="s">
        <v>59</v>
      </c>
      <c r="H663" s="3" t="s">
        <v>58</v>
      </c>
      <c r="I663" s="3" t="s">
        <v>58</v>
      </c>
      <c r="J663" s="3" t="s">
        <v>60</v>
      </c>
      <c r="K663" s="2" t="s">
        <v>8767</v>
      </c>
      <c r="L663" s="2" t="s">
        <v>8768</v>
      </c>
      <c r="M663" s="3" t="s">
        <v>3601</v>
      </c>
      <c r="O663" s="3" t="s">
        <v>65</v>
      </c>
      <c r="P663" s="3" t="s">
        <v>190</v>
      </c>
      <c r="R663" s="3" t="s">
        <v>67</v>
      </c>
      <c r="S663" s="4">
        <v>2</v>
      </c>
      <c r="T663" s="4">
        <v>2</v>
      </c>
      <c r="U663" s="5" t="s">
        <v>8769</v>
      </c>
      <c r="V663" s="5" t="s">
        <v>8769</v>
      </c>
      <c r="W663" s="5" t="s">
        <v>5953</v>
      </c>
      <c r="X663" s="5" t="s">
        <v>5953</v>
      </c>
      <c r="Y663" s="4">
        <v>40</v>
      </c>
      <c r="Z663" s="4">
        <v>31</v>
      </c>
      <c r="AA663" s="4">
        <v>1587</v>
      </c>
      <c r="AB663" s="4">
        <v>1</v>
      </c>
      <c r="AC663" s="4">
        <v>12</v>
      </c>
      <c r="AD663" s="4">
        <v>1</v>
      </c>
      <c r="AE663" s="4">
        <v>65</v>
      </c>
      <c r="AF663" s="4">
        <v>0</v>
      </c>
      <c r="AG663" s="4">
        <v>28</v>
      </c>
      <c r="AH663" s="4">
        <v>0</v>
      </c>
      <c r="AI663" s="4">
        <v>10</v>
      </c>
      <c r="AJ663" s="4">
        <v>0</v>
      </c>
      <c r="AK663" s="4">
        <v>24</v>
      </c>
      <c r="AL663" s="4">
        <v>0</v>
      </c>
      <c r="AM663" s="4">
        <v>11</v>
      </c>
      <c r="AN663" s="4">
        <v>1</v>
      </c>
      <c r="AO663" s="4">
        <v>5</v>
      </c>
      <c r="AP663" s="3" t="s">
        <v>58</v>
      </c>
      <c r="AQ663" s="3" t="s">
        <v>58</v>
      </c>
      <c r="AS663" s="6" t="str">
        <f>HYPERLINK("https://creighton-primo.hosted.exlibrisgroup.com/primo-explore/search?tab=default_tab&amp;search_scope=EVERYTHING&amp;vid=01CRU&amp;lang=en_US&amp;offset=0&amp;query=any,contains,991003272869702656","Catalog Record")</f>
        <v>Catalog Record</v>
      </c>
      <c r="AT663" s="6" t="str">
        <f>HYPERLINK("http://www.worldcat.org/oclc/2778850","WorldCat Record")</f>
        <v>WorldCat Record</v>
      </c>
      <c r="AU663" s="3" t="s">
        <v>8770</v>
      </c>
      <c r="AV663" s="3" t="s">
        <v>8771</v>
      </c>
      <c r="AW663" s="3" t="s">
        <v>8772</v>
      </c>
      <c r="AX663" s="3" t="s">
        <v>8772</v>
      </c>
      <c r="AY663" s="3" t="s">
        <v>8773</v>
      </c>
      <c r="AZ663" s="3" t="s">
        <v>74</v>
      </c>
      <c r="BC663" s="3" t="s">
        <v>8774</v>
      </c>
      <c r="BD663" s="3" t="s">
        <v>8775</v>
      </c>
    </row>
    <row r="664" spans="1:56" ht="45.75" customHeight="1" x14ac:dyDescent="0.25">
      <c r="A664" s="7" t="s">
        <v>58</v>
      </c>
      <c r="B664" s="2" t="s">
        <v>8776</v>
      </c>
      <c r="C664" s="2" t="s">
        <v>8777</v>
      </c>
      <c r="D664" s="2" t="s">
        <v>8778</v>
      </c>
      <c r="F664" s="3" t="s">
        <v>58</v>
      </c>
      <c r="G664" s="3" t="s">
        <v>59</v>
      </c>
      <c r="H664" s="3" t="s">
        <v>58</v>
      </c>
      <c r="I664" s="3" t="s">
        <v>58</v>
      </c>
      <c r="J664" s="3" t="s">
        <v>60</v>
      </c>
      <c r="K664" s="2" t="s">
        <v>8779</v>
      </c>
      <c r="L664" s="2" t="s">
        <v>8780</v>
      </c>
      <c r="M664" s="3" t="s">
        <v>629</v>
      </c>
      <c r="O664" s="3" t="s">
        <v>65</v>
      </c>
      <c r="P664" s="3" t="s">
        <v>84</v>
      </c>
      <c r="Q664" s="2" t="s">
        <v>6505</v>
      </c>
      <c r="R664" s="3" t="s">
        <v>67</v>
      </c>
      <c r="S664" s="4">
        <v>27</v>
      </c>
      <c r="T664" s="4">
        <v>27</v>
      </c>
      <c r="U664" s="5" t="s">
        <v>337</v>
      </c>
      <c r="V664" s="5" t="s">
        <v>337</v>
      </c>
      <c r="W664" s="5" t="s">
        <v>8781</v>
      </c>
      <c r="X664" s="5" t="s">
        <v>8781</v>
      </c>
      <c r="Y664" s="4">
        <v>891</v>
      </c>
      <c r="Z664" s="4">
        <v>798</v>
      </c>
      <c r="AA664" s="4">
        <v>816</v>
      </c>
      <c r="AB664" s="4">
        <v>7</v>
      </c>
      <c r="AC664" s="4">
        <v>7</v>
      </c>
      <c r="AD664" s="4">
        <v>39</v>
      </c>
      <c r="AE664" s="4">
        <v>39</v>
      </c>
      <c r="AF664" s="4">
        <v>17</v>
      </c>
      <c r="AG664" s="4">
        <v>17</v>
      </c>
      <c r="AH664" s="4">
        <v>8</v>
      </c>
      <c r="AI664" s="4">
        <v>8</v>
      </c>
      <c r="AJ664" s="4">
        <v>18</v>
      </c>
      <c r="AK664" s="4">
        <v>18</v>
      </c>
      <c r="AL664" s="4">
        <v>5</v>
      </c>
      <c r="AM664" s="4">
        <v>5</v>
      </c>
      <c r="AN664" s="4">
        <v>0</v>
      </c>
      <c r="AO664" s="4">
        <v>0</v>
      </c>
      <c r="AP664" s="3" t="s">
        <v>58</v>
      </c>
      <c r="AQ664" s="3" t="s">
        <v>58</v>
      </c>
      <c r="AS664" s="6" t="str">
        <f>HYPERLINK("https://creighton-primo.hosted.exlibrisgroup.com/primo-explore/search?tab=default_tab&amp;search_scope=EVERYTHING&amp;vid=01CRU&amp;lang=en_US&amp;offset=0&amp;query=any,contains,991002285939702656","Catalog Record")</f>
        <v>Catalog Record</v>
      </c>
      <c r="AT664" s="6" t="str">
        <f>HYPERLINK("http://www.worldcat.org/oclc/29636589","WorldCat Record")</f>
        <v>WorldCat Record</v>
      </c>
      <c r="AU664" s="3" t="s">
        <v>8782</v>
      </c>
      <c r="AV664" s="3" t="s">
        <v>8783</v>
      </c>
      <c r="AW664" s="3" t="s">
        <v>8784</v>
      </c>
      <c r="AX664" s="3" t="s">
        <v>8784</v>
      </c>
      <c r="AY664" s="3" t="s">
        <v>8785</v>
      </c>
      <c r="AZ664" s="3" t="s">
        <v>74</v>
      </c>
      <c r="BB664" s="3" t="s">
        <v>8786</v>
      </c>
      <c r="BC664" s="3" t="s">
        <v>8787</v>
      </c>
      <c r="BD664" s="3" t="s">
        <v>8788</v>
      </c>
    </row>
    <row r="665" spans="1:56" ht="45.75" customHeight="1" x14ac:dyDescent="0.25">
      <c r="A665" s="7" t="s">
        <v>58</v>
      </c>
      <c r="B665" s="2" t="s">
        <v>8789</v>
      </c>
      <c r="C665" s="2" t="s">
        <v>8790</v>
      </c>
      <c r="D665" s="2" t="s">
        <v>8791</v>
      </c>
      <c r="F665" s="3" t="s">
        <v>58</v>
      </c>
      <c r="G665" s="3" t="s">
        <v>59</v>
      </c>
      <c r="H665" s="3" t="s">
        <v>58</v>
      </c>
      <c r="I665" s="3" t="s">
        <v>58</v>
      </c>
      <c r="J665" s="3" t="s">
        <v>60</v>
      </c>
      <c r="K665" s="2" t="s">
        <v>8792</v>
      </c>
      <c r="L665" s="2" t="s">
        <v>8793</v>
      </c>
      <c r="M665" s="3" t="s">
        <v>557</v>
      </c>
      <c r="O665" s="3" t="s">
        <v>65</v>
      </c>
      <c r="P665" s="3" t="s">
        <v>8794</v>
      </c>
      <c r="R665" s="3" t="s">
        <v>67</v>
      </c>
      <c r="S665" s="4">
        <v>28</v>
      </c>
      <c r="T665" s="4">
        <v>28</v>
      </c>
      <c r="U665" s="5" t="s">
        <v>8795</v>
      </c>
      <c r="V665" s="5" t="s">
        <v>8795</v>
      </c>
      <c r="W665" s="5" t="s">
        <v>8796</v>
      </c>
      <c r="X665" s="5" t="s">
        <v>8796</v>
      </c>
      <c r="Y665" s="4">
        <v>477</v>
      </c>
      <c r="Z665" s="4">
        <v>429</v>
      </c>
      <c r="AA665" s="4">
        <v>785</v>
      </c>
      <c r="AB665" s="4">
        <v>3</v>
      </c>
      <c r="AC665" s="4">
        <v>4</v>
      </c>
      <c r="AD665" s="4">
        <v>22</v>
      </c>
      <c r="AE665" s="4">
        <v>29</v>
      </c>
      <c r="AF665" s="4">
        <v>6</v>
      </c>
      <c r="AG665" s="4">
        <v>10</v>
      </c>
      <c r="AH665" s="4">
        <v>6</v>
      </c>
      <c r="AI665" s="4">
        <v>6</v>
      </c>
      <c r="AJ665" s="4">
        <v>14</v>
      </c>
      <c r="AK665" s="4">
        <v>17</v>
      </c>
      <c r="AL665" s="4">
        <v>2</v>
      </c>
      <c r="AM665" s="4">
        <v>3</v>
      </c>
      <c r="AN665" s="4">
        <v>0</v>
      </c>
      <c r="AO665" s="4">
        <v>0</v>
      </c>
      <c r="AP665" s="3" t="s">
        <v>58</v>
      </c>
      <c r="AQ665" s="3" t="s">
        <v>87</v>
      </c>
      <c r="AR665" s="6" t="str">
        <f>HYPERLINK("http://catalog.hathitrust.org/Record/002734529","HathiTrust Record")</f>
        <v>HathiTrust Record</v>
      </c>
      <c r="AS665" s="6" t="str">
        <f>HYPERLINK("https://creighton-primo.hosted.exlibrisgroup.com/primo-explore/search?tab=default_tab&amp;search_scope=EVERYTHING&amp;vid=01CRU&amp;lang=en_US&amp;offset=0&amp;query=any,contains,991002199619702656","Catalog Record")</f>
        <v>Catalog Record</v>
      </c>
      <c r="AT665" s="6" t="str">
        <f>HYPERLINK("http://www.worldcat.org/oclc/28292691","WorldCat Record")</f>
        <v>WorldCat Record</v>
      </c>
      <c r="AU665" s="3" t="s">
        <v>8797</v>
      </c>
      <c r="AV665" s="3" t="s">
        <v>8798</v>
      </c>
      <c r="AW665" s="3" t="s">
        <v>8799</v>
      </c>
      <c r="AX665" s="3" t="s">
        <v>8799</v>
      </c>
      <c r="AY665" s="3" t="s">
        <v>8800</v>
      </c>
      <c r="AZ665" s="3" t="s">
        <v>74</v>
      </c>
      <c r="BB665" s="3" t="s">
        <v>8801</v>
      </c>
      <c r="BC665" s="3" t="s">
        <v>8802</v>
      </c>
      <c r="BD665" s="3" t="s">
        <v>8803</v>
      </c>
    </row>
    <row r="666" spans="1:56" ht="45.75" customHeight="1" x14ac:dyDescent="0.25">
      <c r="A666" s="7" t="s">
        <v>58</v>
      </c>
      <c r="B666" s="2" t="s">
        <v>8804</v>
      </c>
      <c r="C666" s="2" t="s">
        <v>8805</v>
      </c>
      <c r="D666" s="2" t="s">
        <v>8806</v>
      </c>
      <c r="F666" s="3" t="s">
        <v>58</v>
      </c>
      <c r="G666" s="3" t="s">
        <v>59</v>
      </c>
      <c r="H666" s="3" t="s">
        <v>58</v>
      </c>
      <c r="I666" s="3" t="s">
        <v>58</v>
      </c>
      <c r="J666" s="3" t="s">
        <v>60</v>
      </c>
      <c r="K666" s="2" t="s">
        <v>8807</v>
      </c>
      <c r="L666" s="2" t="s">
        <v>8808</v>
      </c>
      <c r="M666" s="3" t="s">
        <v>1032</v>
      </c>
      <c r="O666" s="3" t="s">
        <v>65</v>
      </c>
      <c r="P666" s="3" t="s">
        <v>84</v>
      </c>
      <c r="Q666" s="2" t="s">
        <v>8809</v>
      </c>
      <c r="R666" s="3" t="s">
        <v>67</v>
      </c>
      <c r="S666" s="4">
        <v>9</v>
      </c>
      <c r="T666" s="4">
        <v>9</v>
      </c>
      <c r="U666" s="5" t="s">
        <v>8795</v>
      </c>
      <c r="V666" s="5" t="s">
        <v>8795</v>
      </c>
      <c r="W666" s="5" t="s">
        <v>8810</v>
      </c>
      <c r="X666" s="5" t="s">
        <v>8810</v>
      </c>
      <c r="Y666" s="4">
        <v>261</v>
      </c>
      <c r="Z666" s="4">
        <v>232</v>
      </c>
      <c r="AA666" s="4">
        <v>239</v>
      </c>
      <c r="AB666" s="4">
        <v>4</v>
      </c>
      <c r="AC666" s="4">
        <v>4</v>
      </c>
      <c r="AD666" s="4">
        <v>11</v>
      </c>
      <c r="AE666" s="4">
        <v>11</v>
      </c>
      <c r="AF666" s="4">
        <v>2</v>
      </c>
      <c r="AG666" s="4">
        <v>2</v>
      </c>
      <c r="AH666" s="4">
        <v>3</v>
      </c>
      <c r="AI666" s="4">
        <v>3</v>
      </c>
      <c r="AJ666" s="4">
        <v>5</v>
      </c>
      <c r="AK666" s="4">
        <v>5</v>
      </c>
      <c r="AL666" s="4">
        <v>3</v>
      </c>
      <c r="AM666" s="4">
        <v>3</v>
      </c>
      <c r="AN666" s="4">
        <v>0</v>
      </c>
      <c r="AO666" s="4">
        <v>0</v>
      </c>
      <c r="AP666" s="3" t="s">
        <v>58</v>
      </c>
      <c r="AQ666" s="3" t="s">
        <v>87</v>
      </c>
      <c r="AR666" s="6" t="str">
        <f>HYPERLINK("http://catalog.hathitrust.org/Record/008316431","HathiTrust Record")</f>
        <v>HathiTrust Record</v>
      </c>
      <c r="AS666" s="6" t="str">
        <f>HYPERLINK("https://creighton-primo.hosted.exlibrisgroup.com/primo-explore/search?tab=default_tab&amp;search_scope=EVERYTHING&amp;vid=01CRU&amp;lang=en_US&amp;offset=0&amp;query=any,contains,991002811649702656","Catalog Record")</f>
        <v>Catalog Record</v>
      </c>
      <c r="AT666" s="6" t="str">
        <f>HYPERLINK("http://www.worldcat.org/oclc/36930779","WorldCat Record")</f>
        <v>WorldCat Record</v>
      </c>
      <c r="AU666" s="3" t="s">
        <v>8811</v>
      </c>
      <c r="AV666" s="3" t="s">
        <v>8812</v>
      </c>
      <c r="AW666" s="3" t="s">
        <v>8813</v>
      </c>
      <c r="AX666" s="3" t="s">
        <v>8813</v>
      </c>
      <c r="AY666" s="3" t="s">
        <v>8814</v>
      </c>
      <c r="AZ666" s="3" t="s">
        <v>74</v>
      </c>
      <c r="BB666" s="3" t="s">
        <v>8815</v>
      </c>
      <c r="BC666" s="3" t="s">
        <v>8816</v>
      </c>
      <c r="BD666" s="3" t="s">
        <v>8817</v>
      </c>
    </row>
    <row r="667" spans="1:56" ht="45.75" customHeight="1" x14ac:dyDescent="0.25">
      <c r="A667" s="7" t="s">
        <v>58</v>
      </c>
      <c r="B667" s="2" t="s">
        <v>8818</v>
      </c>
      <c r="C667" s="2" t="s">
        <v>8819</v>
      </c>
      <c r="D667" s="2" t="s">
        <v>8820</v>
      </c>
      <c r="F667" s="3" t="s">
        <v>58</v>
      </c>
      <c r="G667" s="3" t="s">
        <v>59</v>
      </c>
      <c r="H667" s="3" t="s">
        <v>58</v>
      </c>
      <c r="I667" s="3" t="s">
        <v>58</v>
      </c>
      <c r="J667" s="3" t="s">
        <v>60</v>
      </c>
      <c r="K667" s="2" t="s">
        <v>8821</v>
      </c>
      <c r="L667" s="2" t="s">
        <v>8822</v>
      </c>
      <c r="M667" s="3" t="s">
        <v>1254</v>
      </c>
      <c r="O667" s="3" t="s">
        <v>65</v>
      </c>
      <c r="P667" s="3" t="s">
        <v>175</v>
      </c>
      <c r="R667" s="3" t="s">
        <v>67</v>
      </c>
      <c r="S667" s="4">
        <v>24</v>
      </c>
      <c r="T667" s="4">
        <v>24</v>
      </c>
      <c r="U667" s="5" t="s">
        <v>8823</v>
      </c>
      <c r="V667" s="5" t="s">
        <v>8823</v>
      </c>
      <c r="W667" s="5" t="s">
        <v>8824</v>
      </c>
      <c r="X667" s="5" t="s">
        <v>8824</v>
      </c>
      <c r="Y667" s="4">
        <v>792</v>
      </c>
      <c r="Z667" s="4">
        <v>620</v>
      </c>
      <c r="AA667" s="4">
        <v>817</v>
      </c>
      <c r="AB667" s="4">
        <v>6</v>
      </c>
      <c r="AC667" s="4">
        <v>8</v>
      </c>
      <c r="AD667" s="4">
        <v>24</v>
      </c>
      <c r="AE667" s="4">
        <v>34</v>
      </c>
      <c r="AF667" s="4">
        <v>8</v>
      </c>
      <c r="AG667" s="4">
        <v>14</v>
      </c>
      <c r="AH667" s="4">
        <v>7</v>
      </c>
      <c r="AI667" s="4">
        <v>9</v>
      </c>
      <c r="AJ667" s="4">
        <v>14</v>
      </c>
      <c r="AK667" s="4">
        <v>16</v>
      </c>
      <c r="AL667" s="4">
        <v>3</v>
      </c>
      <c r="AM667" s="4">
        <v>5</v>
      </c>
      <c r="AN667" s="4">
        <v>0</v>
      </c>
      <c r="AO667" s="4">
        <v>0</v>
      </c>
      <c r="AP667" s="3" t="s">
        <v>58</v>
      </c>
      <c r="AQ667" s="3" t="s">
        <v>58</v>
      </c>
      <c r="AS667" s="6" t="str">
        <f>HYPERLINK("https://creighton-primo.hosted.exlibrisgroup.com/primo-explore/search?tab=default_tab&amp;search_scope=EVERYTHING&amp;vid=01CRU&amp;lang=en_US&amp;offset=0&amp;query=any,contains,991000473029702656","Catalog Record")</f>
        <v>Catalog Record</v>
      </c>
      <c r="AT667" s="6" t="str">
        <f>HYPERLINK("http://www.worldcat.org/oclc/10998754","WorldCat Record")</f>
        <v>WorldCat Record</v>
      </c>
      <c r="AU667" s="3" t="s">
        <v>8825</v>
      </c>
      <c r="AV667" s="3" t="s">
        <v>8826</v>
      </c>
      <c r="AW667" s="3" t="s">
        <v>8827</v>
      </c>
      <c r="AX667" s="3" t="s">
        <v>8827</v>
      </c>
      <c r="AY667" s="3" t="s">
        <v>8828</v>
      </c>
      <c r="AZ667" s="3" t="s">
        <v>74</v>
      </c>
      <c r="BB667" s="3" t="s">
        <v>8829</v>
      </c>
      <c r="BC667" s="3" t="s">
        <v>8830</v>
      </c>
      <c r="BD667" s="3" t="s">
        <v>8831</v>
      </c>
    </row>
    <row r="668" spans="1:56" ht="45.75" customHeight="1" x14ac:dyDescent="0.25">
      <c r="A668" s="7" t="s">
        <v>58</v>
      </c>
      <c r="B668" s="2" t="s">
        <v>8832</v>
      </c>
      <c r="C668" s="2" t="s">
        <v>8833</v>
      </c>
      <c r="D668" s="2" t="s">
        <v>8834</v>
      </c>
      <c r="F668" s="3" t="s">
        <v>58</v>
      </c>
      <c r="G668" s="3" t="s">
        <v>59</v>
      </c>
      <c r="H668" s="3" t="s">
        <v>58</v>
      </c>
      <c r="I668" s="3" t="s">
        <v>58</v>
      </c>
      <c r="J668" s="3" t="s">
        <v>60</v>
      </c>
      <c r="L668" s="2" t="s">
        <v>8835</v>
      </c>
      <c r="M668" s="3" t="s">
        <v>83</v>
      </c>
      <c r="O668" s="3" t="s">
        <v>65</v>
      </c>
      <c r="P668" s="3" t="s">
        <v>336</v>
      </c>
      <c r="R668" s="3" t="s">
        <v>67</v>
      </c>
      <c r="S668" s="4">
        <v>28</v>
      </c>
      <c r="T668" s="4">
        <v>28</v>
      </c>
      <c r="U668" s="5" t="s">
        <v>658</v>
      </c>
      <c r="V668" s="5" t="s">
        <v>658</v>
      </c>
      <c r="W668" s="5" t="s">
        <v>8836</v>
      </c>
      <c r="X668" s="5" t="s">
        <v>8836</v>
      </c>
      <c r="Y668" s="4">
        <v>558</v>
      </c>
      <c r="Z668" s="4">
        <v>499</v>
      </c>
      <c r="AA668" s="4">
        <v>504</v>
      </c>
      <c r="AB668" s="4">
        <v>4</v>
      </c>
      <c r="AC668" s="4">
        <v>4</v>
      </c>
      <c r="AD668" s="4">
        <v>30</v>
      </c>
      <c r="AE668" s="4">
        <v>31</v>
      </c>
      <c r="AF668" s="4">
        <v>11</v>
      </c>
      <c r="AG668" s="4">
        <v>12</v>
      </c>
      <c r="AH668" s="4">
        <v>6</v>
      </c>
      <c r="AI668" s="4">
        <v>6</v>
      </c>
      <c r="AJ668" s="4">
        <v>14</v>
      </c>
      <c r="AK668" s="4">
        <v>15</v>
      </c>
      <c r="AL668" s="4">
        <v>3</v>
      </c>
      <c r="AM668" s="4">
        <v>3</v>
      </c>
      <c r="AN668" s="4">
        <v>2</v>
      </c>
      <c r="AO668" s="4">
        <v>2</v>
      </c>
      <c r="AP668" s="3" t="s">
        <v>58</v>
      </c>
      <c r="AQ668" s="3" t="s">
        <v>87</v>
      </c>
      <c r="AR668" s="6" t="str">
        <f>HYPERLINK("http://catalog.hathitrust.org/Record/000556559","HathiTrust Record")</f>
        <v>HathiTrust Record</v>
      </c>
      <c r="AS668" s="6" t="str">
        <f>HYPERLINK("https://creighton-primo.hosted.exlibrisgroup.com/primo-explore/search?tab=default_tab&amp;search_scope=EVERYTHING&amp;vid=01CRU&amp;lang=en_US&amp;offset=0&amp;query=any,contains,991000732789702656","Catalog Record")</f>
        <v>Catalog Record</v>
      </c>
      <c r="AT668" s="6" t="str">
        <f>HYPERLINK("http://www.worldcat.org/oclc/12749766","WorldCat Record")</f>
        <v>WorldCat Record</v>
      </c>
      <c r="AU668" s="3" t="s">
        <v>8837</v>
      </c>
      <c r="AV668" s="3" t="s">
        <v>8838</v>
      </c>
      <c r="AW668" s="3" t="s">
        <v>8839</v>
      </c>
      <c r="AX668" s="3" t="s">
        <v>8839</v>
      </c>
      <c r="AY668" s="3" t="s">
        <v>8840</v>
      </c>
      <c r="AZ668" s="3" t="s">
        <v>74</v>
      </c>
      <c r="BB668" s="3" t="s">
        <v>8841</v>
      </c>
      <c r="BC668" s="3" t="s">
        <v>8842</v>
      </c>
      <c r="BD668" s="3" t="s">
        <v>8843</v>
      </c>
    </row>
    <row r="669" spans="1:56" ht="45.75" customHeight="1" x14ac:dyDescent="0.25">
      <c r="A669" s="7" t="s">
        <v>58</v>
      </c>
      <c r="B669" s="2" t="s">
        <v>8844</v>
      </c>
      <c r="C669" s="2" t="s">
        <v>8845</v>
      </c>
      <c r="D669" s="2" t="s">
        <v>8846</v>
      </c>
      <c r="F669" s="3" t="s">
        <v>58</v>
      </c>
      <c r="G669" s="3" t="s">
        <v>59</v>
      </c>
      <c r="H669" s="3" t="s">
        <v>58</v>
      </c>
      <c r="I669" s="3" t="s">
        <v>58</v>
      </c>
      <c r="J669" s="3" t="s">
        <v>60</v>
      </c>
      <c r="K669" s="2" t="s">
        <v>8847</v>
      </c>
      <c r="L669" s="2" t="s">
        <v>8848</v>
      </c>
      <c r="M669" s="3" t="s">
        <v>307</v>
      </c>
      <c r="O669" s="3" t="s">
        <v>65</v>
      </c>
      <c r="P669" s="3" t="s">
        <v>132</v>
      </c>
      <c r="Q669" s="2" t="s">
        <v>4829</v>
      </c>
      <c r="R669" s="3" t="s">
        <v>67</v>
      </c>
      <c r="S669" s="4">
        <v>5</v>
      </c>
      <c r="T669" s="4">
        <v>5</v>
      </c>
      <c r="U669" s="5" t="s">
        <v>5104</v>
      </c>
      <c r="V669" s="5" t="s">
        <v>5104</v>
      </c>
      <c r="W669" s="5" t="s">
        <v>8849</v>
      </c>
      <c r="X669" s="5" t="s">
        <v>8849</v>
      </c>
      <c r="Y669" s="4">
        <v>541</v>
      </c>
      <c r="Z669" s="4">
        <v>500</v>
      </c>
      <c r="AA669" s="4">
        <v>1309</v>
      </c>
      <c r="AB669" s="4">
        <v>6</v>
      </c>
      <c r="AC669" s="4">
        <v>9</v>
      </c>
      <c r="AD669" s="4">
        <v>18</v>
      </c>
      <c r="AE669" s="4">
        <v>31</v>
      </c>
      <c r="AF669" s="4">
        <v>4</v>
      </c>
      <c r="AG669" s="4">
        <v>10</v>
      </c>
      <c r="AH669" s="4">
        <v>3</v>
      </c>
      <c r="AI669" s="4">
        <v>6</v>
      </c>
      <c r="AJ669" s="4">
        <v>8</v>
      </c>
      <c r="AK669" s="4">
        <v>13</v>
      </c>
      <c r="AL669" s="4">
        <v>5</v>
      </c>
      <c r="AM669" s="4">
        <v>7</v>
      </c>
      <c r="AN669" s="4">
        <v>2</v>
      </c>
      <c r="AO669" s="4">
        <v>2</v>
      </c>
      <c r="AP669" s="3" t="s">
        <v>58</v>
      </c>
      <c r="AQ669" s="3" t="s">
        <v>58</v>
      </c>
      <c r="AS669" s="6" t="str">
        <f>HYPERLINK("https://creighton-primo.hosted.exlibrisgroup.com/primo-explore/search?tab=default_tab&amp;search_scope=EVERYTHING&amp;vid=01CRU&amp;lang=en_US&amp;offset=0&amp;query=any,contains,991002648809702656","Catalog Record")</f>
        <v>Catalog Record</v>
      </c>
      <c r="AT669" s="6" t="str">
        <f>HYPERLINK("http://www.worldcat.org/oclc/32236071","WorldCat Record")</f>
        <v>WorldCat Record</v>
      </c>
      <c r="AU669" s="3" t="s">
        <v>8850</v>
      </c>
      <c r="AV669" s="3" t="s">
        <v>8851</v>
      </c>
      <c r="AW669" s="3" t="s">
        <v>8852</v>
      </c>
      <c r="AX669" s="3" t="s">
        <v>8852</v>
      </c>
      <c r="AY669" s="3" t="s">
        <v>8853</v>
      </c>
      <c r="AZ669" s="3" t="s">
        <v>74</v>
      </c>
      <c r="BB669" s="3" t="s">
        <v>8854</v>
      </c>
      <c r="BC669" s="3" t="s">
        <v>8855</v>
      </c>
      <c r="BD669" s="3" t="s">
        <v>8856</v>
      </c>
    </row>
    <row r="670" spans="1:56" ht="45.75" customHeight="1" x14ac:dyDescent="0.25">
      <c r="A670" s="7" t="s">
        <v>58</v>
      </c>
      <c r="B670" s="2" t="s">
        <v>8857</v>
      </c>
      <c r="C670" s="2" t="s">
        <v>8858</v>
      </c>
      <c r="D670" s="2" t="s">
        <v>8859</v>
      </c>
      <c r="F670" s="3" t="s">
        <v>58</v>
      </c>
      <c r="G670" s="3" t="s">
        <v>59</v>
      </c>
      <c r="H670" s="3" t="s">
        <v>58</v>
      </c>
      <c r="I670" s="3" t="s">
        <v>58</v>
      </c>
      <c r="J670" s="3" t="s">
        <v>60</v>
      </c>
      <c r="K670" s="2" t="s">
        <v>8860</v>
      </c>
      <c r="L670" s="2" t="s">
        <v>8861</v>
      </c>
      <c r="M670" s="3" t="s">
        <v>263</v>
      </c>
      <c r="N670" s="2" t="s">
        <v>390</v>
      </c>
      <c r="O670" s="3" t="s">
        <v>65</v>
      </c>
      <c r="P670" s="3" t="s">
        <v>1224</v>
      </c>
      <c r="R670" s="3" t="s">
        <v>67</v>
      </c>
      <c r="S670" s="4">
        <v>19</v>
      </c>
      <c r="T670" s="4">
        <v>19</v>
      </c>
      <c r="U670" s="5" t="s">
        <v>5104</v>
      </c>
      <c r="V670" s="5" t="s">
        <v>5104</v>
      </c>
      <c r="W670" s="5" t="s">
        <v>5503</v>
      </c>
      <c r="X670" s="5" t="s">
        <v>5503</v>
      </c>
      <c r="Y670" s="4">
        <v>165</v>
      </c>
      <c r="Z670" s="4">
        <v>141</v>
      </c>
      <c r="AA670" s="4">
        <v>392</v>
      </c>
      <c r="AB670" s="4">
        <v>2</v>
      </c>
      <c r="AC670" s="4">
        <v>7</v>
      </c>
      <c r="AD670" s="4">
        <v>8</v>
      </c>
      <c r="AE670" s="4">
        <v>24</v>
      </c>
      <c r="AF670" s="4">
        <v>3</v>
      </c>
      <c r="AG670" s="4">
        <v>8</v>
      </c>
      <c r="AH670" s="4">
        <v>0</v>
      </c>
      <c r="AI670" s="4">
        <v>1</v>
      </c>
      <c r="AJ670" s="4">
        <v>2</v>
      </c>
      <c r="AK670" s="4">
        <v>7</v>
      </c>
      <c r="AL670" s="4">
        <v>1</v>
      </c>
      <c r="AM670" s="4">
        <v>5</v>
      </c>
      <c r="AN670" s="4">
        <v>3</v>
      </c>
      <c r="AO670" s="4">
        <v>8</v>
      </c>
      <c r="AP670" s="3" t="s">
        <v>58</v>
      </c>
      <c r="AQ670" s="3" t="s">
        <v>58</v>
      </c>
      <c r="AS670" s="6" t="str">
        <f>HYPERLINK("https://creighton-primo.hosted.exlibrisgroup.com/primo-explore/search?tab=default_tab&amp;search_scope=EVERYTHING&amp;vid=01CRU&amp;lang=en_US&amp;offset=0&amp;query=any,contains,991002594639702656","Catalog Record")</f>
        <v>Catalog Record</v>
      </c>
      <c r="AT670" s="6" t="str">
        <f>HYPERLINK("http://www.worldcat.org/oclc/33983292","WorldCat Record")</f>
        <v>WorldCat Record</v>
      </c>
      <c r="AU670" s="3" t="s">
        <v>8862</v>
      </c>
      <c r="AV670" s="3" t="s">
        <v>8863</v>
      </c>
      <c r="AW670" s="3" t="s">
        <v>8864</v>
      </c>
      <c r="AX670" s="3" t="s">
        <v>8864</v>
      </c>
      <c r="AY670" s="3" t="s">
        <v>8865</v>
      </c>
      <c r="AZ670" s="3" t="s">
        <v>74</v>
      </c>
      <c r="BB670" s="3" t="s">
        <v>8866</v>
      </c>
      <c r="BC670" s="3" t="s">
        <v>8867</v>
      </c>
      <c r="BD670" s="3" t="s">
        <v>8868</v>
      </c>
    </row>
    <row r="671" spans="1:56" ht="45.75" customHeight="1" x14ac:dyDescent="0.25">
      <c r="A671" s="7" t="s">
        <v>58</v>
      </c>
      <c r="B671" s="2" t="s">
        <v>8869</v>
      </c>
      <c r="C671" s="2" t="s">
        <v>8870</v>
      </c>
      <c r="D671" s="2" t="s">
        <v>8871</v>
      </c>
      <c r="F671" s="3" t="s">
        <v>58</v>
      </c>
      <c r="G671" s="3" t="s">
        <v>59</v>
      </c>
      <c r="H671" s="3" t="s">
        <v>58</v>
      </c>
      <c r="I671" s="3" t="s">
        <v>58</v>
      </c>
      <c r="J671" s="3" t="s">
        <v>60</v>
      </c>
      <c r="K671" s="2" t="s">
        <v>8872</v>
      </c>
      <c r="L671" s="2" t="s">
        <v>8873</v>
      </c>
      <c r="M671" s="3" t="s">
        <v>557</v>
      </c>
      <c r="N671" s="2" t="s">
        <v>543</v>
      </c>
      <c r="O671" s="3" t="s">
        <v>65</v>
      </c>
      <c r="P671" s="3" t="s">
        <v>84</v>
      </c>
      <c r="R671" s="3" t="s">
        <v>67</v>
      </c>
      <c r="S671" s="4">
        <v>26</v>
      </c>
      <c r="T671" s="4">
        <v>26</v>
      </c>
      <c r="U671" s="5" t="s">
        <v>658</v>
      </c>
      <c r="V671" s="5" t="s">
        <v>658</v>
      </c>
      <c r="W671" s="5" t="s">
        <v>1019</v>
      </c>
      <c r="X671" s="5" t="s">
        <v>1019</v>
      </c>
      <c r="Y671" s="4">
        <v>554</v>
      </c>
      <c r="Z671" s="4">
        <v>523</v>
      </c>
      <c r="AA671" s="4">
        <v>619</v>
      </c>
      <c r="AB671" s="4">
        <v>4</v>
      </c>
      <c r="AC671" s="4">
        <v>7</v>
      </c>
      <c r="AD671" s="4">
        <v>10</v>
      </c>
      <c r="AE671" s="4">
        <v>12</v>
      </c>
      <c r="AF671" s="4">
        <v>4</v>
      </c>
      <c r="AG671" s="4">
        <v>5</v>
      </c>
      <c r="AH671" s="4">
        <v>1</v>
      </c>
      <c r="AI671" s="4">
        <v>1</v>
      </c>
      <c r="AJ671" s="4">
        <v>7</v>
      </c>
      <c r="AK671" s="4">
        <v>7</v>
      </c>
      <c r="AL671" s="4">
        <v>1</v>
      </c>
      <c r="AM671" s="4">
        <v>2</v>
      </c>
      <c r="AN671" s="4">
        <v>1</v>
      </c>
      <c r="AO671" s="4">
        <v>1</v>
      </c>
      <c r="AP671" s="3" t="s">
        <v>58</v>
      </c>
      <c r="AQ671" s="3" t="s">
        <v>58</v>
      </c>
      <c r="AS671" s="6" t="str">
        <f>HYPERLINK("https://creighton-primo.hosted.exlibrisgroup.com/primo-explore/search?tab=default_tab&amp;search_scope=EVERYTHING&amp;vid=01CRU&amp;lang=en_US&amp;offset=0&amp;query=any,contains,991002059419702656","Catalog Record")</f>
        <v>Catalog Record</v>
      </c>
      <c r="AT671" s="6" t="str">
        <f>HYPERLINK("http://www.worldcat.org/oclc/26356720","WorldCat Record")</f>
        <v>WorldCat Record</v>
      </c>
      <c r="AU671" s="3" t="s">
        <v>8874</v>
      </c>
      <c r="AV671" s="3" t="s">
        <v>8875</v>
      </c>
      <c r="AW671" s="3" t="s">
        <v>8876</v>
      </c>
      <c r="AX671" s="3" t="s">
        <v>8876</v>
      </c>
      <c r="AY671" s="3" t="s">
        <v>8877</v>
      </c>
      <c r="AZ671" s="3" t="s">
        <v>74</v>
      </c>
      <c r="BB671" s="3" t="s">
        <v>8878</v>
      </c>
      <c r="BC671" s="3" t="s">
        <v>8879</v>
      </c>
      <c r="BD671" s="3" t="s">
        <v>8880</v>
      </c>
    </row>
    <row r="672" spans="1:56" ht="45.75" customHeight="1" x14ac:dyDescent="0.25">
      <c r="A672" s="7" t="s">
        <v>58</v>
      </c>
      <c r="B672" s="2" t="s">
        <v>8881</v>
      </c>
      <c r="C672" s="2" t="s">
        <v>8882</v>
      </c>
      <c r="D672" s="2" t="s">
        <v>8883</v>
      </c>
      <c r="F672" s="3" t="s">
        <v>58</v>
      </c>
      <c r="G672" s="3" t="s">
        <v>59</v>
      </c>
      <c r="H672" s="3" t="s">
        <v>58</v>
      </c>
      <c r="I672" s="3" t="s">
        <v>58</v>
      </c>
      <c r="J672" s="3" t="s">
        <v>60</v>
      </c>
      <c r="K672" s="2" t="s">
        <v>8884</v>
      </c>
      <c r="L672" s="2" t="s">
        <v>6451</v>
      </c>
      <c r="M672" s="3" t="s">
        <v>116</v>
      </c>
      <c r="O672" s="3" t="s">
        <v>65</v>
      </c>
      <c r="P672" s="3" t="s">
        <v>148</v>
      </c>
      <c r="R672" s="3" t="s">
        <v>67</v>
      </c>
      <c r="S672" s="4">
        <v>7</v>
      </c>
      <c r="T672" s="4">
        <v>7</v>
      </c>
      <c r="U672" s="5" t="s">
        <v>8885</v>
      </c>
      <c r="V672" s="5" t="s">
        <v>8885</v>
      </c>
      <c r="W672" s="5" t="s">
        <v>3751</v>
      </c>
      <c r="X672" s="5" t="s">
        <v>3751</v>
      </c>
      <c r="Y672" s="4">
        <v>660</v>
      </c>
      <c r="Z672" s="4">
        <v>597</v>
      </c>
      <c r="AA672" s="4">
        <v>629</v>
      </c>
      <c r="AB672" s="4">
        <v>5</v>
      </c>
      <c r="AC672" s="4">
        <v>5</v>
      </c>
      <c r="AD672" s="4">
        <v>35</v>
      </c>
      <c r="AE672" s="4">
        <v>36</v>
      </c>
      <c r="AF672" s="4">
        <v>14</v>
      </c>
      <c r="AG672" s="4">
        <v>15</v>
      </c>
      <c r="AH672" s="4">
        <v>8</v>
      </c>
      <c r="AI672" s="4">
        <v>8</v>
      </c>
      <c r="AJ672" s="4">
        <v>15</v>
      </c>
      <c r="AK672" s="4">
        <v>15</v>
      </c>
      <c r="AL672" s="4">
        <v>4</v>
      </c>
      <c r="AM672" s="4">
        <v>4</v>
      </c>
      <c r="AN672" s="4">
        <v>4</v>
      </c>
      <c r="AO672" s="4">
        <v>4</v>
      </c>
      <c r="AP672" s="3" t="s">
        <v>58</v>
      </c>
      <c r="AQ672" s="3" t="s">
        <v>58</v>
      </c>
      <c r="AS672" s="6" t="str">
        <f>HYPERLINK("https://creighton-primo.hosted.exlibrisgroup.com/primo-explore/search?tab=default_tab&amp;search_scope=EVERYTHING&amp;vid=01CRU&amp;lang=en_US&amp;offset=0&amp;query=any,contains,991002933489702656","Catalog Record")</f>
        <v>Catalog Record</v>
      </c>
      <c r="AT672" s="6" t="str">
        <f>HYPERLINK("http://www.worldcat.org/oclc/39007246","WorldCat Record")</f>
        <v>WorldCat Record</v>
      </c>
      <c r="AU672" s="3" t="s">
        <v>8886</v>
      </c>
      <c r="AV672" s="3" t="s">
        <v>8887</v>
      </c>
      <c r="AW672" s="3" t="s">
        <v>8888</v>
      </c>
      <c r="AX672" s="3" t="s">
        <v>8888</v>
      </c>
      <c r="AY672" s="3" t="s">
        <v>8889</v>
      </c>
      <c r="AZ672" s="3" t="s">
        <v>74</v>
      </c>
      <c r="BB672" s="3" t="s">
        <v>8890</v>
      </c>
      <c r="BC672" s="3" t="s">
        <v>8891</v>
      </c>
      <c r="BD672" s="3" t="s">
        <v>8892</v>
      </c>
    </row>
    <row r="673" spans="1:56" ht="45.75" customHeight="1" x14ac:dyDescent="0.25">
      <c r="A673" s="7" t="s">
        <v>58</v>
      </c>
      <c r="B673" s="2" t="s">
        <v>8893</v>
      </c>
      <c r="C673" s="2" t="s">
        <v>8894</v>
      </c>
      <c r="D673" s="2" t="s">
        <v>8895</v>
      </c>
      <c r="F673" s="3" t="s">
        <v>58</v>
      </c>
      <c r="G673" s="3" t="s">
        <v>59</v>
      </c>
      <c r="H673" s="3" t="s">
        <v>58</v>
      </c>
      <c r="I673" s="3" t="s">
        <v>58</v>
      </c>
      <c r="J673" s="3" t="s">
        <v>60</v>
      </c>
      <c r="K673" s="2" t="s">
        <v>8896</v>
      </c>
      <c r="L673" s="2" t="s">
        <v>8897</v>
      </c>
      <c r="M673" s="3" t="s">
        <v>742</v>
      </c>
      <c r="O673" s="3" t="s">
        <v>65</v>
      </c>
      <c r="P673" s="3" t="s">
        <v>84</v>
      </c>
      <c r="R673" s="3" t="s">
        <v>67</v>
      </c>
      <c r="S673" s="4">
        <v>39</v>
      </c>
      <c r="T673" s="4">
        <v>39</v>
      </c>
      <c r="U673" s="5" t="s">
        <v>658</v>
      </c>
      <c r="V673" s="5" t="s">
        <v>658</v>
      </c>
      <c r="W673" s="5" t="s">
        <v>8898</v>
      </c>
      <c r="X673" s="5" t="s">
        <v>8898</v>
      </c>
      <c r="Y673" s="4">
        <v>1248</v>
      </c>
      <c r="Z673" s="4">
        <v>1179</v>
      </c>
      <c r="AA673" s="4">
        <v>1335</v>
      </c>
      <c r="AB673" s="4">
        <v>12</v>
      </c>
      <c r="AC673" s="4">
        <v>13</v>
      </c>
      <c r="AD673" s="4">
        <v>32</v>
      </c>
      <c r="AE673" s="4">
        <v>36</v>
      </c>
      <c r="AF673" s="4">
        <v>14</v>
      </c>
      <c r="AG673" s="4">
        <v>16</v>
      </c>
      <c r="AH673" s="4">
        <v>5</v>
      </c>
      <c r="AI673" s="4">
        <v>6</v>
      </c>
      <c r="AJ673" s="4">
        <v>13</v>
      </c>
      <c r="AK673" s="4">
        <v>14</v>
      </c>
      <c r="AL673" s="4">
        <v>4</v>
      </c>
      <c r="AM673" s="4">
        <v>4</v>
      </c>
      <c r="AN673" s="4">
        <v>3</v>
      </c>
      <c r="AO673" s="4">
        <v>3</v>
      </c>
      <c r="AP673" s="3" t="s">
        <v>58</v>
      </c>
      <c r="AQ673" s="3" t="s">
        <v>87</v>
      </c>
      <c r="AR673" s="6" t="str">
        <f>HYPERLINK("http://catalog.hathitrust.org/Record/001536324","HathiTrust Record")</f>
        <v>HathiTrust Record</v>
      </c>
      <c r="AS673" s="6" t="str">
        <f>HYPERLINK("https://creighton-primo.hosted.exlibrisgroup.com/primo-explore/search?tab=default_tab&amp;search_scope=EVERYTHING&amp;vid=01CRU&amp;lang=en_US&amp;offset=0&amp;query=any,contains,991001451549702656","Catalog Record")</f>
        <v>Catalog Record</v>
      </c>
      <c r="AT673" s="6" t="str">
        <f>HYPERLINK("http://www.worldcat.org/oclc/19325336","WorldCat Record")</f>
        <v>WorldCat Record</v>
      </c>
      <c r="AU673" s="3" t="s">
        <v>8899</v>
      </c>
      <c r="AV673" s="3" t="s">
        <v>8900</v>
      </c>
      <c r="AW673" s="3" t="s">
        <v>8901</v>
      </c>
      <c r="AX673" s="3" t="s">
        <v>8901</v>
      </c>
      <c r="AY673" s="3" t="s">
        <v>8902</v>
      </c>
      <c r="AZ673" s="3" t="s">
        <v>74</v>
      </c>
      <c r="BB673" s="3" t="s">
        <v>8903</v>
      </c>
      <c r="BC673" s="3" t="s">
        <v>8904</v>
      </c>
      <c r="BD673" s="3" t="s">
        <v>8905</v>
      </c>
    </row>
    <row r="674" spans="1:56" ht="45.75" customHeight="1" x14ac:dyDescent="0.25">
      <c r="A674" s="7" t="s">
        <v>58</v>
      </c>
      <c r="B674" s="2" t="s">
        <v>8906</v>
      </c>
      <c r="C674" s="2" t="s">
        <v>8907</v>
      </c>
      <c r="D674" s="2" t="s">
        <v>8908</v>
      </c>
      <c r="F674" s="3" t="s">
        <v>58</v>
      </c>
      <c r="G674" s="3" t="s">
        <v>59</v>
      </c>
      <c r="H674" s="3" t="s">
        <v>58</v>
      </c>
      <c r="I674" s="3" t="s">
        <v>58</v>
      </c>
      <c r="J674" s="3" t="s">
        <v>60</v>
      </c>
      <c r="K674" s="2" t="s">
        <v>8909</v>
      </c>
      <c r="L674" s="2" t="s">
        <v>8910</v>
      </c>
      <c r="M674" s="3" t="s">
        <v>63</v>
      </c>
      <c r="O674" s="3" t="s">
        <v>65</v>
      </c>
      <c r="P674" s="3" t="s">
        <v>84</v>
      </c>
      <c r="R674" s="3" t="s">
        <v>67</v>
      </c>
      <c r="S674" s="4">
        <v>1</v>
      </c>
      <c r="T674" s="4">
        <v>1</v>
      </c>
      <c r="U674" s="5" t="s">
        <v>2468</v>
      </c>
      <c r="V674" s="5" t="s">
        <v>2468</v>
      </c>
      <c r="W674" s="5" t="s">
        <v>2468</v>
      </c>
      <c r="X674" s="5" t="s">
        <v>2468</v>
      </c>
      <c r="Y674" s="4">
        <v>459</v>
      </c>
      <c r="Z674" s="4">
        <v>437</v>
      </c>
      <c r="AA674" s="4">
        <v>471</v>
      </c>
      <c r="AB674" s="4">
        <v>2</v>
      </c>
      <c r="AC674" s="4">
        <v>2</v>
      </c>
      <c r="AD674" s="4">
        <v>10</v>
      </c>
      <c r="AE674" s="4">
        <v>10</v>
      </c>
      <c r="AF674" s="4">
        <v>3</v>
      </c>
      <c r="AG674" s="4">
        <v>3</v>
      </c>
      <c r="AH674" s="4">
        <v>2</v>
      </c>
      <c r="AI674" s="4">
        <v>2</v>
      </c>
      <c r="AJ674" s="4">
        <v>6</v>
      </c>
      <c r="AK674" s="4">
        <v>6</v>
      </c>
      <c r="AL674" s="4">
        <v>1</v>
      </c>
      <c r="AM674" s="4">
        <v>1</v>
      </c>
      <c r="AN674" s="4">
        <v>0</v>
      </c>
      <c r="AO674" s="4">
        <v>0</v>
      </c>
      <c r="AP674" s="3" t="s">
        <v>58</v>
      </c>
      <c r="AQ674" s="3" t="s">
        <v>58</v>
      </c>
      <c r="AS674" s="6" t="str">
        <f>HYPERLINK("https://creighton-primo.hosted.exlibrisgroup.com/primo-explore/search?tab=default_tab&amp;search_scope=EVERYTHING&amp;vid=01CRU&amp;lang=en_US&amp;offset=0&amp;query=any,contains,991004688579702656","Catalog Record")</f>
        <v>Catalog Record</v>
      </c>
      <c r="AT674" s="6" t="str">
        <f>HYPERLINK("http://www.worldcat.org/oclc/61529851","WorldCat Record")</f>
        <v>WorldCat Record</v>
      </c>
      <c r="AU674" s="3" t="s">
        <v>8911</v>
      </c>
      <c r="AV674" s="3" t="s">
        <v>8912</v>
      </c>
      <c r="AW674" s="3" t="s">
        <v>8913</v>
      </c>
      <c r="AX674" s="3" t="s">
        <v>8913</v>
      </c>
      <c r="AY674" s="3" t="s">
        <v>8914</v>
      </c>
      <c r="AZ674" s="3" t="s">
        <v>74</v>
      </c>
      <c r="BB674" s="3" t="s">
        <v>8915</v>
      </c>
      <c r="BC674" s="3" t="s">
        <v>8916</v>
      </c>
      <c r="BD674" s="3" t="s">
        <v>8917</v>
      </c>
    </row>
    <row r="675" spans="1:56" ht="45.75" customHeight="1" x14ac:dyDescent="0.25">
      <c r="A675" s="7" t="s">
        <v>58</v>
      </c>
      <c r="B675" s="2" t="s">
        <v>8918</v>
      </c>
      <c r="C675" s="2" t="s">
        <v>8919</v>
      </c>
      <c r="D675" s="2" t="s">
        <v>8920</v>
      </c>
      <c r="F675" s="3" t="s">
        <v>58</v>
      </c>
      <c r="G675" s="3" t="s">
        <v>59</v>
      </c>
      <c r="H675" s="3" t="s">
        <v>58</v>
      </c>
      <c r="I675" s="3" t="s">
        <v>58</v>
      </c>
      <c r="J675" s="3" t="s">
        <v>60</v>
      </c>
      <c r="K675" s="2" t="s">
        <v>8921</v>
      </c>
      <c r="L675" s="2" t="s">
        <v>8922</v>
      </c>
      <c r="M675" s="3" t="s">
        <v>147</v>
      </c>
      <c r="N675" s="2" t="s">
        <v>543</v>
      </c>
      <c r="O675" s="3" t="s">
        <v>65</v>
      </c>
      <c r="P675" s="3" t="s">
        <v>84</v>
      </c>
      <c r="R675" s="3" t="s">
        <v>67</v>
      </c>
      <c r="S675" s="4">
        <v>5</v>
      </c>
      <c r="T675" s="4">
        <v>5</v>
      </c>
      <c r="U675" s="5" t="s">
        <v>8099</v>
      </c>
      <c r="V675" s="5" t="s">
        <v>8099</v>
      </c>
      <c r="W675" s="5" t="s">
        <v>3695</v>
      </c>
      <c r="X675" s="5" t="s">
        <v>3695</v>
      </c>
      <c r="Y675" s="4">
        <v>602</v>
      </c>
      <c r="Z675" s="4">
        <v>579</v>
      </c>
      <c r="AA675" s="4">
        <v>616</v>
      </c>
      <c r="AB675" s="4">
        <v>7</v>
      </c>
      <c r="AC675" s="4">
        <v>7</v>
      </c>
      <c r="AD675" s="4">
        <v>5</v>
      </c>
      <c r="AE675" s="4">
        <v>6</v>
      </c>
      <c r="AF675" s="4">
        <v>2</v>
      </c>
      <c r="AG675" s="4">
        <v>2</v>
      </c>
      <c r="AH675" s="4">
        <v>1</v>
      </c>
      <c r="AI675" s="4">
        <v>2</v>
      </c>
      <c r="AJ675" s="4">
        <v>2</v>
      </c>
      <c r="AK675" s="4">
        <v>2</v>
      </c>
      <c r="AL675" s="4">
        <v>1</v>
      </c>
      <c r="AM675" s="4">
        <v>1</v>
      </c>
      <c r="AN675" s="4">
        <v>0</v>
      </c>
      <c r="AO675" s="4">
        <v>0</v>
      </c>
      <c r="AP675" s="3" t="s">
        <v>58</v>
      </c>
      <c r="AQ675" s="3" t="s">
        <v>58</v>
      </c>
      <c r="AS675" s="6" t="str">
        <f>HYPERLINK("https://creighton-primo.hosted.exlibrisgroup.com/primo-explore/search?tab=default_tab&amp;search_scope=EVERYTHING&amp;vid=01CRU&amp;lang=en_US&amp;offset=0&amp;query=any,contains,991004284949702656","Catalog Record")</f>
        <v>Catalog Record</v>
      </c>
      <c r="AT675" s="6" t="str">
        <f>HYPERLINK("http://www.worldcat.org/oclc/53814470","WorldCat Record")</f>
        <v>WorldCat Record</v>
      </c>
      <c r="AU675" s="3" t="s">
        <v>8923</v>
      </c>
      <c r="AV675" s="3" t="s">
        <v>8924</v>
      </c>
      <c r="AW675" s="3" t="s">
        <v>8925</v>
      </c>
      <c r="AX675" s="3" t="s">
        <v>8925</v>
      </c>
      <c r="AY675" s="3" t="s">
        <v>8926</v>
      </c>
      <c r="AZ675" s="3" t="s">
        <v>74</v>
      </c>
      <c r="BB675" s="3" t="s">
        <v>8927</v>
      </c>
      <c r="BC675" s="3" t="s">
        <v>8928</v>
      </c>
      <c r="BD675" s="3" t="s">
        <v>8929</v>
      </c>
    </row>
    <row r="676" spans="1:56" ht="45.75" customHeight="1" x14ac:dyDescent="0.25">
      <c r="A676" s="7" t="s">
        <v>58</v>
      </c>
      <c r="B676" s="2" t="s">
        <v>8930</v>
      </c>
      <c r="C676" s="2" t="s">
        <v>8931</v>
      </c>
      <c r="D676" s="2" t="s">
        <v>8932</v>
      </c>
      <c r="F676" s="3" t="s">
        <v>58</v>
      </c>
      <c r="G676" s="3" t="s">
        <v>59</v>
      </c>
      <c r="H676" s="3" t="s">
        <v>58</v>
      </c>
      <c r="I676" s="3" t="s">
        <v>58</v>
      </c>
      <c r="J676" s="3" t="s">
        <v>60</v>
      </c>
      <c r="K676" s="2" t="s">
        <v>8933</v>
      </c>
      <c r="L676" s="2" t="s">
        <v>8934</v>
      </c>
      <c r="M676" s="3" t="s">
        <v>2104</v>
      </c>
      <c r="O676" s="3" t="s">
        <v>65</v>
      </c>
      <c r="P676" s="3" t="s">
        <v>148</v>
      </c>
      <c r="R676" s="3" t="s">
        <v>67</v>
      </c>
      <c r="S676" s="4">
        <v>5</v>
      </c>
      <c r="T676" s="4">
        <v>5</v>
      </c>
      <c r="U676" s="5" t="s">
        <v>8935</v>
      </c>
      <c r="V676" s="5" t="s">
        <v>8935</v>
      </c>
      <c r="W676" s="5" t="s">
        <v>1487</v>
      </c>
      <c r="X676" s="5" t="s">
        <v>1487</v>
      </c>
      <c r="Y676" s="4">
        <v>94</v>
      </c>
      <c r="Z676" s="4">
        <v>65</v>
      </c>
      <c r="AA676" s="4">
        <v>1033</v>
      </c>
      <c r="AB676" s="4">
        <v>1</v>
      </c>
      <c r="AC676" s="4">
        <v>7</v>
      </c>
      <c r="AD676" s="4">
        <v>0</v>
      </c>
      <c r="AE676" s="4">
        <v>47</v>
      </c>
      <c r="AF676" s="4">
        <v>0</v>
      </c>
      <c r="AG676" s="4">
        <v>18</v>
      </c>
      <c r="AH676" s="4">
        <v>0</v>
      </c>
      <c r="AI676" s="4">
        <v>10</v>
      </c>
      <c r="AJ676" s="4">
        <v>0</v>
      </c>
      <c r="AK676" s="4">
        <v>23</v>
      </c>
      <c r="AL676" s="4">
        <v>0</v>
      </c>
      <c r="AM676" s="4">
        <v>5</v>
      </c>
      <c r="AN676" s="4">
        <v>0</v>
      </c>
      <c r="AO676" s="4">
        <v>4</v>
      </c>
      <c r="AP676" s="3" t="s">
        <v>58</v>
      </c>
      <c r="AQ676" s="3" t="s">
        <v>58</v>
      </c>
      <c r="AS676" s="6" t="str">
        <f>HYPERLINK("https://creighton-primo.hosted.exlibrisgroup.com/primo-explore/search?tab=default_tab&amp;search_scope=EVERYTHING&amp;vid=01CRU&amp;lang=en_US&amp;offset=0&amp;query=any,contains,991000206449702656","Catalog Record")</f>
        <v>Catalog Record</v>
      </c>
      <c r="AT676" s="6" t="str">
        <f>HYPERLINK("http://www.worldcat.org/oclc/9495889","WorldCat Record")</f>
        <v>WorldCat Record</v>
      </c>
      <c r="AU676" s="3" t="s">
        <v>8936</v>
      </c>
      <c r="AV676" s="3" t="s">
        <v>8937</v>
      </c>
      <c r="AW676" s="3" t="s">
        <v>8938</v>
      </c>
      <c r="AX676" s="3" t="s">
        <v>8938</v>
      </c>
      <c r="AY676" s="3" t="s">
        <v>8939</v>
      </c>
      <c r="AZ676" s="3" t="s">
        <v>74</v>
      </c>
      <c r="BC676" s="3" t="s">
        <v>8940</v>
      </c>
      <c r="BD676" s="3" t="s">
        <v>8941</v>
      </c>
    </row>
    <row r="677" spans="1:56" ht="45.75" customHeight="1" x14ac:dyDescent="0.25">
      <c r="A677" s="7" t="s">
        <v>58</v>
      </c>
      <c r="B677" s="2" t="s">
        <v>8942</v>
      </c>
      <c r="C677" s="2" t="s">
        <v>8943</v>
      </c>
      <c r="D677" s="2" t="s">
        <v>8944</v>
      </c>
      <c r="F677" s="3" t="s">
        <v>58</v>
      </c>
      <c r="G677" s="3" t="s">
        <v>59</v>
      </c>
      <c r="H677" s="3" t="s">
        <v>58</v>
      </c>
      <c r="I677" s="3" t="s">
        <v>58</v>
      </c>
      <c r="J677" s="3" t="s">
        <v>60</v>
      </c>
      <c r="K677" s="2" t="s">
        <v>8945</v>
      </c>
      <c r="L677" s="2" t="s">
        <v>8946</v>
      </c>
      <c r="M677" s="3" t="s">
        <v>307</v>
      </c>
      <c r="N677" s="2" t="s">
        <v>543</v>
      </c>
      <c r="O677" s="3" t="s">
        <v>65</v>
      </c>
      <c r="P677" s="3" t="s">
        <v>84</v>
      </c>
      <c r="R677" s="3" t="s">
        <v>67</v>
      </c>
      <c r="S677" s="4">
        <v>11</v>
      </c>
      <c r="T677" s="4">
        <v>11</v>
      </c>
      <c r="U677" s="5" t="s">
        <v>8947</v>
      </c>
      <c r="V677" s="5" t="s">
        <v>8947</v>
      </c>
      <c r="W677" s="5" t="s">
        <v>8948</v>
      </c>
      <c r="X677" s="5" t="s">
        <v>8948</v>
      </c>
      <c r="Y677" s="4">
        <v>681</v>
      </c>
      <c r="Z677" s="4">
        <v>610</v>
      </c>
      <c r="AA677" s="4">
        <v>682</v>
      </c>
      <c r="AB677" s="4">
        <v>5</v>
      </c>
      <c r="AC677" s="4">
        <v>6</v>
      </c>
      <c r="AD677" s="4">
        <v>23</v>
      </c>
      <c r="AE677" s="4">
        <v>29</v>
      </c>
      <c r="AF677" s="4">
        <v>9</v>
      </c>
      <c r="AG677" s="4">
        <v>12</v>
      </c>
      <c r="AH677" s="4">
        <v>7</v>
      </c>
      <c r="AI677" s="4">
        <v>8</v>
      </c>
      <c r="AJ677" s="4">
        <v>12</v>
      </c>
      <c r="AK677" s="4">
        <v>14</v>
      </c>
      <c r="AL677" s="4">
        <v>2</v>
      </c>
      <c r="AM677" s="4">
        <v>3</v>
      </c>
      <c r="AN677" s="4">
        <v>0</v>
      </c>
      <c r="AO677" s="4">
        <v>0</v>
      </c>
      <c r="AP677" s="3" t="s">
        <v>58</v>
      </c>
      <c r="AQ677" s="3" t="s">
        <v>58</v>
      </c>
      <c r="AS677" s="6" t="str">
        <f>HYPERLINK("https://creighton-primo.hosted.exlibrisgroup.com/primo-explore/search?tab=default_tab&amp;search_scope=EVERYTHING&amp;vid=01CRU&amp;lang=en_US&amp;offset=0&amp;query=any,contains,991002400759702656","Catalog Record")</f>
        <v>Catalog Record</v>
      </c>
      <c r="AT677" s="6" t="str">
        <f>HYPERLINK("http://www.worldcat.org/oclc/31206630","WorldCat Record")</f>
        <v>WorldCat Record</v>
      </c>
      <c r="AU677" s="3" t="s">
        <v>8949</v>
      </c>
      <c r="AV677" s="3" t="s">
        <v>8950</v>
      </c>
      <c r="AW677" s="3" t="s">
        <v>8951</v>
      </c>
      <c r="AX677" s="3" t="s">
        <v>8951</v>
      </c>
      <c r="AY677" s="3" t="s">
        <v>8952</v>
      </c>
      <c r="AZ677" s="3" t="s">
        <v>74</v>
      </c>
      <c r="BB677" s="3" t="s">
        <v>8953</v>
      </c>
      <c r="BC677" s="3" t="s">
        <v>8954</v>
      </c>
      <c r="BD677" s="3" t="s">
        <v>8955</v>
      </c>
    </row>
    <row r="678" spans="1:56" ht="45.75" customHeight="1" x14ac:dyDescent="0.25">
      <c r="A678" s="7" t="s">
        <v>58</v>
      </c>
      <c r="B678" s="2" t="s">
        <v>8956</v>
      </c>
      <c r="C678" s="2" t="s">
        <v>8957</v>
      </c>
      <c r="D678" s="2" t="s">
        <v>8958</v>
      </c>
      <c r="F678" s="3" t="s">
        <v>58</v>
      </c>
      <c r="G678" s="3" t="s">
        <v>59</v>
      </c>
      <c r="H678" s="3" t="s">
        <v>58</v>
      </c>
      <c r="I678" s="3" t="s">
        <v>58</v>
      </c>
      <c r="J678" s="3" t="s">
        <v>60</v>
      </c>
      <c r="L678" s="2" t="s">
        <v>8959</v>
      </c>
      <c r="M678" s="3" t="s">
        <v>116</v>
      </c>
      <c r="O678" s="3" t="s">
        <v>65</v>
      </c>
      <c r="P678" s="3" t="s">
        <v>132</v>
      </c>
      <c r="R678" s="3" t="s">
        <v>67</v>
      </c>
      <c r="S678" s="4">
        <v>15</v>
      </c>
      <c r="T678" s="4">
        <v>15</v>
      </c>
      <c r="U678" s="5" t="s">
        <v>8960</v>
      </c>
      <c r="V678" s="5" t="s">
        <v>8960</v>
      </c>
      <c r="W678" s="5" t="s">
        <v>8961</v>
      </c>
      <c r="X678" s="5" t="s">
        <v>8961</v>
      </c>
      <c r="Y678" s="4">
        <v>346</v>
      </c>
      <c r="Z678" s="4">
        <v>292</v>
      </c>
      <c r="AA678" s="4">
        <v>294</v>
      </c>
      <c r="AB678" s="4">
        <v>2</v>
      </c>
      <c r="AC678" s="4">
        <v>2</v>
      </c>
      <c r="AD678" s="4">
        <v>16</v>
      </c>
      <c r="AE678" s="4">
        <v>16</v>
      </c>
      <c r="AF678" s="4">
        <v>8</v>
      </c>
      <c r="AG678" s="4">
        <v>8</v>
      </c>
      <c r="AH678" s="4">
        <v>4</v>
      </c>
      <c r="AI678" s="4">
        <v>4</v>
      </c>
      <c r="AJ678" s="4">
        <v>9</v>
      </c>
      <c r="AK678" s="4">
        <v>9</v>
      </c>
      <c r="AL678" s="4">
        <v>1</v>
      </c>
      <c r="AM678" s="4">
        <v>1</v>
      </c>
      <c r="AN678" s="4">
        <v>1</v>
      </c>
      <c r="AO678" s="4">
        <v>1</v>
      </c>
      <c r="AP678" s="3" t="s">
        <v>58</v>
      </c>
      <c r="AQ678" s="3" t="s">
        <v>87</v>
      </c>
      <c r="AR678" s="6" t="str">
        <f>HYPERLINK("http://catalog.hathitrust.org/Record/008316433","HathiTrust Record")</f>
        <v>HathiTrust Record</v>
      </c>
      <c r="AS678" s="6" t="str">
        <f>HYPERLINK("https://creighton-primo.hosted.exlibrisgroup.com/primo-explore/search?tab=default_tab&amp;search_scope=EVERYTHING&amp;vid=01CRU&amp;lang=en_US&amp;offset=0&amp;query=any,contains,991002933349702656","Catalog Record")</f>
        <v>Catalog Record</v>
      </c>
      <c r="AT678" s="6" t="str">
        <f>HYPERLINK("http://www.worldcat.org/oclc/39007126","WorldCat Record")</f>
        <v>WorldCat Record</v>
      </c>
      <c r="AU678" s="3" t="s">
        <v>8962</v>
      </c>
      <c r="AV678" s="3" t="s">
        <v>8963</v>
      </c>
      <c r="AW678" s="3" t="s">
        <v>8964</v>
      </c>
      <c r="AX678" s="3" t="s">
        <v>8964</v>
      </c>
      <c r="AY678" s="3" t="s">
        <v>8965</v>
      </c>
      <c r="AZ678" s="3" t="s">
        <v>74</v>
      </c>
      <c r="BB678" s="3" t="s">
        <v>8966</v>
      </c>
      <c r="BC678" s="3" t="s">
        <v>8967</v>
      </c>
      <c r="BD678" s="3" t="s">
        <v>8968</v>
      </c>
    </row>
    <row r="679" spans="1:56" ht="45.75" customHeight="1" x14ac:dyDescent="0.25">
      <c r="A679" s="7" t="s">
        <v>58</v>
      </c>
      <c r="B679" s="2" t="s">
        <v>8969</v>
      </c>
      <c r="C679" s="2" t="s">
        <v>8970</v>
      </c>
      <c r="D679" s="2" t="s">
        <v>8971</v>
      </c>
      <c r="F679" s="3" t="s">
        <v>58</v>
      </c>
      <c r="G679" s="3" t="s">
        <v>59</v>
      </c>
      <c r="H679" s="3" t="s">
        <v>58</v>
      </c>
      <c r="I679" s="3" t="s">
        <v>58</v>
      </c>
      <c r="J679" s="3" t="s">
        <v>60</v>
      </c>
      <c r="L679" s="2" t="s">
        <v>8972</v>
      </c>
      <c r="M679" s="3" t="s">
        <v>1032</v>
      </c>
      <c r="O679" s="3" t="s">
        <v>65</v>
      </c>
      <c r="P679" s="3" t="s">
        <v>175</v>
      </c>
      <c r="R679" s="3" t="s">
        <v>67</v>
      </c>
      <c r="S679" s="4">
        <v>4</v>
      </c>
      <c r="T679" s="4">
        <v>4</v>
      </c>
      <c r="U679" s="5" t="s">
        <v>8973</v>
      </c>
      <c r="V679" s="5" t="s">
        <v>8973</v>
      </c>
      <c r="W679" s="5" t="s">
        <v>8974</v>
      </c>
      <c r="X679" s="5" t="s">
        <v>8974</v>
      </c>
      <c r="Y679" s="4">
        <v>291</v>
      </c>
      <c r="Z679" s="4">
        <v>195</v>
      </c>
      <c r="AA679" s="4">
        <v>223</v>
      </c>
      <c r="AB679" s="4">
        <v>2</v>
      </c>
      <c r="AC679" s="4">
        <v>2</v>
      </c>
      <c r="AD679" s="4">
        <v>12</v>
      </c>
      <c r="AE679" s="4">
        <v>12</v>
      </c>
      <c r="AF679" s="4">
        <v>5</v>
      </c>
      <c r="AG679" s="4">
        <v>5</v>
      </c>
      <c r="AH679" s="4">
        <v>2</v>
      </c>
      <c r="AI679" s="4">
        <v>2</v>
      </c>
      <c r="AJ679" s="4">
        <v>10</v>
      </c>
      <c r="AK679" s="4">
        <v>10</v>
      </c>
      <c r="AL679" s="4">
        <v>1</v>
      </c>
      <c r="AM679" s="4">
        <v>1</v>
      </c>
      <c r="AN679" s="4">
        <v>0</v>
      </c>
      <c r="AO679" s="4">
        <v>0</v>
      </c>
      <c r="AP679" s="3" t="s">
        <v>58</v>
      </c>
      <c r="AQ679" s="3" t="s">
        <v>58</v>
      </c>
      <c r="AS679" s="6" t="str">
        <f>HYPERLINK("https://creighton-primo.hosted.exlibrisgroup.com/primo-explore/search?tab=default_tab&amp;search_scope=EVERYTHING&amp;vid=01CRU&amp;lang=en_US&amp;offset=0&amp;query=any,contains,991004347639702656","Catalog Record")</f>
        <v>Catalog Record</v>
      </c>
      <c r="AT679" s="6" t="str">
        <f>HYPERLINK("http://www.worldcat.org/oclc/36178501","WorldCat Record")</f>
        <v>WorldCat Record</v>
      </c>
      <c r="AU679" s="3" t="s">
        <v>8975</v>
      </c>
      <c r="AV679" s="3" t="s">
        <v>8976</v>
      </c>
      <c r="AW679" s="3" t="s">
        <v>8977</v>
      </c>
      <c r="AX679" s="3" t="s">
        <v>8977</v>
      </c>
      <c r="AY679" s="3" t="s">
        <v>8978</v>
      </c>
      <c r="AZ679" s="3" t="s">
        <v>74</v>
      </c>
      <c r="BB679" s="3" t="s">
        <v>8979</v>
      </c>
      <c r="BC679" s="3" t="s">
        <v>8980</v>
      </c>
      <c r="BD679" s="3" t="s">
        <v>8981</v>
      </c>
    </row>
    <row r="680" spans="1:56" ht="45.75" customHeight="1" x14ac:dyDescent="0.25">
      <c r="A680" s="7" t="s">
        <v>58</v>
      </c>
      <c r="B680" s="2" t="s">
        <v>8982</v>
      </c>
      <c r="C680" s="2" t="s">
        <v>8983</v>
      </c>
      <c r="D680" s="2" t="s">
        <v>8984</v>
      </c>
      <c r="F680" s="3" t="s">
        <v>58</v>
      </c>
      <c r="G680" s="3" t="s">
        <v>59</v>
      </c>
      <c r="H680" s="3" t="s">
        <v>58</v>
      </c>
      <c r="I680" s="3" t="s">
        <v>58</v>
      </c>
      <c r="J680" s="3" t="s">
        <v>60</v>
      </c>
      <c r="K680" s="2" t="s">
        <v>8985</v>
      </c>
      <c r="L680" s="2" t="s">
        <v>8986</v>
      </c>
      <c r="M680" s="3" t="s">
        <v>290</v>
      </c>
      <c r="O680" s="3" t="s">
        <v>65</v>
      </c>
      <c r="P680" s="3" t="s">
        <v>175</v>
      </c>
      <c r="R680" s="3" t="s">
        <v>67</v>
      </c>
      <c r="S680" s="4">
        <v>13</v>
      </c>
      <c r="T680" s="4">
        <v>13</v>
      </c>
      <c r="U680" s="5" t="s">
        <v>8973</v>
      </c>
      <c r="V680" s="5" t="s">
        <v>8973</v>
      </c>
      <c r="W680" s="5" t="s">
        <v>3561</v>
      </c>
      <c r="X680" s="5" t="s">
        <v>3561</v>
      </c>
      <c r="Y680" s="4">
        <v>507</v>
      </c>
      <c r="Z680" s="4">
        <v>392</v>
      </c>
      <c r="AA680" s="4">
        <v>636</v>
      </c>
      <c r="AB680" s="4">
        <v>5</v>
      </c>
      <c r="AC680" s="4">
        <v>6</v>
      </c>
      <c r="AD680" s="4">
        <v>19</v>
      </c>
      <c r="AE680" s="4">
        <v>33</v>
      </c>
      <c r="AF680" s="4">
        <v>5</v>
      </c>
      <c r="AG680" s="4">
        <v>10</v>
      </c>
      <c r="AH680" s="4">
        <v>5</v>
      </c>
      <c r="AI680" s="4">
        <v>11</v>
      </c>
      <c r="AJ680" s="4">
        <v>8</v>
      </c>
      <c r="AK680" s="4">
        <v>12</v>
      </c>
      <c r="AL680" s="4">
        <v>4</v>
      </c>
      <c r="AM680" s="4">
        <v>5</v>
      </c>
      <c r="AN680" s="4">
        <v>2</v>
      </c>
      <c r="AO680" s="4">
        <v>3</v>
      </c>
      <c r="AP680" s="3" t="s">
        <v>58</v>
      </c>
      <c r="AQ680" s="3" t="s">
        <v>58</v>
      </c>
      <c r="AS680" s="6" t="str">
        <f>HYPERLINK("https://creighton-primo.hosted.exlibrisgroup.com/primo-explore/search?tab=default_tab&amp;search_scope=EVERYTHING&amp;vid=01CRU&amp;lang=en_US&amp;offset=0&amp;query=any,contains,991003632789702656","Catalog Record")</f>
        <v>Catalog Record</v>
      </c>
      <c r="AT680" s="6" t="str">
        <f>HYPERLINK("http://www.worldcat.org/oclc/45715859","WorldCat Record")</f>
        <v>WorldCat Record</v>
      </c>
      <c r="AU680" s="3" t="s">
        <v>8987</v>
      </c>
      <c r="AV680" s="3" t="s">
        <v>8988</v>
      </c>
      <c r="AW680" s="3" t="s">
        <v>8989</v>
      </c>
      <c r="AX680" s="3" t="s">
        <v>8989</v>
      </c>
      <c r="AY680" s="3" t="s">
        <v>8990</v>
      </c>
      <c r="AZ680" s="3" t="s">
        <v>74</v>
      </c>
      <c r="BB680" s="3" t="s">
        <v>8991</v>
      </c>
      <c r="BC680" s="3" t="s">
        <v>8992</v>
      </c>
      <c r="BD680" s="3" t="s">
        <v>8993</v>
      </c>
    </row>
    <row r="681" spans="1:56" ht="45.75" customHeight="1" x14ac:dyDescent="0.25">
      <c r="A681" s="7" t="s">
        <v>58</v>
      </c>
      <c r="B681" s="2" t="s">
        <v>8994</v>
      </c>
      <c r="C681" s="2" t="s">
        <v>8995</v>
      </c>
      <c r="D681" s="2" t="s">
        <v>8996</v>
      </c>
      <c r="F681" s="3" t="s">
        <v>58</v>
      </c>
      <c r="G681" s="3" t="s">
        <v>59</v>
      </c>
      <c r="H681" s="3" t="s">
        <v>58</v>
      </c>
      <c r="I681" s="3" t="s">
        <v>58</v>
      </c>
      <c r="J681" s="3" t="s">
        <v>60</v>
      </c>
      <c r="K681" s="2" t="s">
        <v>8997</v>
      </c>
      <c r="L681" s="2" t="s">
        <v>8998</v>
      </c>
      <c r="M681" s="3" t="s">
        <v>1674</v>
      </c>
      <c r="O681" s="3" t="s">
        <v>65</v>
      </c>
      <c r="P681" s="3" t="s">
        <v>84</v>
      </c>
      <c r="Q681" s="2" t="s">
        <v>8999</v>
      </c>
      <c r="R681" s="3" t="s">
        <v>67</v>
      </c>
      <c r="S681" s="4">
        <v>2</v>
      </c>
      <c r="T681" s="4">
        <v>2</v>
      </c>
      <c r="U681" s="5" t="s">
        <v>7115</v>
      </c>
      <c r="V681" s="5" t="s">
        <v>7115</v>
      </c>
      <c r="W681" s="5" t="s">
        <v>1487</v>
      </c>
      <c r="X681" s="5" t="s">
        <v>1487</v>
      </c>
      <c r="Y681" s="4">
        <v>561</v>
      </c>
      <c r="Z681" s="4">
        <v>539</v>
      </c>
      <c r="AA681" s="4">
        <v>546</v>
      </c>
      <c r="AB681" s="4">
        <v>4</v>
      </c>
      <c r="AC681" s="4">
        <v>4</v>
      </c>
      <c r="AD681" s="4">
        <v>27</v>
      </c>
      <c r="AE681" s="4">
        <v>27</v>
      </c>
      <c r="AF681" s="4">
        <v>9</v>
      </c>
      <c r="AG681" s="4">
        <v>9</v>
      </c>
      <c r="AH681" s="4">
        <v>4</v>
      </c>
      <c r="AI681" s="4">
        <v>4</v>
      </c>
      <c r="AJ681" s="4">
        <v>13</v>
      </c>
      <c r="AK681" s="4">
        <v>13</v>
      </c>
      <c r="AL681" s="4">
        <v>3</v>
      </c>
      <c r="AM681" s="4">
        <v>3</v>
      </c>
      <c r="AN681" s="4">
        <v>1</v>
      </c>
      <c r="AO681" s="4">
        <v>1</v>
      </c>
      <c r="AP681" s="3" t="s">
        <v>87</v>
      </c>
      <c r="AQ681" s="3" t="s">
        <v>87</v>
      </c>
      <c r="AR681" s="6" t="str">
        <f>HYPERLINK("http://catalog.hathitrust.org/Record/006750728","HathiTrust Record")</f>
        <v>HathiTrust Record</v>
      </c>
      <c r="AS681" s="6" t="str">
        <f>HYPERLINK("https://creighton-primo.hosted.exlibrisgroup.com/primo-explore/search?tab=default_tab&amp;search_scope=EVERYTHING&amp;vid=01CRU&amp;lang=en_US&amp;offset=0&amp;query=any,contains,991005438539702656","Catalog Record")</f>
        <v>Catalog Record</v>
      </c>
      <c r="AT681" s="6" t="str">
        <f>HYPERLINK("http://www.worldcat.org/oclc/6092","WorldCat Record")</f>
        <v>WorldCat Record</v>
      </c>
      <c r="AU681" s="3" t="s">
        <v>9000</v>
      </c>
      <c r="AV681" s="3" t="s">
        <v>9001</v>
      </c>
      <c r="AW681" s="3" t="s">
        <v>9002</v>
      </c>
      <c r="AX681" s="3" t="s">
        <v>9002</v>
      </c>
      <c r="AY681" s="3" t="s">
        <v>9003</v>
      </c>
      <c r="AZ681" s="3" t="s">
        <v>74</v>
      </c>
      <c r="BC681" s="3" t="s">
        <v>9004</v>
      </c>
      <c r="BD681" s="3" t="s">
        <v>9005</v>
      </c>
    </row>
    <row r="682" spans="1:56" ht="45.75" customHeight="1" x14ac:dyDescent="0.25">
      <c r="A682" s="7" t="s">
        <v>58</v>
      </c>
      <c r="B682" s="2" t="s">
        <v>9006</v>
      </c>
      <c r="C682" s="2" t="s">
        <v>9007</v>
      </c>
      <c r="D682" s="2" t="s">
        <v>9008</v>
      </c>
      <c r="F682" s="3" t="s">
        <v>58</v>
      </c>
      <c r="G682" s="3" t="s">
        <v>59</v>
      </c>
      <c r="H682" s="3" t="s">
        <v>58</v>
      </c>
      <c r="I682" s="3" t="s">
        <v>58</v>
      </c>
      <c r="J682" s="3" t="s">
        <v>60</v>
      </c>
      <c r="K682" s="2" t="s">
        <v>9009</v>
      </c>
      <c r="L682" s="2" t="s">
        <v>9010</v>
      </c>
      <c r="M682" s="3" t="s">
        <v>100</v>
      </c>
      <c r="O682" s="3" t="s">
        <v>65</v>
      </c>
      <c r="P682" s="3" t="s">
        <v>132</v>
      </c>
      <c r="R682" s="3" t="s">
        <v>67</v>
      </c>
      <c r="S682" s="4">
        <v>5</v>
      </c>
      <c r="T682" s="4">
        <v>5</v>
      </c>
      <c r="U682" s="5" t="s">
        <v>9011</v>
      </c>
      <c r="V682" s="5" t="s">
        <v>9011</v>
      </c>
      <c r="W682" s="5" t="s">
        <v>9012</v>
      </c>
      <c r="X682" s="5" t="s">
        <v>9012</v>
      </c>
      <c r="Y682" s="4">
        <v>343</v>
      </c>
      <c r="Z682" s="4">
        <v>324</v>
      </c>
      <c r="AA682" s="4">
        <v>325</v>
      </c>
      <c r="AB682" s="4">
        <v>3</v>
      </c>
      <c r="AC682" s="4">
        <v>3</v>
      </c>
      <c r="AD682" s="4">
        <v>13</v>
      </c>
      <c r="AE682" s="4">
        <v>13</v>
      </c>
      <c r="AF682" s="4">
        <v>2</v>
      </c>
      <c r="AG682" s="4">
        <v>2</v>
      </c>
      <c r="AH682" s="4">
        <v>5</v>
      </c>
      <c r="AI682" s="4">
        <v>5</v>
      </c>
      <c r="AJ682" s="4">
        <v>4</v>
      </c>
      <c r="AK682" s="4">
        <v>4</v>
      </c>
      <c r="AL682" s="4">
        <v>2</v>
      </c>
      <c r="AM682" s="4">
        <v>2</v>
      </c>
      <c r="AN682" s="4">
        <v>2</v>
      </c>
      <c r="AO682" s="4">
        <v>2</v>
      </c>
      <c r="AP682" s="3" t="s">
        <v>58</v>
      </c>
      <c r="AQ682" s="3" t="s">
        <v>58</v>
      </c>
      <c r="AS682" s="6" t="str">
        <f>HYPERLINK("https://creighton-primo.hosted.exlibrisgroup.com/primo-explore/search?tab=default_tab&amp;search_scope=EVERYTHING&amp;vid=01CRU&amp;lang=en_US&amp;offset=0&amp;query=any,contains,991004050679702656","Catalog Record")</f>
        <v>Catalog Record</v>
      </c>
      <c r="AT682" s="6" t="str">
        <f>HYPERLINK("http://www.worldcat.org/oclc/2212761","WorldCat Record")</f>
        <v>WorldCat Record</v>
      </c>
      <c r="AU682" s="3" t="s">
        <v>9013</v>
      </c>
      <c r="AV682" s="3" t="s">
        <v>9014</v>
      </c>
      <c r="AW682" s="3" t="s">
        <v>9015</v>
      </c>
      <c r="AX682" s="3" t="s">
        <v>9015</v>
      </c>
      <c r="AY682" s="3" t="s">
        <v>9016</v>
      </c>
      <c r="AZ682" s="3" t="s">
        <v>74</v>
      </c>
      <c r="BB682" s="3" t="s">
        <v>9017</v>
      </c>
      <c r="BC682" s="3" t="s">
        <v>9018</v>
      </c>
      <c r="BD682" s="3" t="s">
        <v>9019</v>
      </c>
    </row>
    <row r="683" spans="1:56" ht="45.75" customHeight="1" x14ac:dyDescent="0.25">
      <c r="A683" s="7" t="s">
        <v>58</v>
      </c>
      <c r="B683" s="2" t="s">
        <v>9020</v>
      </c>
      <c r="C683" s="2" t="s">
        <v>9021</v>
      </c>
      <c r="D683" s="2" t="s">
        <v>9022</v>
      </c>
      <c r="F683" s="3" t="s">
        <v>58</v>
      </c>
      <c r="G683" s="3" t="s">
        <v>59</v>
      </c>
      <c r="H683" s="3" t="s">
        <v>58</v>
      </c>
      <c r="I683" s="3" t="s">
        <v>58</v>
      </c>
      <c r="J683" s="3" t="s">
        <v>60</v>
      </c>
      <c r="K683" s="2" t="s">
        <v>9023</v>
      </c>
      <c r="L683" s="2" t="s">
        <v>9024</v>
      </c>
      <c r="M683" s="3" t="s">
        <v>131</v>
      </c>
      <c r="O683" s="3" t="s">
        <v>65</v>
      </c>
      <c r="P683" s="3" t="s">
        <v>132</v>
      </c>
      <c r="R683" s="3" t="s">
        <v>67</v>
      </c>
      <c r="S683" s="4">
        <v>2</v>
      </c>
      <c r="T683" s="4">
        <v>2</v>
      </c>
      <c r="U683" s="5" t="s">
        <v>265</v>
      </c>
      <c r="V683" s="5" t="s">
        <v>265</v>
      </c>
      <c r="W683" s="5" t="s">
        <v>265</v>
      </c>
      <c r="X683" s="5" t="s">
        <v>265</v>
      </c>
      <c r="Y683" s="4">
        <v>406</v>
      </c>
      <c r="Z683" s="4">
        <v>339</v>
      </c>
      <c r="AA683" s="4">
        <v>345</v>
      </c>
      <c r="AB683" s="4">
        <v>2</v>
      </c>
      <c r="AC683" s="4">
        <v>2</v>
      </c>
      <c r="AD683" s="4">
        <v>21</v>
      </c>
      <c r="AE683" s="4">
        <v>21</v>
      </c>
      <c r="AF683" s="4">
        <v>8</v>
      </c>
      <c r="AG683" s="4">
        <v>8</v>
      </c>
      <c r="AH683" s="4">
        <v>5</v>
      </c>
      <c r="AI683" s="4">
        <v>5</v>
      </c>
      <c r="AJ683" s="4">
        <v>7</v>
      </c>
      <c r="AK683" s="4">
        <v>7</v>
      </c>
      <c r="AL683" s="4">
        <v>1</v>
      </c>
      <c r="AM683" s="4">
        <v>1</v>
      </c>
      <c r="AN683" s="4">
        <v>6</v>
      </c>
      <c r="AO683" s="4">
        <v>6</v>
      </c>
      <c r="AP683" s="3" t="s">
        <v>58</v>
      </c>
      <c r="AQ683" s="3" t="s">
        <v>58</v>
      </c>
      <c r="AS683" s="6" t="str">
        <f>HYPERLINK("https://creighton-primo.hosted.exlibrisgroup.com/primo-explore/search?tab=default_tab&amp;search_scope=EVERYTHING&amp;vid=01CRU&amp;lang=en_US&amp;offset=0&amp;query=any,contains,991004958059702656","Catalog Record")</f>
        <v>Catalog Record</v>
      </c>
      <c r="AT683" s="6" t="str">
        <f>HYPERLINK("http://www.worldcat.org/oclc/61758575","WorldCat Record")</f>
        <v>WorldCat Record</v>
      </c>
      <c r="AU683" s="3" t="s">
        <v>9025</v>
      </c>
      <c r="AV683" s="3" t="s">
        <v>9026</v>
      </c>
      <c r="AW683" s="3" t="s">
        <v>9027</v>
      </c>
      <c r="AX683" s="3" t="s">
        <v>9027</v>
      </c>
      <c r="AY683" s="3" t="s">
        <v>9028</v>
      </c>
      <c r="AZ683" s="3" t="s">
        <v>74</v>
      </c>
      <c r="BB683" s="3" t="s">
        <v>9029</v>
      </c>
      <c r="BC683" s="3" t="s">
        <v>9030</v>
      </c>
      <c r="BD683" s="3" t="s">
        <v>9031</v>
      </c>
    </row>
    <row r="684" spans="1:56" ht="45.75" customHeight="1" x14ac:dyDescent="0.25">
      <c r="A684" s="7" t="s">
        <v>58</v>
      </c>
      <c r="B684" s="2" t="s">
        <v>9032</v>
      </c>
      <c r="C684" s="2" t="s">
        <v>9033</v>
      </c>
      <c r="D684" s="2" t="s">
        <v>9034</v>
      </c>
      <c r="F684" s="3" t="s">
        <v>58</v>
      </c>
      <c r="G684" s="3" t="s">
        <v>59</v>
      </c>
      <c r="H684" s="3" t="s">
        <v>58</v>
      </c>
      <c r="I684" s="3" t="s">
        <v>58</v>
      </c>
      <c r="J684" s="3" t="s">
        <v>60</v>
      </c>
      <c r="K684" s="2" t="s">
        <v>9035</v>
      </c>
      <c r="L684" s="2" t="s">
        <v>9036</v>
      </c>
      <c r="M684" s="3" t="s">
        <v>1254</v>
      </c>
      <c r="O684" s="3" t="s">
        <v>65</v>
      </c>
      <c r="P684" s="3" t="s">
        <v>529</v>
      </c>
      <c r="Q684" s="2" t="s">
        <v>9037</v>
      </c>
      <c r="R684" s="3" t="s">
        <v>67</v>
      </c>
      <c r="S684" s="4">
        <v>16</v>
      </c>
      <c r="T684" s="4">
        <v>16</v>
      </c>
      <c r="U684" s="5" t="s">
        <v>1033</v>
      </c>
      <c r="V684" s="5" t="s">
        <v>1033</v>
      </c>
      <c r="W684" s="5" t="s">
        <v>2001</v>
      </c>
      <c r="X684" s="5" t="s">
        <v>2001</v>
      </c>
      <c r="Y684" s="4">
        <v>128</v>
      </c>
      <c r="Z684" s="4">
        <v>126</v>
      </c>
      <c r="AA684" s="4">
        <v>128</v>
      </c>
      <c r="AB684" s="4">
        <v>1</v>
      </c>
      <c r="AC684" s="4">
        <v>1</v>
      </c>
      <c r="AD684" s="4">
        <v>8</v>
      </c>
      <c r="AE684" s="4">
        <v>8</v>
      </c>
      <c r="AF684" s="4">
        <v>2</v>
      </c>
      <c r="AG684" s="4">
        <v>2</v>
      </c>
      <c r="AH684" s="4">
        <v>3</v>
      </c>
      <c r="AI684" s="4">
        <v>3</v>
      </c>
      <c r="AJ684" s="4">
        <v>6</v>
      </c>
      <c r="AK684" s="4">
        <v>6</v>
      </c>
      <c r="AL684" s="4">
        <v>0</v>
      </c>
      <c r="AM684" s="4">
        <v>0</v>
      </c>
      <c r="AN684" s="4">
        <v>0</v>
      </c>
      <c r="AO684" s="4">
        <v>0</v>
      </c>
      <c r="AP684" s="3" t="s">
        <v>58</v>
      </c>
      <c r="AQ684" s="3" t="s">
        <v>87</v>
      </c>
      <c r="AR684" s="6" t="str">
        <f>HYPERLINK("http://catalog.hathitrust.org/Record/000492570","HathiTrust Record")</f>
        <v>HathiTrust Record</v>
      </c>
      <c r="AS684" s="6" t="str">
        <f>HYPERLINK("https://creighton-primo.hosted.exlibrisgroup.com/primo-explore/search?tab=default_tab&amp;search_scope=EVERYTHING&amp;vid=01CRU&amp;lang=en_US&amp;offset=0&amp;query=any,contains,991000599819702656","Catalog Record")</f>
        <v>Catalog Record</v>
      </c>
      <c r="AT684" s="6" t="str">
        <f>HYPERLINK("http://www.worldcat.org/oclc/13313084","WorldCat Record")</f>
        <v>WorldCat Record</v>
      </c>
      <c r="AU684" s="3" t="s">
        <v>9038</v>
      </c>
      <c r="AV684" s="3" t="s">
        <v>9039</v>
      </c>
      <c r="AW684" s="3" t="s">
        <v>9040</v>
      </c>
      <c r="AX684" s="3" t="s">
        <v>9040</v>
      </c>
      <c r="AY684" s="3" t="s">
        <v>9041</v>
      </c>
      <c r="AZ684" s="3" t="s">
        <v>74</v>
      </c>
      <c r="BB684" s="3" t="s">
        <v>9042</v>
      </c>
      <c r="BC684" s="3" t="s">
        <v>9043</v>
      </c>
      <c r="BD684" s="3" t="s">
        <v>9044</v>
      </c>
    </row>
    <row r="685" spans="1:56" ht="45.75" customHeight="1" x14ac:dyDescent="0.25">
      <c r="A685" s="7" t="s">
        <v>58</v>
      </c>
      <c r="B685" s="2" t="s">
        <v>9045</v>
      </c>
      <c r="C685" s="2" t="s">
        <v>9046</v>
      </c>
      <c r="D685" s="2" t="s">
        <v>9047</v>
      </c>
      <c r="F685" s="3" t="s">
        <v>58</v>
      </c>
      <c r="G685" s="3" t="s">
        <v>59</v>
      </c>
      <c r="H685" s="3" t="s">
        <v>58</v>
      </c>
      <c r="I685" s="3" t="s">
        <v>58</v>
      </c>
      <c r="J685" s="3" t="s">
        <v>60</v>
      </c>
      <c r="K685" s="2" t="s">
        <v>9048</v>
      </c>
      <c r="L685" s="2" t="s">
        <v>9049</v>
      </c>
      <c r="M685" s="3" t="s">
        <v>63</v>
      </c>
      <c r="O685" s="3" t="s">
        <v>65</v>
      </c>
      <c r="P685" s="3" t="s">
        <v>84</v>
      </c>
      <c r="R685" s="3" t="s">
        <v>67</v>
      </c>
      <c r="S685" s="4">
        <v>2</v>
      </c>
      <c r="T685" s="4">
        <v>2</v>
      </c>
      <c r="U685" s="5" t="s">
        <v>6861</v>
      </c>
      <c r="V685" s="5" t="s">
        <v>6861</v>
      </c>
      <c r="W685" s="5" t="s">
        <v>6912</v>
      </c>
      <c r="X685" s="5" t="s">
        <v>6912</v>
      </c>
      <c r="Y685" s="4">
        <v>1272</v>
      </c>
      <c r="Z685" s="4">
        <v>1235</v>
      </c>
      <c r="AA685" s="4">
        <v>1422</v>
      </c>
      <c r="AB685" s="4">
        <v>12</v>
      </c>
      <c r="AC685" s="4">
        <v>14</v>
      </c>
      <c r="AD685" s="4">
        <v>4</v>
      </c>
      <c r="AE685" s="4">
        <v>7</v>
      </c>
      <c r="AF685" s="4">
        <v>1</v>
      </c>
      <c r="AG685" s="4">
        <v>3</v>
      </c>
      <c r="AH685" s="4">
        <v>0</v>
      </c>
      <c r="AI685" s="4">
        <v>0</v>
      </c>
      <c r="AJ685" s="4">
        <v>2</v>
      </c>
      <c r="AK685" s="4">
        <v>2</v>
      </c>
      <c r="AL685" s="4">
        <v>1</v>
      </c>
      <c r="AM685" s="4">
        <v>2</v>
      </c>
      <c r="AN685" s="4">
        <v>0</v>
      </c>
      <c r="AO685" s="4">
        <v>0</v>
      </c>
      <c r="AP685" s="3" t="s">
        <v>58</v>
      </c>
      <c r="AQ685" s="3" t="s">
        <v>58</v>
      </c>
      <c r="AS685" s="6" t="str">
        <f>HYPERLINK("https://creighton-primo.hosted.exlibrisgroup.com/primo-explore/search?tab=default_tab&amp;search_scope=EVERYTHING&amp;vid=01CRU&amp;lang=en_US&amp;offset=0&amp;query=any,contains,991004531219702656","Catalog Record")</f>
        <v>Catalog Record</v>
      </c>
      <c r="AT685" s="6" t="str">
        <f>HYPERLINK("http://www.worldcat.org/oclc/56085716","WorldCat Record")</f>
        <v>WorldCat Record</v>
      </c>
      <c r="AU685" s="3" t="s">
        <v>9050</v>
      </c>
      <c r="AV685" s="3" t="s">
        <v>9051</v>
      </c>
      <c r="AW685" s="3" t="s">
        <v>9052</v>
      </c>
      <c r="AX685" s="3" t="s">
        <v>9052</v>
      </c>
      <c r="AY685" s="3" t="s">
        <v>9053</v>
      </c>
      <c r="AZ685" s="3" t="s">
        <v>74</v>
      </c>
      <c r="BB685" s="3" t="s">
        <v>9054</v>
      </c>
      <c r="BC685" s="3" t="s">
        <v>9055</v>
      </c>
      <c r="BD685" s="3" t="s">
        <v>9056</v>
      </c>
    </row>
    <row r="686" spans="1:56" ht="45.75" customHeight="1" x14ac:dyDescent="0.25">
      <c r="A686" s="7" t="s">
        <v>58</v>
      </c>
      <c r="B686" s="2" t="s">
        <v>9057</v>
      </c>
      <c r="C686" s="2" t="s">
        <v>9058</v>
      </c>
      <c r="D686" s="2" t="s">
        <v>9059</v>
      </c>
      <c r="F686" s="3" t="s">
        <v>58</v>
      </c>
      <c r="G686" s="3" t="s">
        <v>59</v>
      </c>
      <c r="H686" s="3" t="s">
        <v>58</v>
      </c>
      <c r="I686" s="3" t="s">
        <v>58</v>
      </c>
      <c r="J686" s="3" t="s">
        <v>60</v>
      </c>
      <c r="K686" s="2" t="s">
        <v>9060</v>
      </c>
      <c r="L686" s="2" t="s">
        <v>9061</v>
      </c>
      <c r="M686" s="3" t="s">
        <v>2104</v>
      </c>
      <c r="O686" s="3" t="s">
        <v>65</v>
      </c>
      <c r="P686" s="3" t="s">
        <v>336</v>
      </c>
      <c r="Q686" s="2" t="s">
        <v>9062</v>
      </c>
      <c r="R686" s="3" t="s">
        <v>67</v>
      </c>
      <c r="S686" s="4">
        <v>3</v>
      </c>
      <c r="T686" s="4">
        <v>3</v>
      </c>
      <c r="U686" s="5" t="s">
        <v>9063</v>
      </c>
      <c r="V686" s="5" t="s">
        <v>9063</v>
      </c>
      <c r="W686" s="5" t="s">
        <v>1487</v>
      </c>
      <c r="X686" s="5" t="s">
        <v>1487</v>
      </c>
      <c r="Y686" s="4">
        <v>1200</v>
      </c>
      <c r="Z686" s="4">
        <v>1012</v>
      </c>
      <c r="AA686" s="4">
        <v>1020</v>
      </c>
      <c r="AB686" s="4">
        <v>13</v>
      </c>
      <c r="AC686" s="4">
        <v>13</v>
      </c>
      <c r="AD686" s="4">
        <v>45</v>
      </c>
      <c r="AE686" s="4">
        <v>45</v>
      </c>
      <c r="AF686" s="4">
        <v>16</v>
      </c>
      <c r="AG686" s="4">
        <v>16</v>
      </c>
      <c r="AH686" s="4">
        <v>7</v>
      </c>
      <c r="AI686" s="4">
        <v>7</v>
      </c>
      <c r="AJ686" s="4">
        <v>17</v>
      </c>
      <c r="AK686" s="4">
        <v>17</v>
      </c>
      <c r="AL686" s="4">
        <v>8</v>
      </c>
      <c r="AM686" s="4">
        <v>8</v>
      </c>
      <c r="AN686" s="4">
        <v>6</v>
      </c>
      <c r="AO686" s="4">
        <v>6</v>
      </c>
      <c r="AP686" s="3" t="s">
        <v>58</v>
      </c>
      <c r="AQ686" s="3" t="s">
        <v>87</v>
      </c>
      <c r="AR686" s="6" t="str">
        <f>HYPERLINK("http://catalog.hathitrust.org/Record/001134336","HathiTrust Record")</f>
        <v>HathiTrust Record</v>
      </c>
      <c r="AS686" s="6" t="str">
        <f>HYPERLINK("https://creighton-primo.hosted.exlibrisgroup.com/primo-explore/search?tab=default_tab&amp;search_scope=EVERYTHING&amp;vid=01CRU&amp;lang=en_US&amp;offset=0&amp;query=any,contains,991002084579702656","Catalog Record")</f>
        <v>Catalog Record</v>
      </c>
      <c r="AT686" s="6" t="str">
        <f>HYPERLINK("http://www.worldcat.org/oclc/265058","WorldCat Record")</f>
        <v>WorldCat Record</v>
      </c>
      <c r="AU686" s="3" t="s">
        <v>9064</v>
      </c>
      <c r="AV686" s="3" t="s">
        <v>9065</v>
      </c>
      <c r="AW686" s="3" t="s">
        <v>9066</v>
      </c>
      <c r="AX686" s="3" t="s">
        <v>9066</v>
      </c>
      <c r="AY686" s="3" t="s">
        <v>9067</v>
      </c>
      <c r="AZ686" s="3" t="s">
        <v>74</v>
      </c>
      <c r="BC686" s="3" t="s">
        <v>9068</v>
      </c>
      <c r="BD686" s="3" t="s">
        <v>9069</v>
      </c>
    </row>
    <row r="687" spans="1:56" ht="45.75" customHeight="1" x14ac:dyDescent="0.25">
      <c r="A687" s="7" t="s">
        <v>58</v>
      </c>
      <c r="B687" s="2" t="s">
        <v>9070</v>
      </c>
      <c r="C687" s="2" t="s">
        <v>9071</v>
      </c>
      <c r="D687" s="2" t="s">
        <v>9072</v>
      </c>
      <c r="F687" s="3" t="s">
        <v>58</v>
      </c>
      <c r="G687" s="3" t="s">
        <v>59</v>
      </c>
      <c r="H687" s="3" t="s">
        <v>58</v>
      </c>
      <c r="I687" s="3" t="s">
        <v>58</v>
      </c>
      <c r="J687" s="3" t="s">
        <v>60</v>
      </c>
      <c r="K687" s="2" t="s">
        <v>9073</v>
      </c>
      <c r="L687" s="2" t="s">
        <v>9074</v>
      </c>
      <c r="M687" s="3" t="s">
        <v>1367</v>
      </c>
      <c r="O687" s="3" t="s">
        <v>65</v>
      </c>
      <c r="P687" s="3" t="s">
        <v>84</v>
      </c>
      <c r="R687" s="3" t="s">
        <v>67</v>
      </c>
      <c r="S687" s="4">
        <v>6</v>
      </c>
      <c r="T687" s="4">
        <v>6</v>
      </c>
      <c r="U687" s="5" t="s">
        <v>9075</v>
      </c>
      <c r="V687" s="5" t="s">
        <v>9075</v>
      </c>
      <c r="W687" s="5" t="s">
        <v>1487</v>
      </c>
      <c r="X687" s="5" t="s">
        <v>1487</v>
      </c>
      <c r="Y687" s="4">
        <v>737</v>
      </c>
      <c r="Z687" s="4">
        <v>665</v>
      </c>
      <c r="AA687" s="4">
        <v>755</v>
      </c>
      <c r="AB687" s="4">
        <v>4</v>
      </c>
      <c r="AC687" s="4">
        <v>4</v>
      </c>
      <c r="AD687" s="4">
        <v>28</v>
      </c>
      <c r="AE687" s="4">
        <v>33</v>
      </c>
      <c r="AF687" s="4">
        <v>8</v>
      </c>
      <c r="AG687" s="4">
        <v>9</v>
      </c>
      <c r="AH687" s="4">
        <v>5</v>
      </c>
      <c r="AI687" s="4">
        <v>8</v>
      </c>
      <c r="AJ687" s="4">
        <v>16</v>
      </c>
      <c r="AK687" s="4">
        <v>19</v>
      </c>
      <c r="AL687" s="4">
        <v>3</v>
      </c>
      <c r="AM687" s="4">
        <v>3</v>
      </c>
      <c r="AN687" s="4">
        <v>2</v>
      </c>
      <c r="AO687" s="4">
        <v>2</v>
      </c>
      <c r="AP687" s="3" t="s">
        <v>58</v>
      </c>
      <c r="AQ687" s="3" t="s">
        <v>87</v>
      </c>
      <c r="AR687" s="6" t="str">
        <f>HYPERLINK("http://catalog.hathitrust.org/Record/001134338","HathiTrust Record")</f>
        <v>HathiTrust Record</v>
      </c>
      <c r="AS687" s="6" t="str">
        <f>HYPERLINK("https://creighton-primo.hosted.exlibrisgroup.com/primo-explore/search?tab=default_tab&amp;search_scope=EVERYTHING&amp;vid=01CRU&amp;lang=en_US&amp;offset=0&amp;query=any,contains,991002573959702656","Catalog Record")</f>
        <v>Catalog Record</v>
      </c>
      <c r="AT687" s="6" t="str">
        <f>HYPERLINK("http://www.worldcat.org/oclc/374471","WorldCat Record")</f>
        <v>WorldCat Record</v>
      </c>
      <c r="AU687" s="3" t="s">
        <v>9076</v>
      </c>
      <c r="AV687" s="3" t="s">
        <v>9077</v>
      </c>
      <c r="AW687" s="3" t="s">
        <v>9078</v>
      </c>
      <c r="AX687" s="3" t="s">
        <v>9078</v>
      </c>
      <c r="AY687" s="3" t="s">
        <v>9079</v>
      </c>
      <c r="AZ687" s="3" t="s">
        <v>74</v>
      </c>
      <c r="BC687" s="3" t="s">
        <v>9080</v>
      </c>
      <c r="BD687" s="3" t="s">
        <v>9081</v>
      </c>
    </row>
    <row r="688" spans="1:56" ht="45.75" customHeight="1" x14ac:dyDescent="0.25">
      <c r="A688" s="7" t="s">
        <v>58</v>
      </c>
      <c r="B688" s="2" t="s">
        <v>9082</v>
      </c>
      <c r="C688" s="2" t="s">
        <v>9083</v>
      </c>
      <c r="D688" s="2" t="s">
        <v>9084</v>
      </c>
      <c r="F688" s="3" t="s">
        <v>58</v>
      </c>
      <c r="G688" s="3" t="s">
        <v>59</v>
      </c>
      <c r="H688" s="3" t="s">
        <v>58</v>
      </c>
      <c r="I688" s="3" t="s">
        <v>58</v>
      </c>
      <c r="J688" s="3" t="s">
        <v>60</v>
      </c>
      <c r="K688" s="2" t="s">
        <v>9073</v>
      </c>
      <c r="L688" s="2" t="s">
        <v>9085</v>
      </c>
      <c r="M688" s="3" t="s">
        <v>9086</v>
      </c>
      <c r="N688" s="2" t="s">
        <v>4473</v>
      </c>
      <c r="O688" s="3" t="s">
        <v>65</v>
      </c>
      <c r="P688" s="3" t="s">
        <v>1340</v>
      </c>
      <c r="R688" s="3" t="s">
        <v>67</v>
      </c>
      <c r="S688" s="4">
        <v>4</v>
      </c>
      <c r="T688" s="4">
        <v>4</v>
      </c>
      <c r="U688" s="5" t="s">
        <v>7087</v>
      </c>
      <c r="V688" s="5" t="s">
        <v>7087</v>
      </c>
      <c r="W688" s="5" t="s">
        <v>1487</v>
      </c>
      <c r="X688" s="5" t="s">
        <v>1487</v>
      </c>
      <c r="Y688" s="4">
        <v>459</v>
      </c>
      <c r="Z688" s="4">
        <v>415</v>
      </c>
      <c r="AA688" s="4">
        <v>597</v>
      </c>
      <c r="AB688" s="4">
        <v>3</v>
      </c>
      <c r="AC688" s="4">
        <v>4</v>
      </c>
      <c r="AD688" s="4">
        <v>21</v>
      </c>
      <c r="AE688" s="4">
        <v>29</v>
      </c>
      <c r="AF688" s="4">
        <v>6</v>
      </c>
      <c r="AG688" s="4">
        <v>7</v>
      </c>
      <c r="AH688" s="4">
        <v>5</v>
      </c>
      <c r="AI688" s="4">
        <v>6</v>
      </c>
      <c r="AJ688" s="4">
        <v>7</v>
      </c>
      <c r="AK688" s="4">
        <v>11</v>
      </c>
      <c r="AL688" s="4">
        <v>1</v>
      </c>
      <c r="AM688" s="4">
        <v>2</v>
      </c>
      <c r="AN688" s="4">
        <v>7</v>
      </c>
      <c r="AO688" s="4">
        <v>9</v>
      </c>
      <c r="AP688" s="3" t="s">
        <v>58</v>
      </c>
      <c r="AQ688" s="3" t="s">
        <v>58</v>
      </c>
      <c r="AR688" s="6" t="str">
        <f>HYPERLINK("http://catalog.hathitrust.org/Record/000228901","HathiTrust Record")</f>
        <v>HathiTrust Record</v>
      </c>
      <c r="AS688" s="6" t="str">
        <f>HYPERLINK("https://creighton-primo.hosted.exlibrisgroup.com/primo-explore/search?tab=default_tab&amp;search_scope=EVERYTHING&amp;vid=01CRU&amp;lang=en_US&amp;offset=0&amp;query=any,contains,991002575419702656","Catalog Record")</f>
        <v>Catalog Record</v>
      </c>
      <c r="AT688" s="6" t="str">
        <f>HYPERLINK("http://www.worldcat.org/oclc/374723","WorldCat Record")</f>
        <v>WorldCat Record</v>
      </c>
      <c r="AU688" s="3" t="s">
        <v>9087</v>
      </c>
      <c r="AV688" s="3" t="s">
        <v>9088</v>
      </c>
      <c r="AW688" s="3" t="s">
        <v>9089</v>
      </c>
      <c r="AX688" s="3" t="s">
        <v>9089</v>
      </c>
      <c r="AY688" s="3" t="s">
        <v>9090</v>
      </c>
      <c r="AZ688" s="3" t="s">
        <v>74</v>
      </c>
      <c r="BC688" s="3" t="s">
        <v>9091</v>
      </c>
      <c r="BD688" s="3" t="s">
        <v>9092</v>
      </c>
    </row>
    <row r="689" spans="1:56" ht="45.75" customHeight="1" x14ac:dyDescent="0.25">
      <c r="A689" s="7" t="s">
        <v>58</v>
      </c>
      <c r="B689" s="2" t="s">
        <v>9093</v>
      </c>
      <c r="C689" s="2" t="s">
        <v>9094</v>
      </c>
      <c r="D689" s="2" t="s">
        <v>9095</v>
      </c>
      <c r="F689" s="3" t="s">
        <v>58</v>
      </c>
      <c r="G689" s="3" t="s">
        <v>59</v>
      </c>
      <c r="H689" s="3" t="s">
        <v>58</v>
      </c>
      <c r="I689" s="3" t="s">
        <v>58</v>
      </c>
      <c r="J689" s="3" t="s">
        <v>60</v>
      </c>
      <c r="K689" s="2" t="s">
        <v>6371</v>
      </c>
      <c r="L689" s="2" t="s">
        <v>9096</v>
      </c>
      <c r="M689" s="3" t="s">
        <v>1485</v>
      </c>
      <c r="O689" s="3" t="s">
        <v>65</v>
      </c>
      <c r="P689" s="3" t="s">
        <v>132</v>
      </c>
      <c r="Q689" s="2" t="s">
        <v>9097</v>
      </c>
      <c r="R689" s="3" t="s">
        <v>67</v>
      </c>
      <c r="S689" s="4">
        <v>15</v>
      </c>
      <c r="T689" s="4">
        <v>15</v>
      </c>
      <c r="U689" s="5" t="s">
        <v>9098</v>
      </c>
      <c r="V689" s="5" t="s">
        <v>9098</v>
      </c>
      <c r="W689" s="5" t="s">
        <v>3794</v>
      </c>
      <c r="X689" s="5" t="s">
        <v>3794</v>
      </c>
      <c r="Y689" s="4">
        <v>449</v>
      </c>
      <c r="Z689" s="4">
        <v>423</v>
      </c>
      <c r="AA689" s="4">
        <v>643</v>
      </c>
      <c r="AB689" s="4">
        <v>6</v>
      </c>
      <c r="AC689" s="4">
        <v>7</v>
      </c>
      <c r="AD689" s="4">
        <v>17</v>
      </c>
      <c r="AE689" s="4">
        <v>31</v>
      </c>
      <c r="AF689" s="4">
        <v>4</v>
      </c>
      <c r="AG689" s="4">
        <v>7</v>
      </c>
      <c r="AH689" s="4">
        <v>4</v>
      </c>
      <c r="AI689" s="4">
        <v>4</v>
      </c>
      <c r="AJ689" s="4">
        <v>9</v>
      </c>
      <c r="AK689" s="4">
        <v>12</v>
      </c>
      <c r="AL689" s="4">
        <v>3</v>
      </c>
      <c r="AM689" s="4">
        <v>4</v>
      </c>
      <c r="AN689" s="4">
        <v>0</v>
      </c>
      <c r="AO689" s="4">
        <v>8</v>
      </c>
      <c r="AP689" s="3" t="s">
        <v>58</v>
      </c>
      <c r="AQ689" s="3" t="s">
        <v>58</v>
      </c>
      <c r="AS689" s="6" t="str">
        <f>HYPERLINK("https://creighton-primo.hosted.exlibrisgroup.com/primo-explore/search?tab=default_tab&amp;search_scope=EVERYTHING&amp;vid=01CRU&amp;lang=en_US&amp;offset=0&amp;query=any,contains,991003969559702656","Catalog Record")</f>
        <v>Catalog Record</v>
      </c>
      <c r="AT689" s="6" t="str">
        <f>HYPERLINK("http://www.worldcat.org/oclc/1991309","WorldCat Record")</f>
        <v>WorldCat Record</v>
      </c>
      <c r="AU689" s="3" t="s">
        <v>9099</v>
      </c>
      <c r="AV689" s="3" t="s">
        <v>9100</v>
      </c>
      <c r="AW689" s="3" t="s">
        <v>9101</v>
      </c>
      <c r="AX689" s="3" t="s">
        <v>9101</v>
      </c>
      <c r="AY689" s="3" t="s">
        <v>9102</v>
      </c>
      <c r="AZ689" s="3" t="s">
        <v>74</v>
      </c>
      <c r="BB689" s="3" t="s">
        <v>9103</v>
      </c>
      <c r="BC689" s="3" t="s">
        <v>9104</v>
      </c>
      <c r="BD689" s="3" t="s">
        <v>9105</v>
      </c>
    </row>
    <row r="690" spans="1:56" ht="45.75" customHeight="1" x14ac:dyDescent="0.25">
      <c r="A690" s="7" t="s">
        <v>58</v>
      </c>
      <c r="B690" s="2" t="s">
        <v>9106</v>
      </c>
      <c r="C690" s="2" t="s">
        <v>9107</v>
      </c>
      <c r="D690" s="2" t="s">
        <v>9108</v>
      </c>
      <c r="F690" s="3" t="s">
        <v>58</v>
      </c>
      <c r="G690" s="3" t="s">
        <v>59</v>
      </c>
      <c r="H690" s="3" t="s">
        <v>87</v>
      </c>
      <c r="I690" s="3" t="s">
        <v>58</v>
      </c>
      <c r="J690" s="3" t="s">
        <v>60</v>
      </c>
      <c r="K690" s="2" t="s">
        <v>9109</v>
      </c>
      <c r="L690" s="2" t="s">
        <v>9110</v>
      </c>
      <c r="M690" s="3" t="s">
        <v>307</v>
      </c>
      <c r="O690" s="3" t="s">
        <v>65</v>
      </c>
      <c r="P690" s="3" t="s">
        <v>84</v>
      </c>
      <c r="R690" s="3" t="s">
        <v>67</v>
      </c>
      <c r="S690" s="4">
        <v>5</v>
      </c>
      <c r="T690" s="4">
        <v>6</v>
      </c>
      <c r="U690" s="5" t="s">
        <v>3750</v>
      </c>
      <c r="V690" s="5" t="s">
        <v>3750</v>
      </c>
      <c r="W690" s="5" t="s">
        <v>9111</v>
      </c>
      <c r="X690" s="5" t="s">
        <v>9112</v>
      </c>
      <c r="Y690" s="4">
        <v>670</v>
      </c>
      <c r="Z690" s="4">
        <v>645</v>
      </c>
      <c r="AA690" s="4">
        <v>693</v>
      </c>
      <c r="AB690" s="4">
        <v>11</v>
      </c>
      <c r="AC690" s="4">
        <v>11</v>
      </c>
      <c r="AD690" s="4">
        <v>15</v>
      </c>
      <c r="AE690" s="4">
        <v>15</v>
      </c>
      <c r="AF690" s="4">
        <v>1</v>
      </c>
      <c r="AG690" s="4">
        <v>1</v>
      </c>
      <c r="AH690" s="4">
        <v>3</v>
      </c>
      <c r="AI690" s="4">
        <v>3</v>
      </c>
      <c r="AJ690" s="4">
        <v>7</v>
      </c>
      <c r="AK690" s="4">
        <v>7</v>
      </c>
      <c r="AL690" s="4">
        <v>4</v>
      </c>
      <c r="AM690" s="4">
        <v>4</v>
      </c>
      <c r="AN690" s="4">
        <v>3</v>
      </c>
      <c r="AO690" s="4">
        <v>3</v>
      </c>
      <c r="AP690" s="3" t="s">
        <v>58</v>
      </c>
      <c r="AQ690" s="3" t="s">
        <v>58</v>
      </c>
      <c r="AS690" s="6" t="str">
        <f>HYPERLINK("https://creighton-primo.hosted.exlibrisgroup.com/primo-explore/search?tab=default_tab&amp;search_scope=EVERYTHING&amp;vid=01CRU&amp;lang=en_US&amp;offset=0&amp;query=any,contains,991001666479702656","Catalog Record")</f>
        <v>Catalog Record</v>
      </c>
      <c r="AT690" s="6" t="str">
        <f>HYPERLINK("http://www.worldcat.org/oclc/32274506","WorldCat Record")</f>
        <v>WorldCat Record</v>
      </c>
      <c r="AU690" s="3" t="s">
        <v>9113</v>
      </c>
      <c r="AV690" s="3" t="s">
        <v>9114</v>
      </c>
      <c r="AW690" s="3" t="s">
        <v>9115</v>
      </c>
      <c r="AX690" s="3" t="s">
        <v>9115</v>
      </c>
      <c r="AY690" s="3" t="s">
        <v>9116</v>
      </c>
      <c r="AZ690" s="3" t="s">
        <v>74</v>
      </c>
      <c r="BB690" s="3" t="s">
        <v>9117</v>
      </c>
      <c r="BC690" s="3" t="s">
        <v>9118</v>
      </c>
      <c r="BD690" s="3" t="s">
        <v>9119</v>
      </c>
    </row>
    <row r="691" spans="1:56" ht="45.75" customHeight="1" x14ac:dyDescent="0.25">
      <c r="A691" s="7" t="s">
        <v>58</v>
      </c>
      <c r="B691" s="2" t="s">
        <v>9120</v>
      </c>
      <c r="C691" s="2" t="s">
        <v>9121</v>
      </c>
      <c r="D691" s="2" t="s">
        <v>9122</v>
      </c>
      <c r="F691" s="3" t="s">
        <v>58</v>
      </c>
      <c r="G691" s="3" t="s">
        <v>59</v>
      </c>
      <c r="H691" s="3" t="s">
        <v>58</v>
      </c>
      <c r="I691" s="3" t="s">
        <v>58</v>
      </c>
      <c r="J691" s="3" t="s">
        <v>60</v>
      </c>
      <c r="K691" s="2" t="s">
        <v>9123</v>
      </c>
      <c r="L691" s="2" t="s">
        <v>9124</v>
      </c>
      <c r="M691" s="3" t="s">
        <v>147</v>
      </c>
      <c r="N691" s="2" t="s">
        <v>543</v>
      </c>
      <c r="O691" s="3" t="s">
        <v>65</v>
      </c>
      <c r="P691" s="3" t="s">
        <v>84</v>
      </c>
      <c r="R691" s="3" t="s">
        <v>67</v>
      </c>
      <c r="S691" s="4">
        <v>3</v>
      </c>
      <c r="T691" s="4">
        <v>3</v>
      </c>
      <c r="U691" s="5" t="s">
        <v>9125</v>
      </c>
      <c r="V691" s="5" t="s">
        <v>9125</v>
      </c>
      <c r="W691" s="5" t="s">
        <v>9125</v>
      </c>
      <c r="X691" s="5" t="s">
        <v>9125</v>
      </c>
      <c r="Y691" s="4">
        <v>432</v>
      </c>
      <c r="Z691" s="4">
        <v>409</v>
      </c>
      <c r="AA691" s="4">
        <v>419</v>
      </c>
      <c r="AB691" s="4">
        <v>3</v>
      </c>
      <c r="AC691" s="4">
        <v>3</v>
      </c>
      <c r="AD691" s="4">
        <v>10</v>
      </c>
      <c r="AE691" s="4">
        <v>10</v>
      </c>
      <c r="AF691" s="4">
        <v>2</v>
      </c>
      <c r="AG691" s="4">
        <v>2</v>
      </c>
      <c r="AH691" s="4">
        <v>3</v>
      </c>
      <c r="AI691" s="4">
        <v>3</v>
      </c>
      <c r="AJ691" s="4">
        <v>6</v>
      </c>
      <c r="AK691" s="4">
        <v>6</v>
      </c>
      <c r="AL691" s="4">
        <v>0</v>
      </c>
      <c r="AM691" s="4">
        <v>0</v>
      </c>
      <c r="AN691" s="4">
        <v>3</v>
      </c>
      <c r="AO691" s="4">
        <v>3</v>
      </c>
      <c r="AP691" s="3" t="s">
        <v>58</v>
      </c>
      <c r="AQ691" s="3" t="s">
        <v>58</v>
      </c>
      <c r="AS691" s="6" t="str">
        <f>HYPERLINK("https://creighton-primo.hosted.exlibrisgroup.com/primo-explore/search?tab=default_tab&amp;search_scope=EVERYTHING&amp;vid=01CRU&amp;lang=en_US&amp;offset=0&amp;query=any,contains,991004557309702656","Catalog Record")</f>
        <v>Catalog Record</v>
      </c>
      <c r="AT691" s="6" t="str">
        <f>HYPERLINK("http://www.worldcat.org/oclc/55981652","WorldCat Record")</f>
        <v>WorldCat Record</v>
      </c>
      <c r="AU691" s="3" t="s">
        <v>9126</v>
      </c>
      <c r="AV691" s="3" t="s">
        <v>9127</v>
      </c>
      <c r="AW691" s="3" t="s">
        <v>9128</v>
      </c>
      <c r="AX691" s="3" t="s">
        <v>9128</v>
      </c>
      <c r="AY691" s="3" t="s">
        <v>9129</v>
      </c>
      <c r="AZ691" s="3" t="s">
        <v>74</v>
      </c>
      <c r="BB691" s="3" t="s">
        <v>9130</v>
      </c>
      <c r="BC691" s="3" t="s">
        <v>9131</v>
      </c>
      <c r="BD691" s="3" t="s">
        <v>9132</v>
      </c>
    </row>
    <row r="692" spans="1:56" ht="45.75" customHeight="1" x14ac:dyDescent="0.25">
      <c r="A692" s="7" t="s">
        <v>58</v>
      </c>
      <c r="B692" s="2" t="s">
        <v>9133</v>
      </c>
      <c r="C692" s="2" t="s">
        <v>9134</v>
      </c>
      <c r="D692" s="2" t="s">
        <v>9135</v>
      </c>
      <c r="F692" s="3" t="s">
        <v>58</v>
      </c>
      <c r="G692" s="3" t="s">
        <v>59</v>
      </c>
      <c r="H692" s="3" t="s">
        <v>58</v>
      </c>
      <c r="I692" s="3" t="s">
        <v>58</v>
      </c>
      <c r="J692" s="3" t="s">
        <v>60</v>
      </c>
      <c r="K692" s="2" t="s">
        <v>9136</v>
      </c>
      <c r="L692" s="2" t="s">
        <v>9137</v>
      </c>
      <c r="M692" s="3" t="s">
        <v>63</v>
      </c>
      <c r="O692" s="3" t="s">
        <v>65</v>
      </c>
      <c r="P692" s="3" t="s">
        <v>9138</v>
      </c>
      <c r="R692" s="3" t="s">
        <v>67</v>
      </c>
      <c r="S692" s="4">
        <v>3</v>
      </c>
      <c r="T692" s="4">
        <v>3</v>
      </c>
      <c r="U692" s="5" t="s">
        <v>9139</v>
      </c>
      <c r="V692" s="5" t="s">
        <v>9139</v>
      </c>
      <c r="W692" s="5" t="s">
        <v>9140</v>
      </c>
      <c r="X692" s="5" t="s">
        <v>9140</v>
      </c>
      <c r="Y692" s="4">
        <v>25</v>
      </c>
      <c r="Z692" s="4">
        <v>25</v>
      </c>
      <c r="AA692" s="4">
        <v>26</v>
      </c>
      <c r="AB692" s="4">
        <v>2</v>
      </c>
      <c r="AC692" s="4">
        <v>2</v>
      </c>
      <c r="AD692" s="4">
        <v>1</v>
      </c>
      <c r="AE692" s="4">
        <v>1</v>
      </c>
      <c r="AF692" s="4">
        <v>0</v>
      </c>
      <c r="AG692" s="4">
        <v>0</v>
      </c>
      <c r="AH692" s="4">
        <v>0</v>
      </c>
      <c r="AI692" s="4">
        <v>0</v>
      </c>
      <c r="AJ692" s="4">
        <v>1</v>
      </c>
      <c r="AK692" s="4">
        <v>1</v>
      </c>
      <c r="AL692" s="4">
        <v>0</v>
      </c>
      <c r="AM692" s="4">
        <v>0</v>
      </c>
      <c r="AN692" s="4">
        <v>0</v>
      </c>
      <c r="AO692" s="4">
        <v>0</v>
      </c>
      <c r="AP692" s="3" t="s">
        <v>58</v>
      </c>
      <c r="AQ692" s="3" t="s">
        <v>58</v>
      </c>
      <c r="AS692" s="6" t="str">
        <f>HYPERLINK("https://creighton-primo.hosted.exlibrisgroup.com/primo-explore/search?tab=default_tab&amp;search_scope=EVERYTHING&amp;vid=01CRU&amp;lang=en_US&amp;offset=0&amp;query=any,contains,991004769549702656","Catalog Record")</f>
        <v>Catalog Record</v>
      </c>
      <c r="AT692" s="6" t="str">
        <f>HYPERLINK("http://www.worldcat.org/oclc/62199420","WorldCat Record")</f>
        <v>WorldCat Record</v>
      </c>
      <c r="AU692" s="3" t="s">
        <v>9141</v>
      </c>
      <c r="AV692" s="3" t="s">
        <v>9142</v>
      </c>
      <c r="AW692" s="3" t="s">
        <v>9143</v>
      </c>
      <c r="AX692" s="3" t="s">
        <v>9143</v>
      </c>
      <c r="AY692" s="3" t="s">
        <v>9144</v>
      </c>
      <c r="AZ692" s="3" t="s">
        <v>74</v>
      </c>
      <c r="BB692" s="3" t="s">
        <v>9145</v>
      </c>
      <c r="BC692" s="3" t="s">
        <v>9146</v>
      </c>
      <c r="BD692" s="3" t="s">
        <v>9147</v>
      </c>
    </row>
    <row r="693" spans="1:56" ht="45.75" customHeight="1" x14ac:dyDescent="0.25">
      <c r="A693" s="7" t="s">
        <v>58</v>
      </c>
      <c r="B693" s="2" t="s">
        <v>9148</v>
      </c>
      <c r="C693" s="2" t="s">
        <v>9149</v>
      </c>
      <c r="D693" s="2" t="s">
        <v>9150</v>
      </c>
      <c r="F693" s="3" t="s">
        <v>58</v>
      </c>
      <c r="G693" s="3" t="s">
        <v>59</v>
      </c>
      <c r="H693" s="3" t="s">
        <v>58</v>
      </c>
      <c r="I693" s="3" t="s">
        <v>58</v>
      </c>
      <c r="J693" s="3" t="s">
        <v>60</v>
      </c>
      <c r="K693" s="2" t="s">
        <v>9151</v>
      </c>
      <c r="L693" s="2" t="s">
        <v>9152</v>
      </c>
      <c r="M693" s="3" t="s">
        <v>307</v>
      </c>
      <c r="N693" s="2" t="s">
        <v>543</v>
      </c>
      <c r="O693" s="3" t="s">
        <v>65</v>
      </c>
      <c r="P693" s="3" t="s">
        <v>84</v>
      </c>
      <c r="R693" s="3" t="s">
        <v>67</v>
      </c>
      <c r="S693" s="4">
        <v>4</v>
      </c>
      <c r="T693" s="4">
        <v>4</v>
      </c>
      <c r="U693" s="5" t="s">
        <v>9153</v>
      </c>
      <c r="V693" s="5" t="s">
        <v>9153</v>
      </c>
      <c r="W693" s="5" t="s">
        <v>9111</v>
      </c>
      <c r="X693" s="5" t="s">
        <v>9111</v>
      </c>
      <c r="Y693" s="4">
        <v>441</v>
      </c>
      <c r="Z693" s="4">
        <v>428</v>
      </c>
      <c r="AA693" s="4">
        <v>441</v>
      </c>
      <c r="AB693" s="4">
        <v>4</v>
      </c>
      <c r="AC693" s="4">
        <v>4</v>
      </c>
      <c r="AD693" s="4">
        <v>14</v>
      </c>
      <c r="AE693" s="4">
        <v>14</v>
      </c>
      <c r="AF693" s="4">
        <v>5</v>
      </c>
      <c r="AG693" s="4">
        <v>5</v>
      </c>
      <c r="AH693" s="4">
        <v>2</v>
      </c>
      <c r="AI693" s="4">
        <v>2</v>
      </c>
      <c r="AJ693" s="4">
        <v>8</v>
      </c>
      <c r="AK693" s="4">
        <v>8</v>
      </c>
      <c r="AL693" s="4">
        <v>1</v>
      </c>
      <c r="AM693" s="4">
        <v>1</v>
      </c>
      <c r="AN693" s="4">
        <v>1</v>
      </c>
      <c r="AO693" s="4">
        <v>1</v>
      </c>
      <c r="AP693" s="3" t="s">
        <v>58</v>
      </c>
      <c r="AQ693" s="3" t="s">
        <v>58</v>
      </c>
      <c r="AS693" s="6" t="str">
        <f>HYPERLINK("https://creighton-primo.hosted.exlibrisgroup.com/primo-explore/search?tab=default_tab&amp;search_scope=EVERYTHING&amp;vid=01CRU&amp;lang=en_US&amp;offset=0&amp;query=any,contains,991002462739702656","Catalog Record")</f>
        <v>Catalog Record</v>
      </c>
      <c r="AT693" s="6" t="str">
        <f>HYPERLINK("http://www.worldcat.org/oclc/32089083","WorldCat Record")</f>
        <v>WorldCat Record</v>
      </c>
      <c r="AU693" s="3" t="s">
        <v>9154</v>
      </c>
      <c r="AV693" s="3" t="s">
        <v>9155</v>
      </c>
      <c r="AW693" s="3" t="s">
        <v>9156</v>
      </c>
      <c r="AX693" s="3" t="s">
        <v>9156</v>
      </c>
      <c r="AY693" s="3" t="s">
        <v>9157</v>
      </c>
      <c r="AZ693" s="3" t="s">
        <v>74</v>
      </c>
      <c r="BB693" s="3" t="s">
        <v>9158</v>
      </c>
      <c r="BC693" s="3" t="s">
        <v>9159</v>
      </c>
      <c r="BD693" s="3" t="s">
        <v>9160</v>
      </c>
    </row>
    <row r="694" spans="1:56" ht="45.75" customHeight="1" x14ac:dyDescent="0.25">
      <c r="A694" s="7" t="s">
        <v>58</v>
      </c>
      <c r="B694" s="2" t="s">
        <v>9161</v>
      </c>
      <c r="C694" s="2" t="s">
        <v>9162</v>
      </c>
      <c r="D694" s="2" t="s">
        <v>9163</v>
      </c>
      <c r="F694" s="3" t="s">
        <v>58</v>
      </c>
      <c r="G694" s="3" t="s">
        <v>59</v>
      </c>
      <c r="H694" s="3" t="s">
        <v>58</v>
      </c>
      <c r="I694" s="3" t="s">
        <v>58</v>
      </c>
      <c r="J694" s="3" t="s">
        <v>60</v>
      </c>
      <c r="K694" s="2" t="s">
        <v>9164</v>
      </c>
      <c r="L694" s="2" t="s">
        <v>9165</v>
      </c>
      <c r="M694" s="3" t="s">
        <v>189</v>
      </c>
      <c r="N694" s="2" t="s">
        <v>543</v>
      </c>
      <c r="O694" s="3" t="s">
        <v>65</v>
      </c>
      <c r="P694" s="3" t="s">
        <v>84</v>
      </c>
      <c r="R694" s="3" t="s">
        <v>67</v>
      </c>
      <c r="S694" s="4">
        <v>1</v>
      </c>
      <c r="T694" s="4">
        <v>1</v>
      </c>
      <c r="U694" s="5" t="s">
        <v>5978</v>
      </c>
      <c r="V694" s="5" t="s">
        <v>5978</v>
      </c>
      <c r="W694" s="5" t="s">
        <v>5978</v>
      </c>
      <c r="X694" s="5" t="s">
        <v>5978</v>
      </c>
      <c r="Y694" s="4">
        <v>266</v>
      </c>
      <c r="Z694" s="4">
        <v>256</v>
      </c>
      <c r="AA694" s="4">
        <v>298</v>
      </c>
      <c r="AB694" s="4">
        <v>1</v>
      </c>
      <c r="AC694" s="4">
        <v>2</v>
      </c>
      <c r="AD694" s="4">
        <v>2</v>
      </c>
      <c r="AE694" s="4">
        <v>4</v>
      </c>
      <c r="AF694" s="4">
        <v>0</v>
      </c>
      <c r="AG694" s="4">
        <v>0</v>
      </c>
      <c r="AH694" s="4">
        <v>2</v>
      </c>
      <c r="AI694" s="4">
        <v>2</v>
      </c>
      <c r="AJ694" s="4">
        <v>2</v>
      </c>
      <c r="AK694" s="4">
        <v>3</v>
      </c>
      <c r="AL694" s="4">
        <v>0</v>
      </c>
      <c r="AM694" s="4">
        <v>1</v>
      </c>
      <c r="AN694" s="4">
        <v>0</v>
      </c>
      <c r="AO694" s="4">
        <v>0</v>
      </c>
      <c r="AP694" s="3" t="s">
        <v>58</v>
      </c>
      <c r="AQ694" s="3" t="s">
        <v>58</v>
      </c>
      <c r="AS694" s="6" t="str">
        <f>HYPERLINK("https://creighton-primo.hosted.exlibrisgroup.com/primo-explore/search?tab=default_tab&amp;search_scope=EVERYTHING&amp;vid=01CRU&amp;lang=en_US&amp;offset=0&amp;query=any,contains,991005341219702656","Catalog Record")</f>
        <v>Catalog Record</v>
      </c>
      <c r="AT694" s="6" t="str">
        <f>HYPERLINK("http://www.worldcat.org/oclc/318879232","WorldCat Record")</f>
        <v>WorldCat Record</v>
      </c>
      <c r="AU694" s="3" t="s">
        <v>9166</v>
      </c>
      <c r="AV694" s="3" t="s">
        <v>9167</v>
      </c>
      <c r="AW694" s="3" t="s">
        <v>9168</v>
      </c>
      <c r="AX694" s="3" t="s">
        <v>9168</v>
      </c>
      <c r="AY694" s="3" t="s">
        <v>9169</v>
      </c>
      <c r="AZ694" s="3" t="s">
        <v>74</v>
      </c>
      <c r="BB694" s="3" t="s">
        <v>9170</v>
      </c>
      <c r="BC694" s="3" t="s">
        <v>9171</v>
      </c>
      <c r="BD694" s="3" t="s">
        <v>9172</v>
      </c>
    </row>
    <row r="695" spans="1:56" ht="45.75" customHeight="1" x14ac:dyDescent="0.25">
      <c r="A695" s="7" t="s">
        <v>58</v>
      </c>
      <c r="B695" s="2" t="s">
        <v>9173</v>
      </c>
      <c r="C695" s="2" t="s">
        <v>9174</v>
      </c>
      <c r="D695" s="2" t="s">
        <v>9175</v>
      </c>
      <c r="F695" s="3" t="s">
        <v>58</v>
      </c>
      <c r="G695" s="3" t="s">
        <v>59</v>
      </c>
      <c r="H695" s="3" t="s">
        <v>58</v>
      </c>
      <c r="I695" s="3" t="s">
        <v>58</v>
      </c>
      <c r="J695" s="3" t="s">
        <v>60</v>
      </c>
      <c r="K695" s="2" t="s">
        <v>9176</v>
      </c>
      <c r="L695" s="2" t="s">
        <v>9177</v>
      </c>
      <c r="M695" s="3" t="s">
        <v>573</v>
      </c>
      <c r="N695" s="2" t="s">
        <v>543</v>
      </c>
      <c r="O695" s="3" t="s">
        <v>65</v>
      </c>
      <c r="P695" s="3" t="s">
        <v>84</v>
      </c>
      <c r="R695" s="3" t="s">
        <v>67</v>
      </c>
      <c r="S695" s="4">
        <v>1</v>
      </c>
      <c r="T695" s="4">
        <v>1</v>
      </c>
      <c r="U695" s="5" t="s">
        <v>5118</v>
      </c>
      <c r="V695" s="5" t="s">
        <v>5118</v>
      </c>
      <c r="W695" s="5" t="s">
        <v>5118</v>
      </c>
      <c r="X695" s="5" t="s">
        <v>5118</v>
      </c>
      <c r="Y695" s="4">
        <v>1201</v>
      </c>
      <c r="Z695" s="4">
        <v>1158</v>
      </c>
      <c r="AA695" s="4">
        <v>1305</v>
      </c>
      <c r="AB695" s="4">
        <v>16</v>
      </c>
      <c r="AC695" s="4">
        <v>17</v>
      </c>
      <c r="AD695" s="4">
        <v>10</v>
      </c>
      <c r="AE695" s="4">
        <v>10</v>
      </c>
      <c r="AF695" s="4">
        <v>3</v>
      </c>
      <c r="AG695" s="4">
        <v>3</v>
      </c>
      <c r="AH695" s="4">
        <v>2</v>
      </c>
      <c r="AI695" s="4">
        <v>2</v>
      </c>
      <c r="AJ695" s="4">
        <v>4</v>
      </c>
      <c r="AK695" s="4">
        <v>4</v>
      </c>
      <c r="AL695" s="4">
        <v>2</v>
      </c>
      <c r="AM695" s="4">
        <v>2</v>
      </c>
      <c r="AN695" s="4">
        <v>2</v>
      </c>
      <c r="AO695" s="4">
        <v>2</v>
      </c>
      <c r="AP695" s="3" t="s">
        <v>58</v>
      </c>
      <c r="AQ695" s="3" t="s">
        <v>58</v>
      </c>
      <c r="AS695" s="6" t="str">
        <f>HYPERLINK("https://creighton-primo.hosted.exlibrisgroup.com/primo-explore/search?tab=default_tab&amp;search_scope=EVERYTHING&amp;vid=01CRU&amp;lang=en_US&amp;offset=0&amp;query=any,contains,991004111459702656","Catalog Record")</f>
        <v>Catalog Record</v>
      </c>
      <c r="AT695" s="6" t="str">
        <f>HYPERLINK("http://www.worldcat.org/oclc/51726839","WorldCat Record")</f>
        <v>WorldCat Record</v>
      </c>
      <c r="AU695" s="3" t="s">
        <v>9178</v>
      </c>
      <c r="AV695" s="3" t="s">
        <v>9179</v>
      </c>
      <c r="AW695" s="3" t="s">
        <v>9180</v>
      </c>
      <c r="AX695" s="3" t="s">
        <v>9180</v>
      </c>
      <c r="AY695" s="3" t="s">
        <v>9181</v>
      </c>
      <c r="AZ695" s="3" t="s">
        <v>74</v>
      </c>
      <c r="BB695" s="3" t="s">
        <v>9182</v>
      </c>
      <c r="BC695" s="3" t="s">
        <v>9183</v>
      </c>
      <c r="BD695" s="3" t="s">
        <v>9184</v>
      </c>
    </row>
    <row r="696" spans="1:56" ht="45.75" customHeight="1" x14ac:dyDescent="0.25">
      <c r="A696" s="7" t="s">
        <v>58</v>
      </c>
      <c r="B696" s="2" t="s">
        <v>9185</v>
      </c>
      <c r="C696" s="2" t="s">
        <v>9186</v>
      </c>
      <c r="D696" s="2" t="s">
        <v>9187</v>
      </c>
      <c r="F696" s="3" t="s">
        <v>58</v>
      </c>
      <c r="G696" s="3" t="s">
        <v>59</v>
      </c>
      <c r="H696" s="3" t="s">
        <v>58</v>
      </c>
      <c r="I696" s="3" t="s">
        <v>58</v>
      </c>
      <c r="J696" s="3" t="s">
        <v>60</v>
      </c>
      <c r="K696" s="2" t="s">
        <v>9188</v>
      </c>
      <c r="L696" s="2" t="s">
        <v>9189</v>
      </c>
      <c r="M696" s="3" t="s">
        <v>1662</v>
      </c>
      <c r="O696" s="3" t="s">
        <v>65</v>
      </c>
      <c r="P696" s="3" t="s">
        <v>101</v>
      </c>
      <c r="Q696" s="2" t="s">
        <v>9190</v>
      </c>
      <c r="R696" s="3" t="s">
        <v>67</v>
      </c>
      <c r="S696" s="4">
        <v>1</v>
      </c>
      <c r="T696" s="4">
        <v>1</v>
      </c>
      <c r="U696" s="5" t="s">
        <v>9191</v>
      </c>
      <c r="V696" s="5" t="s">
        <v>9191</v>
      </c>
      <c r="W696" s="5" t="s">
        <v>9192</v>
      </c>
      <c r="X696" s="5" t="s">
        <v>9192</v>
      </c>
      <c r="Y696" s="4">
        <v>69</v>
      </c>
      <c r="Z696" s="4">
        <v>38</v>
      </c>
      <c r="AA696" s="4">
        <v>66</v>
      </c>
      <c r="AB696" s="4">
        <v>1</v>
      </c>
      <c r="AC696" s="4">
        <v>1</v>
      </c>
      <c r="AD696" s="4">
        <v>0</v>
      </c>
      <c r="AE696" s="4">
        <v>1</v>
      </c>
      <c r="AF696" s="4">
        <v>0</v>
      </c>
      <c r="AG696" s="4">
        <v>0</v>
      </c>
      <c r="AH696" s="4">
        <v>0</v>
      </c>
      <c r="AI696" s="4">
        <v>0</v>
      </c>
      <c r="AJ696" s="4">
        <v>0</v>
      </c>
      <c r="AK696" s="4">
        <v>0</v>
      </c>
      <c r="AL696" s="4">
        <v>0</v>
      </c>
      <c r="AM696" s="4">
        <v>0</v>
      </c>
      <c r="AN696" s="4">
        <v>0</v>
      </c>
      <c r="AO696" s="4">
        <v>1</v>
      </c>
      <c r="AP696" s="3" t="s">
        <v>58</v>
      </c>
      <c r="AQ696" s="3" t="s">
        <v>58</v>
      </c>
      <c r="AS696" s="6" t="str">
        <f>HYPERLINK("https://creighton-primo.hosted.exlibrisgroup.com/primo-explore/search?tab=default_tab&amp;search_scope=EVERYTHING&amp;vid=01CRU&amp;lang=en_US&amp;offset=0&amp;query=any,contains,991002818269702656","Catalog Record")</f>
        <v>Catalog Record</v>
      </c>
      <c r="AT696" s="6" t="str">
        <f>HYPERLINK("http://www.worldcat.org/oclc/463640","WorldCat Record")</f>
        <v>WorldCat Record</v>
      </c>
      <c r="AU696" s="3" t="s">
        <v>9193</v>
      </c>
      <c r="AV696" s="3" t="s">
        <v>9194</v>
      </c>
      <c r="AW696" s="3" t="s">
        <v>9195</v>
      </c>
      <c r="AX696" s="3" t="s">
        <v>9195</v>
      </c>
      <c r="AY696" s="3" t="s">
        <v>9196</v>
      </c>
      <c r="AZ696" s="3" t="s">
        <v>74</v>
      </c>
      <c r="BC696" s="3" t="s">
        <v>9197</v>
      </c>
      <c r="BD696" s="3" t="s">
        <v>9198</v>
      </c>
    </row>
    <row r="697" spans="1:56" ht="45.75" customHeight="1" x14ac:dyDescent="0.25">
      <c r="A697" s="7" t="s">
        <v>58</v>
      </c>
      <c r="B697" s="2" t="s">
        <v>9199</v>
      </c>
      <c r="C697" s="2" t="s">
        <v>9200</v>
      </c>
      <c r="D697" s="2" t="s">
        <v>9201</v>
      </c>
      <c r="F697" s="3" t="s">
        <v>58</v>
      </c>
      <c r="G697" s="3" t="s">
        <v>59</v>
      </c>
      <c r="H697" s="3" t="s">
        <v>58</v>
      </c>
      <c r="I697" s="3" t="s">
        <v>87</v>
      </c>
      <c r="J697" s="3" t="s">
        <v>60</v>
      </c>
      <c r="K697" s="2" t="s">
        <v>9202</v>
      </c>
      <c r="L697" s="2" t="s">
        <v>9203</v>
      </c>
      <c r="M697" s="3" t="s">
        <v>63</v>
      </c>
      <c r="O697" s="3" t="s">
        <v>65</v>
      </c>
      <c r="P697" s="3" t="s">
        <v>9204</v>
      </c>
      <c r="R697" s="3" t="s">
        <v>67</v>
      </c>
      <c r="S697" s="4">
        <v>10</v>
      </c>
      <c r="T697" s="4">
        <v>10</v>
      </c>
      <c r="U697" s="5" t="s">
        <v>9205</v>
      </c>
      <c r="V697" s="5" t="s">
        <v>9205</v>
      </c>
      <c r="W697" s="5" t="s">
        <v>9206</v>
      </c>
      <c r="X697" s="5" t="s">
        <v>9206</v>
      </c>
      <c r="Y697" s="4">
        <v>104</v>
      </c>
      <c r="Z697" s="4">
        <v>26</v>
      </c>
      <c r="AA697" s="4">
        <v>224</v>
      </c>
      <c r="AB697" s="4">
        <v>1</v>
      </c>
      <c r="AC697" s="4">
        <v>2</v>
      </c>
      <c r="AD697" s="4">
        <v>0</v>
      </c>
      <c r="AE697" s="4">
        <v>4</v>
      </c>
      <c r="AF697" s="4">
        <v>0</v>
      </c>
      <c r="AG697" s="4">
        <v>1</v>
      </c>
      <c r="AH697" s="4">
        <v>0</v>
      </c>
      <c r="AI697" s="4">
        <v>2</v>
      </c>
      <c r="AJ697" s="4">
        <v>0</v>
      </c>
      <c r="AK697" s="4">
        <v>2</v>
      </c>
      <c r="AL697" s="4">
        <v>0</v>
      </c>
      <c r="AM697" s="4">
        <v>0</v>
      </c>
      <c r="AN697" s="4">
        <v>0</v>
      </c>
      <c r="AO697" s="4">
        <v>0</v>
      </c>
      <c r="AP697" s="3" t="s">
        <v>58</v>
      </c>
      <c r="AQ697" s="3" t="s">
        <v>58</v>
      </c>
      <c r="AS697" s="6" t="str">
        <f>HYPERLINK("https://creighton-primo.hosted.exlibrisgroup.com/primo-explore/search?tab=default_tab&amp;search_scope=EVERYTHING&amp;vid=01CRU&amp;lang=en_US&amp;offset=0&amp;query=any,contains,991004858759702656","Catalog Record")</f>
        <v>Catalog Record</v>
      </c>
      <c r="AT697" s="6" t="str">
        <f>HYPERLINK("http://www.worldcat.org/oclc/61128009","WorldCat Record")</f>
        <v>WorldCat Record</v>
      </c>
      <c r="AU697" s="3" t="s">
        <v>9207</v>
      </c>
      <c r="AV697" s="3" t="s">
        <v>9208</v>
      </c>
      <c r="AW697" s="3" t="s">
        <v>9209</v>
      </c>
      <c r="AX697" s="3" t="s">
        <v>9209</v>
      </c>
      <c r="AY697" s="3" t="s">
        <v>9210</v>
      </c>
      <c r="AZ697" s="3" t="s">
        <v>74</v>
      </c>
      <c r="BB697" s="3" t="s">
        <v>9211</v>
      </c>
      <c r="BC697" s="3" t="s">
        <v>9212</v>
      </c>
      <c r="BD697" s="3" t="s">
        <v>9213</v>
      </c>
    </row>
    <row r="698" spans="1:56" ht="45.75" customHeight="1" x14ac:dyDescent="0.25">
      <c r="A698" s="7" t="s">
        <v>58</v>
      </c>
      <c r="B698" s="2" t="s">
        <v>9214</v>
      </c>
      <c r="C698" s="2" t="s">
        <v>9215</v>
      </c>
      <c r="D698" s="2" t="s">
        <v>9216</v>
      </c>
      <c r="F698" s="3" t="s">
        <v>58</v>
      </c>
      <c r="G698" s="3" t="s">
        <v>59</v>
      </c>
      <c r="H698" s="3" t="s">
        <v>58</v>
      </c>
      <c r="I698" s="3" t="s">
        <v>58</v>
      </c>
      <c r="J698" s="3" t="s">
        <v>60</v>
      </c>
      <c r="K698" s="2" t="s">
        <v>9217</v>
      </c>
      <c r="L698" s="2" t="s">
        <v>9218</v>
      </c>
      <c r="M698" s="3" t="s">
        <v>2506</v>
      </c>
      <c r="N698" s="2" t="s">
        <v>4473</v>
      </c>
      <c r="O698" s="3" t="s">
        <v>65</v>
      </c>
      <c r="P698" s="3" t="s">
        <v>84</v>
      </c>
      <c r="R698" s="3" t="s">
        <v>67</v>
      </c>
      <c r="S698" s="4">
        <v>2</v>
      </c>
      <c r="T698" s="4">
        <v>2</v>
      </c>
      <c r="U698" s="5" t="s">
        <v>1432</v>
      </c>
      <c r="V698" s="5" t="s">
        <v>1432</v>
      </c>
      <c r="W698" s="5" t="s">
        <v>9192</v>
      </c>
      <c r="X698" s="5" t="s">
        <v>9192</v>
      </c>
      <c r="Y698" s="4">
        <v>667</v>
      </c>
      <c r="Z698" s="4">
        <v>596</v>
      </c>
      <c r="AA698" s="4">
        <v>600</v>
      </c>
      <c r="AB698" s="4">
        <v>5</v>
      </c>
      <c r="AC698" s="4">
        <v>5</v>
      </c>
      <c r="AD698" s="4">
        <v>25</v>
      </c>
      <c r="AE698" s="4">
        <v>26</v>
      </c>
      <c r="AF698" s="4">
        <v>10</v>
      </c>
      <c r="AG698" s="4">
        <v>10</v>
      </c>
      <c r="AH698" s="4">
        <v>5</v>
      </c>
      <c r="AI698" s="4">
        <v>5</v>
      </c>
      <c r="AJ698" s="4">
        <v>12</v>
      </c>
      <c r="AK698" s="4">
        <v>12</v>
      </c>
      <c r="AL698" s="4">
        <v>4</v>
      </c>
      <c r="AM698" s="4">
        <v>4</v>
      </c>
      <c r="AN698" s="4">
        <v>0</v>
      </c>
      <c r="AO698" s="4">
        <v>1</v>
      </c>
      <c r="AP698" s="3" t="s">
        <v>58</v>
      </c>
      <c r="AQ698" s="3" t="s">
        <v>58</v>
      </c>
      <c r="AS698" s="6" t="str">
        <f>HYPERLINK("https://creighton-primo.hosted.exlibrisgroup.com/primo-explore/search?tab=default_tab&amp;search_scope=EVERYTHING&amp;vid=01CRU&amp;lang=en_US&amp;offset=0&amp;query=any,contains,991000586569702656","Catalog Record")</f>
        <v>Catalog Record</v>
      </c>
      <c r="AT698" s="6" t="str">
        <f>HYPERLINK("http://www.worldcat.org/oclc/96130","WorldCat Record")</f>
        <v>WorldCat Record</v>
      </c>
      <c r="AU698" s="3" t="s">
        <v>9219</v>
      </c>
      <c r="AV698" s="3" t="s">
        <v>9220</v>
      </c>
      <c r="AW698" s="3" t="s">
        <v>9221</v>
      </c>
      <c r="AX698" s="3" t="s">
        <v>9221</v>
      </c>
      <c r="AY698" s="3" t="s">
        <v>9222</v>
      </c>
      <c r="AZ698" s="3" t="s">
        <v>74</v>
      </c>
      <c r="BB698" s="3" t="s">
        <v>9223</v>
      </c>
      <c r="BC698" s="3" t="s">
        <v>9224</v>
      </c>
      <c r="BD698" s="3" t="s">
        <v>9225</v>
      </c>
    </row>
    <row r="699" spans="1:56" ht="45.75" customHeight="1" x14ac:dyDescent="0.25">
      <c r="A699" s="7" t="s">
        <v>58</v>
      </c>
      <c r="B699" s="2" t="s">
        <v>9226</v>
      </c>
      <c r="C699" s="2" t="s">
        <v>9227</v>
      </c>
      <c r="D699" s="2" t="s">
        <v>9228</v>
      </c>
      <c r="F699" s="3" t="s">
        <v>58</v>
      </c>
      <c r="G699" s="3" t="s">
        <v>59</v>
      </c>
      <c r="H699" s="3" t="s">
        <v>58</v>
      </c>
      <c r="I699" s="3" t="s">
        <v>58</v>
      </c>
      <c r="J699" s="3" t="s">
        <v>60</v>
      </c>
      <c r="K699" s="2" t="s">
        <v>9229</v>
      </c>
      <c r="L699" s="2" t="s">
        <v>9230</v>
      </c>
      <c r="M699" s="3" t="s">
        <v>1209</v>
      </c>
      <c r="O699" s="3" t="s">
        <v>65</v>
      </c>
      <c r="P699" s="3" t="s">
        <v>175</v>
      </c>
      <c r="R699" s="3" t="s">
        <v>67</v>
      </c>
      <c r="S699" s="4">
        <v>19</v>
      </c>
      <c r="T699" s="4">
        <v>19</v>
      </c>
      <c r="U699" s="5" t="s">
        <v>9231</v>
      </c>
      <c r="V699" s="5" t="s">
        <v>9231</v>
      </c>
      <c r="W699" s="5" t="s">
        <v>6400</v>
      </c>
      <c r="X699" s="5" t="s">
        <v>6400</v>
      </c>
      <c r="Y699" s="4">
        <v>155</v>
      </c>
      <c r="Z699" s="4">
        <v>103</v>
      </c>
      <c r="AA699" s="4">
        <v>215</v>
      </c>
      <c r="AB699" s="4">
        <v>1</v>
      </c>
      <c r="AC699" s="4">
        <v>3</v>
      </c>
      <c r="AD699" s="4">
        <v>1</v>
      </c>
      <c r="AE699" s="4">
        <v>1</v>
      </c>
      <c r="AF699" s="4">
        <v>0</v>
      </c>
      <c r="AG699" s="4">
        <v>0</v>
      </c>
      <c r="AH699" s="4">
        <v>0</v>
      </c>
      <c r="AI699" s="4">
        <v>0</v>
      </c>
      <c r="AJ699" s="4">
        <v>0</v>
      </c>
      <c r="AK699" s="4">
        <v>0</v>
      </c>
      <c r="AL699" s="4">
        <v>0</v>
      </c>
      <c r="AM699" s="4">
        <v>0</v>
      </c>
      <c r="AN699" s="4">
        <v>1</v>
      </c>
      <c r="AO699" s="4">
        <v>1</v>
      </c>
      <c r="AP699" s="3" t="s">
        <v>58</v>
      </c>
      <c r="AQ699" s="3" t="s">
        <v>58</v>
      </c>
      <c r="AS699" s="6" t="str">
        <f>HYPERLINK("https://creighton-primo.hosted.exlibrisgroup.com/primo-explore/search?tab=default_tab&amp;search_scope=EVERYTHING&amp;vid=01CRU&amp;lang=en_US&amp;offset=0&amp;query=any,contains,991001109859702656","Catalog Record")</f>
        <v>Catalog Record</v>
      </c>
      <c r="AT699" s="6" t="str">
        <f>HYPERLINK("http://www.worldcat.org/oclc/19779859","WorldCat Record")</f>
        <v>WorldCat Record</v>
      </c>
      <c r="AU699" s="3" t="s">
        <v>9232</v>
      </c>
      <c r="AV699" s="3" t="s">
        <v>9233</v>
      </c>
      <c r="AW699" s="3" t="s">
        <v>9234</v>
      </c>
      <c r="AX699" s="3" t="s">
        <v>9234</v>
      </c>
      <c r="AY699" s="3" t="s">
        <v>9235</v>
      </c>
      <c r="AZ699" s="3" t="s">
        <v>74</v>
      </c>
      <c r="BB699" s="3" t="s">
        <v>9236</v>
      </c>
      <c r="BC699" s="3" t="s">
        <v>9237</v>
      </c>
      <c r="BD699" s="3" t="s">
        <v>9238</v>
      </c>
    </row>
    <row r="700" spans="1:56" ht="45.75" customHeight="1" x14ac:dyDescent="0.25">
      <c r="A700" s="7" t="s">
        <v>58</v>
      </c>
      <c r="B700" s="2" t="s">
        <v>9239</v>
      </c>
      <c r="C700" s="2" t="s">
        <v>9240</v>
      </c>
      <c r="D700" s="2" t="s">
        <v>9241</v>
      </c>
      <c r="F700" s="3" t="s">
        <v>58</v>
      </c>
      <c r="G700" s="3" t="s">
        <v>59</v>
      </c>
      <c r="H700" s="3" t="s">
        <v>58</v>
      </c>
      <c r="I700" s="3" t="s">
        <v>58</v>
      </c>
      <c r="J700" s="3" t="s">
        <v>60</v>
      </c>
      <c r="K700" s="2" t="s">
        <v>9242</v>
      </c>
      <c r="L700" s="2" t="s">
        <v>9243</v>
      </c>
      <c r="M700" s="3" t="s">
        <v>100</v>
      </c>
      <c r="O700" s="3" t="s">
        <v>65</v>
      </c>
      <c r="P700" s="3" t="s">
        <v>148</v>
      </c>
      <c r="R700" s="3" t="s">
        <v>67</v>
      </c>
      <c r="S700" s="4">
        <v>14</v>
      </c>
      <c r="T700" s="4">
        <v>14</v>
      </c>
      <c r="U700" s="5" t="s">
        <v>9231</v>
      </c>
      <c r="V700" s="5" t="s">
        <v>9231</v>
      </c>
      <c r="W700" s="5" t="s">
        <v>9244</v>
      </c>
      <c r="X700" s="5" t="s">
        <v>9244</v>
      </c>
      <c r="Y700" s="4">
        <v>637</v>
      </c>
      <c r="Z700" s="4">
        <v>620</v>
      </c>
      <c r="AA700" s="4">
        <v>897</v>
      </c>
      <c r="AB700" s="4">
        <v>6</v>
      </c>
      <c r="AC700" s="4">
        <v>10</v>
      </c>
      <c r="AD700" s="4">
        <v>6</v>
      </c>
      <c r="AE700" s="4">
        <v>8</v>
      </c>
      <c r="AF700" s="4">
        <v>0</v>
      </c>
      <c r="AG700" s="4">
        <v>1</v>
      </c>
      <c r="AH700" s="4">
        <v>1</v>
      </c>
      <c r="AI700" s="4">
        <v>1</v>
      </c>
      <c r="AJ700" s="4">
        <v>3</v>
      </c>
      <c r="AK700" s="4">
        <v>3</v>
      </c>
      <c r="AL700" s="4">
        <v>1</v>
      </c>
      <c r="AM700" s="4">
        <v>2</v>
      </c>
      <c r="AN700" s="4">
        <v>1</v>
      </c>
      <c r="AO700" s="4">
        <v>1</v>
      </c>
      <c r="AP700" s="3" t="s">
        <v>58</v>
      </c>
      <c r="AQ700" s="3" t="s">
        <v>58</v>
      </c>
      <c r="AS700" s="6" t="str">
        <f>HYPERLINK("https://creighton-primo.hosted.exlibrisgroup.com/primo-explore/search?tab=default_tab&amp;search_scope=EVERYTHING&amp;vid=01CRU&amp;lang=en_US&amp;offset=0&amp;query=any,contains,991003634929702656","Catalog Record")</f>
        <v>Catalog Record</v>
      </c>
      <c r="AT700" s="6" t="str">
        <f>HYPERLINK("http://www.worldcat.org/oclc/1229537","WorldCat Record")</f>
        <v>WorldCat Record</v>
      </c>
      <c r="AU700" s="3" t="s">
        <v>9245</v>
      </c>
      <c r="AV700" s="3" t="s">
        <v>9246</v>
      </c>
      <c r="AW700" s="3" t="s">
        <v>9247</v>
      </c>
      <c r="AX700" s="3" t="s">
        <v>9247</v>
      </c>
      <c r="AY700" s="3" t="s">
        <v>9248</v>
      </c>
      <c r="AZ700" s="3" t="s">
        <v>74</v>
      </c>
      <c r="BB700" s="3" t="s">
        <v>9249</v>
      </c>
      <c r="BC700" s="3" t="s">
        <v>9250</v>
      </c>
      <c r="BD700" s="3" t="s">
        <v>9251</v>
      </c>
    </row>
    <row r="701" spans="1:56" ht="45.75" customHeight="1" x14ac:dyDescent="0.25">
      <c r="A701" s="7" t="s">
        <v>58</v>
      </c>
      <c r="B701" s="2" t="s">
        <v>9252</v>
      </c>
      <c r="C701" s="2" t="s">
        <v>9253</v>
      </c>
      <c r="D701" s="2" t="s">
        <v>9254</v>
      </c>
      <c r="F701" s="3" t="s">
        <v>58</v>
      </c>
      <c r="G701" s="3" t="s">
        <v>59</v>
      </c>
      <c r="H701" s="3" t="s">
        <v>58</v>
      </c>
      <c r="I701" s="3" t="s">
        <v>58</v>
      </c>
      <c r="J701" s="3" t="s">
        <v>60</v>
      </c>
      <c r="K701" s="2" t="s">
        <v>9255</v>
      </c>
      <c r="L701" s="2" t="s">
        <v>9256</v>
      </c>
      <c r="M701" s="3" t="s">
        <v>1058</v>
      </c>
      <c r="O701" s="3" t="s">
        <v>65</v>
      </c>
      <c r="P701" s="3" t="s">
        <v>175</v>
      </c>
      <c r="R701" s="3" t="s">
        <v>67</v>
      </c>
      <c r="S701" s="4">
        <v>14</v>
      </c>
      <c r="T701" s="4">
        <v>14</v>
      </c>
      <c r="U701" s="5" t="s">
        <v>4016</v>
      </c>
      <c r="V701" s="5" t="s">
        <v>4016</v>
      </c>
      <c r="W701" s="5" t="s">
        <v>6400</v>
      </c>
      <c r="X701" s="5" t="s">
        <v>6400</v>
      </c>
      <c r="Y701" s="4">
        <v>66</v>
      </c>
      <c r="Z701" s="4">
        <v>48</v>
      </c>
      <c r="AA701" s="4">
        <v>76</v>
      </c>
      <c r="AB701" s="4">
        <v>1</v>
      </c>
      <c r="AC701" s="4">
        <v>1</v>
      </c>
      <c r="AD701" s="4">
        <v>0</v>
      </c>
      <c r="AE701" s="4">
        <v>0</v>
      </c>
      <c r="AF701" s="4">
        <v>0</v>
      </c>
      <c r="AG701" s="4">
        <v>0</v>
      </c>
      <c r="AH701" s="4">
        <v>0</v>
      </c>
      <c r="AI701" s="4">
        <v>0</v>
      </c>
      <c r="AJ701" s="4">
        <v>0</v>
      </c>
      <c r="AK701" s="4">
        <v>0</v>
      </c>
      <c r="AL701" s="4">
        <v>0</v>
      </c>
      <c r="AM701" s="4">
        <v>0</v>
      </c>
      <c r="AN701" s="4">
        <v>0</v>
      </c>
      <c r="AO701" s="4">
        <v>0</v>
      </c>
      <c r="AP701" s="3" t="s">
        <v>58</v>
      </c>
      <c r="AQ701" s="3" t="s">
        <v>58</v>
      </c>
      <c r="AS701" s="6" t="str">
        <f>HYPERLINK("https://creighton-primo.hosted.exlibrisgroup.com/primo-explore/search?tab=default_tab&amp;search_scope=EVERYTHING&amp;vid=01CRU&amp;lang=en_US&amp;offset=0&amp;query=any,contains,991001390729702656","Catalog Record")</f>
        <v>Catalog Record</v>
      </c>
      <c r="AT701" s="6" t="str">
        <f>HYPERLINK("http://www.worldcat.org/oclc/18749915","WorldCat Record")</f>
        <v>WorldCat Record</v>
      </c>
      <c r="AU701" s="3" t="s">
        <v>9257</v>
      </c>
      <c r="AV701" s="3" t="s">
        <v>9258</v>
      </c>
      <c r="AW701" s="3" t="s">
        <v>9259</v>
      </c>
      <c r="AX701" s="3" t="s">
        <v>9259</v>
      </c>
      <c r="AY701" s="3" t="s">
        <v>9260</v>
      </c>
      <c r="AZ701" s="3" t="s">
        <v>74</v>
      </c>
      <c r="BB701" s="3" t="s">
        <v>9261</v>
      </c>
      <c r="BC701" s="3" t="s">
        <v>9262</v>
      </c>
      <c r="BD701" s="3" t="s">
        <v>9263</v>
      </c>
    </row>
    <row r="702" spans="1:56" ht="45.75" customHeight="1" x14ac:dyDescent="0.25">
      <c r="A702" s="7" t="s">
        <v>58</v>
      </c>
      <c r="B702" s="2" t="s">
        <v>9264</v>
      </c>
      <c r="C702" s="2" t="s">
        <v>9265</v>
      </c>
      <c r="D702" s="2" t="s">
        <v>9266</v>
      </c>
      <c r="F702" s="3" t="s">
        <v>58</v>
      </c>
      <c r="G702" s="3" t="s">
        <v>59</v>
      </c>
      <c r="H702" s="3" t="s">
        <v>58</v>
      </c>
      <c r="I702" s="3" t="s">
        <v>58</v>
      </c>
      <c r="J702" s="3" t="s">
        <v>60</v>
      </c>
      <c r="K702" s="2" t="s">
        <v>9267</v>
      </c>
      <c r="L702" s="2" t="s">
        <v>9268</v>
      </c>
      <c r="M702" s="3" t="s">
        <v>131</v>
      </c>
      <c r="N702" s="2" t="s">
        <v>9269</v>
      </c>
      <c r="O702" s="3" t="s">
        <v>65</v>
      </c>
      <c r="P702" s="3" t="s">
        <v>84</v>
      </c>
      <c r="R702" s="3" t="s">
        <v>67</v>
      </c>
      <c r="S702" s="4">
        <v>1</v>
      </c>
      <c r="T702" s="4">
        <v>1</v>
      </c>
      <c r="U702" s="5" t="s">
        <v>9270</v>
      </c>
      <c r="V702" s="5" t="s">
        <v>9270</v>
      </c>
      <c r="W702" s="5" t="s">
        <v>2959</v>
      </c>
      <c r="X702" s="5" t="s">
        <v>2959</v>
      </c>
      <c r="Y702" s="4">
        <v>394</v>
      </c>
      <c r="Z702" s="4">
        <v>385</v>
      </c>
      <c r="AA702" s="4">
        <v>414</v>
      </c>
      <c r="AB702" s="4">
        <v>2</v>
      </c>
      <c r="AC702" s="4">
        <v>2</v>
      </c>
      <c r="AD702" s="4">
        <v>10</v>
      </c>
      <c r="AE702" s="4">
        <v>10</v>
      </c>
      <c r="AF702" s="4">
        <v>2</v>
      </c>
      <c r="AG702" s="4">
        <v>2</v>
      </c>
      <c r="AH702" s="4">
        <v>5</v>
      </c>
      <c r="AI702" s="4">
        <v>5</v>
      </c>
      <c r="AJ702" s="4">
        <v>4</v>
      </c>
      <c r="AK702" s="4">
        <v>4</v>
      </c>
      <c r="AL702" s="4">
        <v>0</v>
      </c>
      <c r="AM702" s="4">
        <v>0</v>
      </c>
      <c r="AN702" s="4">
        <v>1</v>
      </c>
      <c r="AO702" s="4">
        <v>1</v>
      </c>
      <c r="AP702" s="3" t="s">
        <v>58</v>
      </c>
      <c r="AQ702" s="3" t="s">
        <v>58</v>
      </c>
      <c r="AS702" s="6" t="str">
        <f>HYPERLINK("https://creighton-primo.hosted.exlibrisgroup.com/primo-explore/search?tab=default_tab&amp;search_scope=EVERYTHING&amp;vid=01CRU&amp;lang=en_US&amp;offset=0&amp;query=any,contains,991004742989702656","Catalog Record")</f>
        <v>Catalog Record</v>
      </c>
      <c r="AT702" s="6" t="str">
        <f>HYPERLINK("http://www.worldcat.org/oclc/63045440","WorldCat Record")</f>
        <v>WorldCat Record</v>
      </c>
      <c r="AU702" s="3" t="s">
        <v>9271</v>
      </c>
      <c r="AV702" s="3" t="s">
        <v>9272</v>
      </c>
      <c r="AW702" s="3" t="s">
        <v>9273</v>
      </c>
      <c r="AX702" s="3" t="s">
        <v>9273</v>
      </c>
      <c r="AY702" s="3" t="s">
        <v>9274</v>
      </c>
      <c r="AZ702" s="3" t="s">
        <v>74</v>
      </c>
      <c r="BB702" s="3" t="s">
        <v>9275</v>
      </c>
      <c r="BC702" s="3" t="s">
        <v>9276</v>
      </c>
      <c r="BD702" s="3" t="s">
        <v>9277</v>
      </c>
    </row>
    <row r="703" spans="1:56" ht="45.75" customHeight="1" x14ac:dyDescent="0.25">
      <c r="A703" s="7" t="s">
        <v>58</v>
      </c>
      <c r="B703" s="2" t="s">
        <v>9278</v>
      </c>
      <c r="C703" s="2" t="s">
        <v>9279</v>
      </c>
      <c r="D703" s="2" t="s">
        <v>9280</v>
      </c>
      <c r="F703" s="3" t="s">
        <v>58</v>
      </c>
      <c r="G703" s="3" t="s">
        <v>59</v>
      </c>
      <c r="H703" s="3" t="s">
        <v>58</v>
      </c>
      <c r="I703" s="3" t="s">
        <v>58</v>
      </c>
      <c r="J703" s="3" t="s">
        <v>60</v>
      </c>
      <c r="L703" s="2" t="s">
        <v>9281</v>
      </c>
      <c r="M703" s="3" t="s">
        <v>1419</v>
      </c>
      <c r="O703" s="3" t="s">
        <v>65</v>
      </c>
      <c r="P703" s="3" t="s">
        <v>84</v>
      </c>
      <c r="R703" s="3" t="s">
        <v>67</v>
      </c>
      <c r="S703" s="4">
        <v>25</v>
      </c>
      <c r="T703" s="4">
        <v>25</v>
      </c>
      <c r="U703" s="5" t="s">
        <v>7570</v>
      </c>
      <c r="V703" s="5" t="s">
        <v>7570</v>
      </c>
      <c r="W703" s="5" t="s">
        <v>9282</v>
      </c>
      <c r="X703" s="5" t="s">
        <v>9282</v>
      </c>
      <c r="Y703" s="4">
        <v>722</v>
      </c>
      <c r="Z703" s="4">
        <v>623</v>
      </c>
      <c r="AA703" s="4">
        <v>626</v>
      </c>
      <c r="AB703" s="4">
        <v>3</v>
      </c>
      <c r="AC703" s="4">
        <v>3</v>
      </c>
      <c r="AD703" s="4">
        <v>29</v>
      </c>
      <c r="AE703" s="4">
        <v>29</v>
      </c>
      <c r="AF703" s="4">
        <v>11</v>
      </c>
      <c r="AG703" s="4">
        <v>11</v>
      </c>
      <c r="AH703" s="4">
        <v>4</v>
      </c>
      <c r="AI703" s="4">
        <v>4</v>
      </c>
      <c r="AJ703" s="4">
        <v>16</v>
      </c>
      <c r="AK703" s="4">
        <v>16</v>
      </c>
      <c r="AL703" s="4">
        <v>1</v>
      </c>
      <c r="AM703" s="4">
        <v>1</v>
      </c>
      <c r="AN703" s="4">
        <v>3</v>
      </c>
      <c r="AO703" s="4">
        <v>3</v>
      </c>
      <c r="AP703" s="3" t="s">
        <v>58</v>
      </c>
      <c r="AQ703" s="3" t="s">
        <v>87</v>
      </c>
      <c r="AR703" s="6" t="str">
        <f>HYPERLINK("http://catalog.hathitrust.org/Record/000184614","HathiTrust Record")</f>
        <v>HathiTrust Record</v>
      </c>
      <c r="AS703" s="6" t="str">
        <f>HYPERLINK("https://creighton-primo.hosted.exlibrisgroup.com/primo-explore/search?tab=default_tab&amp;search_scope=EVERYTHING&amp;vid=01CRU&amp;lang=en_US&amp;offset=0&amp;query=any,contains,991004639179702656","Catalog Record")</f>
        <v>Catalog Record</v>
      </c>
      <c r="AT703" s="6" t="str">
        <f>HYPERLINK("http://www.worldcat.org/oclc/4445384","WorldCat Record")</f>
        <v>WorldCat Record</v>
      </c>
      <c r="AU703" s="3" t="s">
        <v>9283</v>
      </c>
      <c r="AV703" s="3" t="s">
        <v>9284</v>
      </c>
      <c r="AW703" s="3" t="s">
        <v>9285</v>
      </c>
      <c r="AX703" s="3" t="s">
        <v>9285</v>
      </c>
      <c r="AY703" s="3" t="s">
        <v>9286</v>
      </c>
      <c r="AZ703" s="3" t="s">
        <v>74</v>
      </c>
      <c r="BB703" s="3" t="s">
        <v>9287</v>
      </c>
      <c r="BC703" s="3" t="s">
        <v>9288</v>
      </c>
      <c r="BD703" s="3" t="s">
        <v>9289</v>
      </c>
    </row>
    <row r="704" spans="1:56" ht="45.75" customHeight="1" x14ac:dyDescent="0.25">
      <c r="A704" s="7" t="s">
        <v>58</v>
      </c>
      <c r="B704" s="2" t="s">
        <v>9290</v>
      </c>
      <c r="C704" s="2" t="s">
        <v>9291</v>
      </c>
      <c r="D704" s="2" t="s">
        <v>9292</v>
      </c>
      <c r="F704" s="3" t="s">
        <v>58</v>
      </c>
      <c r="G704" s="3" t="s">
        <v>59</v>
      </c>
      <c r="H704" s="3" t="s">
        <v>58</v>
      </c>
      <c r="I704" s="3" t="s">
        <v>58</v>
      </c>
      <c r="J704" s="3" t="s">
        <v>60</v>
      </c>
      <c r="L704" s="2" t="s">
        <v>9293</v>
      </c>
      <c r="M704" s="3" t="s">
        <v>923</v>
      </c>
      <c r="O704" s="3" t="s">
        <v>65</v>
      </c>
      <c r="P704" s="3" t="s">
        <v>9294</v>
      </c>
      <c r="R704" s="3" t="s">
        <v>67</v>
      </c>
      <c r="S704" s="4">
        <v>17</v>
      </c>
      <c r="T704" s="4">
        <v>17</v>
      </c>
      <c r="U704" s="5" t="s">
        <v>9295</v>
      </c>
      <c r="V704" s="5" t="s">
        <v>9295</v>
      </c>
      <c r="W704" s="5" t="s">
        <v>3724</v>
      </c>
      <c r="X704" s="5" t="s">
        <v>3724</v>
      </c>
      <c r="Y704" s="4">
        <v>380</v>
      </c>
      <c r="Z704" s="4">
        <v>335</v>
      </c>
      <c r="AA704" s="4">
        <v>336</v>
      </c>
      <c r="AB704" s="4">
        <v>5</v>
      </c>
      <c r="AC704" s="4">
        <v>5</v>
      </c>
      <c r="AD704" s="4">
        <v>27</v>
      </c>
      <c r="AE704" s="4">
        <v>27</v>
      </c>
      <c r="AF704" s="4">
        <v>3</v>
      </c>
      <c r="AG704" s="4">
        <v>3</v>
      </c>
      <c r="AH704" s="4">
        <v>4</v>
      </c>
      <c r="AI704" s="4">
        <v>4</v>
      </c>
      <c r="AJ704" s="4">
        <v>12</v>
      </c>
      <c r="AK704" s="4">
        <v>12</v>
      </c>
      <c r="AL704" s="4">
        <v>2</v>
      </c>
      <c r="AM704" s="4">
        <v>2</v>
      </c>
      <c r="AN704" s="4">
        <v>11</v>
      </c>
      <c r="AO704" s="4">
        <v>11</v>
      </c>
      <c r="AP704" s="3" t="s">
        <v>58</v>
      </c>
      <c r="AQ704" s="3" t="s">
        <v>58</v>
      </c>
      <c r="AS704" s="6" t="str">
        <f>HYPERLINK("https://creighton-primo.hosted.exlibrisgroup.com/primo-explore/search?tab=default_tab&amp;search_scope=EVERYTHING&amp;vid=01CRU&amp;lang=en_US&amp;offset=0&amp;query=any,contains,991005213519702656","Catalog Record")</f>
        <v>Catalog Record</v>
      </c>
      <c r="AT704" s="6" t="str">
        <f>HYPERLINK("http://www.worldcat.org/oclc/8171206","WorldCat Record")</f>
        <v>WorldCat Record</v>
      </c>
      <c r="AU704" s="3" t="s">
        <v>9296</v>
      </c>
      <c r="AV704" s="3" t="s">
        <v>9297</v>
      </c>
      <c r="AW704" s="3" t="s">
        <v>9298</v>
      </c>
      <c r="AX704" s="3" t="s">
        <v>9298</v>
      </c>
      <c r="AY704" s="3" t="s">
        <v>9299</v>
      </c>
      <c r="AZ704" s="3" t="s">
        <v>74</v>
      </c>
      <c r="BB704" s="3" t="s">
        <v>9300</v>
      </c>
      <c r="BC704" s="3" t="s">
        <v>9301</v>
      </c>
      <c r="BD704" s="3" t="s">
        <v>9302</v>
      </c>
    </row>
    <row r="705" spans="1:56" ht="45.75" customHeight="1" x14ac:dyDescent="0.25">
      <c r="A705" s="7" t="s">
        <v>58</v>
      </c>
      <c r="B705" s="2" t="s">
        <v>9303</v>
      </c>
      <c r="C705" s="2" t="s">
        <v>9304</v>
      </c>
      <c r="D705" s="2" t="s">
        <v>9305</v>
      </c>
      <c r="F705" s="3" t="s">
        <v>58</v>
      </c>
      <c r="G705" s="3" t="s">
        <v>59</v>
      </c>
      <c r="H705" s="3" t="s">
        <v>58</v>
      </c>
      <c r="I705" s="3" t="s">
        <v>58</v>
      </c>
      <c r="J705" s="3" t="s">
        <v>60</v>
      </c>
      <c r="K705" s="2" t="s">
        <v>9306</v>
      </c>
      <c r="L705" s="2" t="s">
        <v>9307</v>
      </c>
      <c r="M705" s="3" t="s">
        <v>867</v>
      </c>
      <c r="N705" s="2" t="s">
        <v>543</v>
      </c>
      <c r="O705" s="3" t="s">
        <v>65</v>
      </c>
      <c r="P705" s="3" t="s">
        <v>132</v>
      </c>
      <c r="R705" s="3" t="s">
        <v>67</v>
      </c>
      <c r="S705" s="4">
        <v>26</v>
      </c>
      <c r="T705" s="4">
        <v>26</v>
      </c>
      <c r="U705" s="5" t="s">
        <v>9308</v>
      </c>
      <c r="V705" s="5" t="s">
        <v>9308</v>
      </c>
      <c r="W705" s="5" t="s">
        <v>9309</v>
      </c>
      <c r="X705" s="5" t="s">
        <v>9309</v>
      </c>
      <c r="Y705" s="4">
        <v>684</v>
      </c>
      <c r="Z705" s="4">
        <v>577</v>
      </c>
      <c r="AA705" s="4">
        <v>585</v>
      </c>
      <c r="AB705" s="4">
        <v>4</v>
      </c>
      <c r="AC705" s="4">
        <v>4</v>
      </c>
      <c r="AD705" s="4">
        <v>41</v>
      </c>
      <c r="AE705" s="4">
        <v>41</v>
      </c>
      <c r="AF705" s="4">
        <v>19</v>
      </c>
      <c r="AG705" s="4">
        <v>19</v>
      </c>
      <c r="AH705" s="4">
        <v>10</v>
      </c>
      <c r="AI705" s="4">
        <v>10</v>
      </c>
      <c r="AJ705" s="4">
        <v>21</v>
      </c>
      <c r="AK705" s="4">
        <v>21</v>
      </c>
      <c r="AL705" s="4">
        <v>2</v>
      </c>
      <c r="AM705" s="4">
        <v>2</v>
      </c>
      <c r="AN705" s="4">
        <v>0</v>
      </c>
      <c r="AO705" s="4">
        <v>0</v>
      </c>
      <c r="AP705" s="3" t="s">
        <v>58</v>
      </c>
      <c r="AQ705" s="3" t="s">
        <v>87</v>
      </c>
      <c r="AR705" s="6" t="str">
        <f>HYPERLINK("http://catalog.hathitrust.org/Record/002526957","HathiTrust Record")</f>
        <v>HathiTrust Record</v>
      </c>
      <c r="AS705" s="6" t="str">
        <f>HYPERLINK("https://creighton-primo.hosted.exlibrisgroup.com/primo-explore/search?tab=default_tab&amp;search_scope=EVERYTHING&amp;vid=01CRU&amp;lang=en_US&amp;offset=0&amp;query=any,contains,991001886389702656","Catalog Record")</f>
        <v>Catalog Record</v>
      </c>
      <c r="AT705" s="6" t="str">
        <f>HYPERLINK("http://www.worldcat.org/oclc/23767319","WorldCat Record")</f>
        <v>WorldCat Record</v>
      </c>
      <c r="AU705" s="3" t="s">
        <v>9310</v>
      </c>
      <c r="AV705" s="3" t="s">
        <v>9311</v>
      </c>
      <c r="AW705" s="3" t="s">
        <v>9312</v>
      </c>
      <c r="AX705" s="3" t="s">
        <v>9312</v>
      </c>
      <c r="AY705" s="3" t="s">
        <v>9313</v>
      </c>
      <c r="AZ705" s="3" t="s">
        <v>74</v>
      </c>
      <c r="BB705" s="3" t="s">
        <v>9314</v>
      </c>
      <c r="BC705" s="3" t="s">
        <v>9315</v>
      </c>
      <c r="BD705" s="3" t="s">
        <v>9316</v>
      </c>
    </row>
    <row r="706" spans="1:56" ht="45.75" customHeight="1" x14ac:dyDescent="0.25">
      <c r="A706" s="7" t="s">
        <v>58</v>
      </c>
      <c r="B706" s="2" t="s">
        <v>9317</v>
      </c>
      <c r="C706" s="2" t="s">
        <v>9318</v>
      </c>
      <c r="D706" s="2" t="s">
        <v>9319</v>
      </c>
      <c r="F706" s="3" t="s">
        <v>58</v>
      </c>
      <c r="G706" s="3" t="s">
        <v>59</v>
      </c>
      <c r="H706" s="3" t="s">
        <v>58</v>
      </c>
      <c r="I706" s="3" t="s">
        <v>58</v>
      </c>
      <c r="J706" s="3" t="s">
        <v>60</v>
      </c>
      <c r="K706" s="2" t="s">
        <v>9320</v>
      </c>
      <c r="L706" s="2" t="s">
        <v>9321</v>
      </c>
      <c r="M706" s="3" t="s">
        <v>1419</v>
      </c>
      <c r="O706" s="3" t="s">
        <v>65</v>
      </c>
      <c r="P706" s="3" t="s">
        <v>204</v>
      </c>
      <c r="R706" s="3" t="s">
        <v>67</v>
      </c>
      <c r="S706" s="4">
        <v>3</v>
      </c>
      <c r="T706" s="4">
        <v>3</v>
      </c>
      <c r="U706" s="5" t="s">
        <v>8885</v>
      </c>
      <c r="V706" s="5" t="s">
        <v>8885</v>
      </c>
      <c r="W706" s="5" t="s">
        <v>9322</v>
      </c>
      <c r="X706" s="5" t="s">
        <v>9322</v>
      </c>
      <c r="Y706" s="4">
        <v>319</v>
      </c>
      <c r="Z706" s="4">
        <v>288</v>
      </c>
      <c r="AA706" s="4">
        <v>312</v>
      </c>
      <c r="AB706" s="4">
        <v>5</v>
      </c>
      <c r="AC706" s="4">
        <v>5</v>
      </c>
      <c r="AD706" s="4">
        <v>13</v>
      </c>
      <c r="AE706" s="4">
        <v>14</v>
      </c>
      <c r="AF706" s="4">
        <v>2</v>
      </c>
      <c r="AG706" s="4">
        <v>3</v>
      </c>
      <c r="AH706" s="4">
        <v>5</v>
      </c>
      <c r="AI706" s="4">
        <v>5</v>
      </c>
      <c r="AJ706" s="4">
        <v>7</v>
      </c>
      <c r="AK706" s="4">
        <v>8</v>
      </c>
      <c r="AL706" s="4">
        <v>2</v>
      </c>
      <c r="AM706" s="4">
        <v>2</v>
      </c>
      <c r="AN706" s="4">
        <v>0</v>
      </c>
      <c r="AO706" s="4">
        <v>0</v>
      </c>
      <c r="AP706" s="3" t="s">
        <v>58</v>
      </c>
      <c r="AQ706" s="3" t="s">
        <v>87</v>
      </c>
      <c r="AR706" s="6" t="str">
        <f>HYPERLINK("http://catalog.hathitrust.org/Record/000295597","HathiTrust Record")</f>
        <v>HathiTrust Record</v>
      </c>
      <c r="AS706" s="6" t="str">
        <f>HYPERLINK("https://creighton-primo.hosted.exlibrisgroup.com/primo-explore/search?tab=default_tab&amp;search_scope=EVERYTHING&amp;vid=01CRU&amp;lang=en_US&amp;offset=0&amp;query=any,contains,991004381969702656","Catalog Record")</f>
        <v>Catalog Record</v>
      </c>
      <c r="AT706" s="6" t="str">
        <f>HYPERLINK("http://www.worldcat.org/oclc/3223851","WorldCat Record")</f>
        <v>WorldCat Record</v>
      </c>
      <c r="AU706" s="3" t="s">
        <v>9323</v>
      </c>
      <c r="AV706" s="3" t="s">
        <v>9324</v>
      </c>
      <c r="AW706" s="3" t="s">
        <v>9325</v>
      </c>
      <c r="AX706" s="3" t="s">
        <v>9325</v>
      </c>
      <c r="AY706" s="3" t="s">
        <v>9326</v>
      </c>
      <c r="AZ706" s="3" t="s">
        <v>74</v>
      </c>
      <c r="BB706" s="3" t="s">
        <v>9327</v>
      </c>
      <c r="BC706" s="3" t="s">
        <v>9328</v>
      </c>
      <c r="BD706" s="3" t="s">
        <v>9329</v>
      </c>
    </row>
    <row r="707" spans="1:56" ht="45.75" customHeight="1" x14ac:dyDescent="0.25">
      <c r="A707" s="7" t="s">
        <v>58</v>
      </c>
      <c r="B707" s="2" t="s">
        <v>9330</v>
      </c>
      <c r="C707" s="2" t="s">
        <v>9331</v>
      </c>
      <c r="D707" s="2" t="s">
        <v>9332</v>
      </c>
      <c r="F707" s="3" t="s">
        <v>58</v>
      </c>
      <c r="G707" s="3" t="s">
        <v>59</v>
      </c>
      <c r="H707" s="3" t="s">
        <v>58</v>
      </c>
      <c r="I707" s="3" t="s">
        <v>58</v>
      </c>
      <c r="J707" s="3" t="s">
        <v>60</v>
      </c>
      <c r="K707" s="2" t="s">
        <v>9333</v>
      </c>
      <c r="L707" s="2" t="s">
        <v>9334</v>
      </c>
      <c r="M707" s="3" t="s">
        <v>923</v>
      </c>
      <c r="O707" s="3" t="s">
        <v>65</v>
      </c>
      <c r="P707" s="3" t="s">
        <v>336</v>
      </c>
      <c r="Q707" s="2" t="s">
        <v>9335</v>
      </c>
      <c r="R707" s="3" t="s">
        <v>67</v>
      </c>
      <c r="S707" s="4">
        <v>34</v>
      </c>
      <c r="T707" s="4">
        <v>34</v>
      </c>
      <c r="U707" s="5" t="s">
        <v>9336</v>
      </c>
      <c r="V707" s="5" t="s">
        <v>9336</v>
      </c>
      <c r="W707" s="5" t="s">
        <v>5890</v>
      </c>
      <c r="X707" s="5" t="s">
        <v>5890</v>
      </c>
      <c r="Y707" s="4">
        <v>543</v>
      </c>
      <c r="Z707" s="4">
        <v>454</v>
      </c>
      <c r="AA707" s="4">
        <v>757</v>
      </c>
      <c r="AB707" s="4">
        <v>4</v>
      </c>
      <c r="AC707" s="4">
        <v>5</v>
      </c>
      <c r="AD707" s="4">
        <v>16</v>
      </c>
      <c r="AE707" s="4">
        <v>30</v>
      </c>
      <c r="AF707" s="4">
        <v>4</v>
      </c>
      <c r="AG707" s="4">
        <v>11</v>
      </c>
      <c r="AH707" s="4">
        <v>1</v>
      </c>
      <c r="AI707" s="4">
        <v>4</v>
      </c>
      <c r="AJ707" s="4">
        <v>10</v>
      </c>
      <c r="AK707" s="4">
        <v>17</v>
      </c>
      <c r="AL707" s="4">
        <v>3</v>
      </c>
      <c r="AM707" s="4">
        <v>4</v>
      </c>
      <c r="AN707" s="4">
        <v>0</v>
      </c>
      <c r="AO707" s="4">
        <v>0</v>
      </c>
      <c r="AP707" s="3" t="s">
        <v>58</v>
      </c>
      <c r="AQ707" s="3" t="s">
        <v>58</v>
      </c>
      <c r="AS707" s="6" t="str">
        <f>HYPERLINK("https://creighton-primo.hosted.exlibrisgroup.com/primo-explore/search?tab=default_tab&amp;search_scope=EVERYTHING&amp;vid=01CRU&amp;lang=en_US&amp;offset=0&amp;query=any,contains,991005178289702656","Catalog Record")</f>
        <v>Catalog Record</v>
      </c>
      <c r="AT707" s="6" t="str">
        <f>HYPERLINK("http://www.worldcat.org/oclc/7925709","WorldCat Record")</f>
        <v>WorldCat Record</v>
      </c>
      <c r="AU707" s="3" t="s">
        <v>9337</v>
      </c>
      <c r="AV707" s="3" t="s">
        <v>9338</v>
      </c>
      <c r="AW707" s="3" t="s">
        <v>9339</v>
      </c>
      <c r="AX707" s="3" t="s">
        <v>9339</v>
      </c>
      <c r="AY707" s="3" t="s">
        <v>9340</v>
      </c>
      <c r="AZ707" s="3" t="s">
        <v>74</v>
      </c>
      <c r="BB707" s="3" t="s">
        <v>9341</v>
      </c>
      <c r="BC707" s="3" t="s">
        <v>9342</v>
      </c>
      <c r="BD707" s="3" t="s">
        <v>9343</v>
      </c>
    </row>
    <row r="708" spans="1:56" ht="45.75" customHeight="1" x14ac:dyDescent="0.25">
      <c r="A708" s="7" t="s">
        <v>58</v>
      </c>
      <c r="B708" s="2" t="s">
        <v>9344</v>
      </c>
      <c r="C708" s="2" t="s">
        <v>9345</v>
      </c>
      <c r="D708" s="2" t="s">
        <v>9346</v>
      </c>
      <c r="F708" s="3" t="s">
        <v>58</v>
      </c>
      <c r="G708" s="3" t="s">
        <v>59</v>
      </c>
      <c r="H708" s="3" t="s">
        <v>58</v>
      </c>
      <c r="I708" s="3" t="s">
        <v>58</v>
      </c>
      <c r="J708" s="3" t="s">
        <v>60</v>
      </c>
      <c r="K708" s="2" t="s">
        <v>9347</v>
      </c>
      <c r="L708" s="2" t="s">
        <v>9348</v>
      </c>
      <c r="M708" s="3" t="s">
        <v>3358</v>
      </c>
      <c r="O708" s="3" t="s">
        <v>65</v>
      </c>
      <c r="P708" s="3" t="s">
        <v>84</v>
      </c>
      <c r="R708" s="3" t="s">
        <v>67</v>
      </c>
      <c r="S708" s="4">
        <v>8</v>
      </c>
      <c r="T708" s="4">
        <v>8</v>
      </c>
      <c r="U708" s="5" t="s">
        <v>9349</v>
      </c>
      <c r="V708" s="5" t="s">
        <v>9349</v>
      </c>
      <c r="W708" s="5" t="s">
        <v>2325</v>
      </c>
      <c r="X708" s="5" t="s">
        <v>2325</v>
      </c>
      <c r="Y708" s="4">
        <v>596</v>
      </c>
      <c r="Z708" s="4">
        <v>526</v>
      </c>
      <c r="AA708" s="4">
        <v>528</v>
      </c>
      <c r="AB708" s="4">
        <v>7</v>
      </c>
      <c r="AC708" s="4">
        <v>7</v>
      </c>
      <c r="AD708" s="4">
        <v>20</v>
      </c>
      <c r="AE708" s="4">
        <v>20</v>
      </c>
      <c r="AF708" s="4">
        <v>6</v>
      </c>
      <c r="AG708" s="4">
        <v>6</v>
      </c>
      <c r="AH708" s="4">
        <v>4</v>
      </c>
      <c r="AI708" s="4">
        <v>4</v>
      </c>
      <c r="AJ708" s="4">
        <v>11</v>
      </c>
      <c r="AK708" s="4">
        <v>11</v>
      </c>
      <c r="AL708" s="4">
        <v>5</v>
      </c>
      <c r="AM708" s="4">
        <v>5</v>
      </c>
      <c r="AN708" s="4">
        <v>1</v>
      </c>
      <c r="AO708" s="4">
        <v>1</v>
      </c>
      <c r="AP708" s="3" t="s">
        <v>58</v>
      </c>
      <c r="AQ708" s="3" t="s">
        <v>87</v>
      </c>
      <c r="AR708" s="6" t="str">
        <f>HYPERLINK("http://catalog.hathitrust.org/Record/000003501","HathiTrust Record")</f>
        <v>HathiTrust Record</v>
      </c>
      <c r="AS708" s="6" t="str">
        <f>HYPERLINK("https://creighton-primo.hosted.exlibrisgroup.com/primo-explore/search?tab=default_tab&amp;search_scope=EVERYTHING&amp;vid=01CRU&amp;lang=en_US&amp;offset=0&amp;query=any,contains,991001906819702656","Catalog Record")</f>
        <v>Catalog Record</v>
      </c>
      <c r="AT708" s="6" t="str">
        <f>HYPERLINK("http://www.worldcat.org/oclc/240892","WorldCat Record")</f>
        <v>WorldCat Record</v>
      </c>
      <c r="AU708" s="3" t="s">
        <v>9350</v>
      </c>
      <c r="AV708" s="3" t="s">
        <v>9351</v>
      </c>
      <c r="AW708" s="3" t="s">
        <v>9352</v>
      </c>
      <c r="AX708" s="3" t="s">
        <v>9352</v>
      </c>
      <c r="AY708" s="3" t="s">
        <v>9353</v>
      </c>
      <c r="AZ708" s="3" t="s">
        <v>74</v>
      </c>
      <c r="BB708" s="3" t="s">
        <v>9354</v>
      </c>
      <c r="BC708" s="3" t="s">
        <v>9355</v>
      </c>
      <c r="BD708" s="3" t="s">
        <v>9356</v>
      </c>
    </row>
    <row r="709" spans="1:56" ht="45.75" customHeight="1" x14ac:dyDescent="0.25">
      <c r="A709" s="7" t="s">
        <v>58</v>
      </c>
      <c r="B709" s="2" t="s">
        <v>9357</v>
      </c>
      <c r="C709" s="2" t="s">
        <v>9358</v>
      </c>
      <c r="D709" s="2" t="s">
        <v>9359</v>
      </c>
      <c r="F709" s="3" t="s">
        <v>58</v>
      </c>
      <c r="G709" s="3" t="s">
        <v>59</v>
      </c>
      <c r="H709" s="3" t="s">
        <v>58</v>
      </c>
      <c r="I709" s="3" t="s">
        <v>58</v>
      </c>
      <c r="J709" s="3" t="s">
        <v>60</v>
      </c>
      <c r="K709" s="2" t="s">
        <v>9360</v>
      </c>
      <c r="L709" s="2" t="s">
        <v>9361</v>
      </c>
      <c r="M709" s="3" t="s">
        <v>1544</v>
      </c>
      <c r="O709" s="3" t="s">
        <v>65</v>
      </c>
      <c r="P709" s="3" t="s">
        <v>84</v>
      </c>
      <c r="Q709" s="2" t="s">
        <v>9362</v>
      </c>
      <c r="R709" s="3" t="s">
        <v>67</v>
      </c>
      <c r="S709" s="4">
        <v>5</v>
      </c>
      <c r="T709" s="4">
        <v>5</v>
      </c>
      <c r="U709" s="5" t="s">
        <v>9363</v>
      </c>
      <c r="V709" s="5" t="s">
        <v>9363</v>
      </c>
      <c r="W709" s="5" t="s">
        <v>9364</v>
      </c>
      <c r="X709" s="5" t="s">
        <v>9364</v>
      </c>
      <c r="Y709" s="4">
        <v>548</v>
      </c>
      <c r="Z709" s="4">
        <v>484</v>
      </c>
      <c r="AA709" s="4">
        <v>491</v>
      </c>
      <c r="AB709" s="4">
        <v>5</v>
      </c>
      <c r="AC709" s="4">
        <v>5</v>
      </c>
      <c r="AD709" s="4">
        <v>23</v>
      </c>
      <c r="AE709" s="4">
        <v>23</v>
      </c>
      <c r="AF709" s="4">
        <v>5</v>
      </c>
      <c r="AG709" s="4">
        <v>5</v>
      </c>
      <c r="AH709" s="4">
        <v>8</v>
      </c>
      <c r="AI709" s="4">
        <v>8</v>
      </c>
      <c r="AJ709" s="4">
        <v>10</v>
      </c>
      <c r="AK709" s="4">
        <v>10</v>
      </c>
      <c r="AL709" s="4">
        <v>4</v>
      </c>
      <c r="AM709" s="4">
        <v>4</v>
      </c>
      <c r="AN709" s="4">
        <v>1</v>
      </c>
      <c r="AO709" s="4">
        <v>1</v>
      </c>
      <c r="AP709" s="3" t="s">
        <v>58</v>
      </c>
      <c r="AQ709" s="3" t="s">
        <v>87</v>
      </c>
      <c r="AR709" s="6" t="str">
        <f>HYPERLINK("http://catalog.hathitrust.org/Record/000002480","HathiTrust Record")</f>
        <v>HathiTrust Record</v>
      </c>
      <c r="AS709" s="6" t="str">
        <f>HYPERLINK("https://creighton-primo.hosted.exlibrisgroup.com/primo-explore/search?tab=default_tab&amp;search_scope=EVERYTHING&amp;vid=01CRU&amp;lang=en_US&amp;offset=0&amp;query=any,contains,991000932649702656","Catalog Record")</f>
        <v>Catalog Record</v>
      </c>
      <c r="AT709" s="6" t="str">
        <f>HYPERLINK("http://www.worldcat.org/oclc/163910","WorldCat Record")</f>
        <v>WorldCat Record</v>
      </c>
      <c r="AU709" s="3" t="s">
        <v>9365</v>
      </c>
      <c r="AV709" s="3" t="s">
        <v>9366</v>
      </c>
      <c r="AW709" s="3" t="s">
        <v>9367</v>
      </c>
      <c r="AX709" s="3" t="s">
        <v>9367</v>
      </c>
      <c r="AY709" s="3" t="s">
        <v>9368</v>
      </c>
      <c r="AZ709" s="3" t="s">
        <v>74</v>
      </c>
      <c r="BB709" s="3" t="s">
        <v>9369</v>
      </c>
      <c r="BC709" s="3" t="s">
        <v>9370</v>
      </c>
      <c r="BD709" s="3" t="s">
        <v>9371</v>
      </c>
    </row>
    <row r="710" spans="1:56" ht="45.75" customHeight="1" x14ac:dyDescent="0.25">
      <c r="A710" s="7" t="s">
        <v>58</v>
      </c>
      <c r="B710" s="2" t="s">
        <v>9372</v>
      </c>
      <c r="C710" s="2" t="s">
        <v>9373</v>
      </c>
      <c r="D710" s="2" t="s">
        <v>9374</v>
      </c>
      <c r="F710" s="3" t="s">
        <v>58</v>
      </c>
      <c r="G710" s="3" t="s">
        <v>59</v>
      </c>
      <c r="H710" s="3" t="s">
        <v>58</v>
      </c>
      <c r="I710" s="3" t="s">
        <v>58</v>
      </c>
      <c r="J710" s="3" t="s">
        <v>60</v>
      </c>
      <c r="K710" s="2" t="s">
        <v>9375</v>
      </c>
      <c r="L710" s="2" t="s">
        <v>9376</v>
      </c>
      <c r="M710" s="3" t="s">
        <v>1662</v>
      </c>
      <c r="O710" s="3" t="s">
        <v>65</v>
      </c>
      <c r="P710" s="3" t="s">
        <v>336</v>
      </c>
      <c r="R710" s="3" t="s">
        <v>67</v>
      </c>
      <c r="S710" s="4">
        <v>10</v>
      </c>
      <c r="T710" s="4">
        <v>10</v>
      </c>
      <c r="U710" s="5" t="s">
        <v>9377</v>
      </c>
      <c r="V710" s="5" t="s">
        <v>9377</v>
      </c>
      <c r="W710" s="5" t="s">
        <v>9378</v>
      </c>
      <c r="X710" s="5" t="s">
        <v>9378</v>
      </c>
      <c r="Y710" s="4">
        <v>1053</v>
      </c>
      <c r="Z710" s="4">
        <v>830</v>
      </c>
      <c r="AA710" s="4">
        <v>1116</v>
      </c>
      <c r="AB710" s="4">
        <v>6</v>
      </c>
      <c r="AC710" s="4">
        <v>11</v>
      </c>
      <c r="AD710" s="4">
        <v>34</v>
      </c>
      <c r="AE710" s="4">
        <v>48</v>
      </c>
      <c r="AF710" s="4">
        <v>11</v>
      </c>
      <c r="AG710" s="4">
        <v>19</v>
      </c>
      <c r="AH710" s="4">
        <v>8</v>
      </c>
      <c r="AI710" s="4">
        <v>10</v>
      </c>
      <c r="AJ710" s="4">
        <v>14</v>
      </c>
      <c r="AK710" s="4">
        <v>19</v>
      </c>
      <c r="AL710" s="4">
        <v>5</v>
      </c>
      <c r="AM710" s="4">
        <v>9</v>
      </c>
      <c r="AN710" s="4">
        <v>3</v>
      </c>
      <c r="AO710" s="4">
        <v>3</v>
      </c>
      <c r="AP710" s="3" t="s">
        <v>58</v>
      </c>
      <c r="AQ710" s="3" t="s">
        <v>58</v>
      </c>
      <c r="AS710" s="6" t="str">
        <f>HYPERLINK("https://creighton-primo.hosted.exlibrisgroup.com/primo-explore/search?tab=default_tab&amp;search_scope=EVERYTHING&amp;vid=01CRU&amp;lang=en_US&amp;offset=0&amp;query=any,contains,991002380649702656","Catalog Record")</f>
        <v>Catalog Record</v>
      </c>
      <c r="AT710" s="6" t="str">
        <f>HYPERLINK("http://www.worldcat.org/oclc/328277","WorldCat Record")</f>
        <v>WorldCat Record</v>
      </c>
      <c r="AU710" s="3" t="s">
        <v>9379</v>
      </c>
      <c r="AV710" s="3" t="s">
        <v>9380</v>
      </c>
      <c r="AW710" s="3" t="s">
        <v>9381</v>
      </c>
      <c r="AX710" s="3" t="s">
        <v>9381</v>
      </c>
      <c r="AY710" s="3" t="s">
        <v>9382</v>
      </c>
      <c r="AZ710" s="3" t="s">
        <v>74</v>
      </c>
      <c r="BC710" s="3" t="s">
        <v>9383</v>
      </c>
      <c r="BD710" s="3" t="s">
        <v>9384</v>
      </c>
    </row>
    <row r="711" spans="1:56" ht="45.75" customHeight="1" x14ac:dyDescent="0.25">
      <c r="A711" s="7" t="s">
        <v>58</v>
      </c>
      <c r="B711" s="2" t="s">
        <v>9385</v>
      </c>
      <c r="C711" s="2" t="s">
        <v>9386</v>
      </c>
      <c r="D711" s="2" t="s">
        <v>9387</v>
      </c>
      <c r="F711" s="3" t="s">
        <v>58</v>
      </c>
      <c r="G711" s="3" t="s">
        <v>59</v>
      </c>
      <c r="H711" s="3" t="s">
        <v>87</v>
      </c>
      <c r="I711" s="3" t="s">
        <v>58</v>
      </c>
      <c r="J711" s="3" t="s">
        <v>60</v>
      </c>
      <c r="K711" s="2" t="s">
        <v>9388</v>
      </c>
      <c r="L711" s="2" t="s">
        <v>9389</v>
      </c>
      <c r="M711" s="3" t="s">
        <v>9390</v>
      </c>
      <c r="O711" s="3" t="s">
        <v>65</v>
      </c>
      <c r="P711" s="3" t="s">
        <v>190</v>
      </c>
      <c r="R711" s="3" t="s">
        <v>67</v>
      </c>
      <c r="S711" s="4">
        <v>22</v>
      </c>
      <c r="T711" s="4">
        <v>24</v>
      </c>
      <c r="U711" s="5" t="s">
        <v>728</v>
      </c>
      <c r="V711" s="5" t="s">
        <v>728</v>
      </c>
      <c r="W711" s="5" t="s">
        <v>9391</v>
      </c>
      <c r="X711" s="5" t="s">
        <v>9391</v>
      </c>
      <c r="Y711" s="4">
        <v>1533</v>
      </c>
      <c r="Z711" s="4">
        <v>1336</v>
      </c>
      <c r="AA711" s="4">
        <v>2061</v>
      </c>
      <c r="AB711" s="4">
        <v>11</v>
      </c>
      <c r="AC711" s="4">
        <v>15</v>
      </c>
      <c r="AD711" s="4">
        <v>53</v>
      </c>
      <c r="AE711" s="4">
        <v>65</v>
      </c>
      <c r="AF711" s="4">
        <v>19</v>
      </c>
      <c r="AG711" s="4">
        <v>24</v>
      </c>
      <c r="AH711" s="4">
        <v>11</v>
      </c>
      <c r="AI711" s="4">
        <v>11</v>
      </c>
      <c r="AJ711" s="4">
        <v>23</v>
      </c>
      <c r="AK711" s="4">
        <v>28</v>
      </c>
      <c r="AL711" s="4">
        <v>9</v>
      </c>
      <c r="AM711" s="4">
        <v>12</v>
      </c>
      <c r="AN711" s="4">
        <v>2</v>
      </c>
      <c r="AO711" s="4">
        <v>2</v>
      </c>
      <c r="AP711" s="3" t="s">
        <v>58</v>
      </c>
      <c r="AQ711" s="3" t="s">
        <v>87</v>
      </c>
      <c r="AR711" s="6" t="str">
        <f>HYPERLINK("http://catalog.hathitrust.org/Record/000003838","HathiTrust Record")</f>
        <v>HathiTrust Record</v>
      </c>
      <c r="AS711" s="6" t="str">
        <f>HYPERLINK("https://creighton-primo.hosted.exlibrisgroup.com/primo-explore/search?tab=default_tab&amp;search_scope=EVERYTHING&amp;vid=01CRU&amp;lang=en_US&amp;offset=0&amp;query=any,contains,991001800339702656","Catalog Record")</f>
        <v>Catalog Record</v>
      </c>
      <c r="AT711" s="6" t="str">
        <f>HYPERLINK("http://www.worldcat.org/oclc/265046","WorldCat Record")</f>
        <v>WorldCat Record</v>
      </c>
      <c r="AU711" s="3" t="s">
        <v>9392</v>
      </c>
      <c r="AV711" s="3" t="s">
        <v>9393</v>
      </c>
      <c r="AW711" s="3" t="s">
        <v>9394</v>
      </c>
      <c r="AX711" s="3" t="s">
        <v>9394</v>
      </c>
      <c r="AY711" s="3" t="s">
        <v>9395</v>
      </c>
      <c r="AZ711" s="3" t="s">
        <v>74</v>
      </c>
      <c r="BC711" s="3" t="s">
        <v>9396</v>
      </c>
      <c r="BD711" s="3" t="s">
        <v>9397</v>
      </c>
    </row>
    <row r="712" spans="1:56" ht="45.75" customHeight="1" x14ac:dyDescent="0.25">
      <c r="A712" s="7" t="s">
        <v>58</v>
      </c>
      <c r="B712" s="2" t="s">
        <v>9398</v>
      </c>
      <c r="C712" s="2" t="s">
        <v>9399</v>
      </c>
      <c r="D712" s="2" t="s">
        <v>9400</v>
      </c>
      <c r="F712" s="3" t="s">
        <v>58</v>
      </c>
      <c r="G712" s="3" t="s">
        <v>59</v>
      </c>
      <c r="H712" s="3" t="s">
        <v>58</v>
      </c>
      <c r="I712" s="3" t="s">
        <v>58</v>
      </c>
      <c r="J712" s="3" t="s">
        <v>60</v>
      </c>
      <c r="K712" s="2" t="s">
        <v>9401</v>
      </c>
      <c r="L712" s="2" t="s">
        <v>9402</v>
      </c>
      <c r="M712" s="3" t="s">
        <v>2146</v>
      </c>
      <c r="O712" s="3" t="s">
        <v>65</v>
      </c>
      <c r="P712" s="3" t="s">
        <v>84</v>
      </c>
      <c r="R712" s="3" t="s">
        <v>67</v>
      </c>
      <c r="S712" s="4">
        <v>12</v>
      </c>
      <c r="T712" s="4">
        <v>12</v>
      </c>
      <c r="U712" s="5" t="s">
        <v>9403</v>
      </c>
      <c r="V712" s="5" t="s">
        <v>9403</v>
      </c>
      <c r="W712" s="5" t="s">
        <v>9404</v>
      </c>
      <c r="X712" s="5" t="s">
        <v>9404</v>
      </c>
      <c r="Y712" s="4">
        <v>529</v>
      </c>
      <c r="Z712" s="4">
        <v>461</v>
      </c>
      <c r="AA712" s="4">
        <v>586</v>
      </c>
      <c r="AB712" s="4">
        <v>6</v>
      </c>
      <c r="AC712" s="4">
        <v>6</v>
      </c>
      <c r="AD712" s="4">
        <v>21</v>
      </c>
      <c r="AE712" s="4">
        <v>25</v>
      </c>
      <c r="AF712" s="4">
        <v>4</v>
      </c>
      <c r="AG712" s="4">
        <v>8</v>
      </c>
      <c r="AH712" s="4">
        <v>6</v>
      </c>
      <c r="AI712" s="4">
        <v>6</v>
      </c>
      <c r="AJ712" s="4">
        <v>10</v>
      </c>
      <c r="AK712" s="4">
        <v>10</v>
      </c>
      <c r="AL712" s="4">
        <v>4</v>
      </c>
      <c r="AM712" s="4">
        <v>4</v>
      </c>
      <c r="AN712" s="4">
        <v>2</v>
      </c>
      <c r="AO712" s="4">
        <v>2</v>
      </c>
      <c r="AP712" s="3" t="s">
        <v>58</v>
      </c>
      <c r="AQ712" s="3" t="s">
        <v>87</v>
      </c>
      <c r="AR712" s="6" t="str">
        <f>HYPERLINK("http://catalog.hathitrust.org/Record/001120364","HathiTrust Record")</f>
        <v>HathiTrust Record</v>
      </c>
      <c r="AS712" s="6" t="str">
        <f>HYPERLINK("https://creighton-primo.hosted.exlibrisgroup.com/primo-explore/search?tab=default_tab&amp;search_scope=EVERYTHING&amp;vid=01CRU&amp;lang=en_US&amp;offset=0&amp;query=any,contains,991000941339702656","Catalog Record")</f>
        <v>Catalog Record</v>
      </c>
      <c r="AT712" s="6" t="str">
        <f>HYPERLINK("http://www.worldcat.org/oclc/166248","WorldCat Record")</f>
        <v>WorldCat Record</v>
      </c>
      <c r="AU712" s="3" t="s">
        <v>9405</v>
      </c>
      <c r="AV712" s="3" t="s">
        <v>9406</v>
      </c>
      <c r="AW712" s="3" t="s">
        <v>9407</v>
      </c>
      <c r="AX712" s="3" t="s">
        <v>9407</v>
      </c>
      <c r="AY712" s="3" t="s">
        <v>9408</v>
      </c>
      <c r="AZ712" s="3" t="s">
        <v>74</v>
      </c>
      <c r="BC712" s="3" t="s">
        <v>9409</v>
      </c>
      <c r="BD712" s="3" t="s">
        <v>9410</v>
      </c>
    </row>
    <row r="713" spans="1:56" ht="45.75" customHeight="1" x14ac:dyDescent="0.25">
      <c r="A713" s="7" t="s">
        <v>58</v>
      </c>
      <c r="B713" s="2" t="s">
        <v>9411</v>
      </c>
      <c r="C713" s="2" t="s">
        <v>9412</v>
      </c>
      <c r="D713" s="2" t="s">
        <v>9413</v>
      </c>
      <c r="F713" s="3" t="s">
        <v>58</v>
      </c>
      <c r="G713" s="3" t="s">
        <v>59</v>
      </c>
      <c r="H713" s="3" t="s">
        <v>58</v>
      </c>
      <c r="I713" s="3" t="s">
        <v>58</v>
      </c>
      <c r="J713" s="3" t="s">
        <v>60</v>
      </c>
      <c r="K713" s="2" t="s">
        <v>9414</v>
      </c>
      <c r="L713" s="2" t="s">
        <v>9415</v>
      </c>
      <c r="M713" s="3" t="s">
        <v>1623</v>
      </c>
      <c r="O713" s="3" t="s">
        <v>65</v>
      </c>
      <c r="P713" s="3" t="s">
        <v>1340</v>
      </c>
      <c r="R713" s="3" t="s">
        <v>67</v>
      </c>
      <c r="S713" s="4">
        <v>12</v>
      </c>
      <c r="T713" s="4">
        <v>12</v>
      </c>
      <c r="U713" s="5" t="s">
        <v>9416</v>
      </c>
      <c r="V713" s="5" t="s">
        <v>9416</v>
      </c>
      <c r="W713" s="5" t="s">
        <v>6480</v>
      </c>
      <c r="X713" s="5" t="s">
        <v>6480</v>
      </c>
      <c r="Y713" s="4">
        <v>487</v>
      </c>
      <c r="Z713" s="4">
        <v>390</v>
      </c>
      <c r="AA713" s="4">
        <v>401</v>
      </c>
      <c r="AB713" s="4">
        <v>3</v>
      </c>
      <c r="AC713" s="4">
        <v>3</v>
      </c>
      <c r="AD713" s="4">
        <v>21</v>
      </c>
      <c r="AE713" s="4">
        <v>23</v>
      </c>
      <c r="AF713" s="4">
        <v>6</v>
      </c>
      <c r="AG713" s="4">
        <v>7</v>
      </c>
      <c r="AH713" s="4">
        <v>6</v>
      </c>
      <c r="AI713" s="4">
        <v>7</v>
      </c>
      <c r="AJ713" s="4">
        <v>10</v>
      </c>
      <c r="AK713" s="4">
        <v>11</v>
      </c>
      <c r="AL713" s="4">
        <v>2</v>
      </c>
      <c r="AM713" s="4">
        <v>2</v>
      </c>
      <c r="AN713" s="4">
        <v>0</v>
      </c>
      <c r="AO713" s="4">
        <v>0</v>
      </c>
      <c r="AP713" s="3" t="s">
        <v>58</v>
      </c>
      <c r="AQ713" s="3" t="s">
        <v>87</v>
      </c>
      <c r="AR713" s="6" t="str">
        <f>HYPERLINK("http://catalog.hathitrust.org/Record/001134423","HathiTrust Record")</f>
        <v>HathiTrust Record</v>
      </c>
      <c r="AS713" s="6" t="str">
        <f>HYPERLINK("https://creighton-primo.hosted.exlibrisgroup.com/primo-explore/search?tab=default_tab&amp;search_scope=EVERYTHING&amp;vid=01CRU&amp;lang=en_US&amp;offset=0&amp;query=any,contains,991001913969702656","Catalog Record")</f>
        <v>Catalog Record</v>
      </c>
      <c r="AT713" s="6" t="str">
        <f>HYPERLINK("http://www.worldcat.org/oclc/14611010","WorldCat Record")</f>
        <v>WorldCat Record</v>
      </c>
      <c r="AU713" s="3" t="s">
        <v>9417</v>
      </c>
      <c r="AV713" s="3" t="s">
        <v>9418</v>
      </c>
      <c r="AW713" s="3" t="s">
        <v>9419</v>
      </c>
      <c r="AX713" s="3" t="s">
        <v>9419</v>
      </c>
      <c r="AY713" s="3" t="s">
        <v>9420</v>
      </c>
      <c r="AZ713" s="3" t="s">
        <v>74</v>
      </c>
      <c r="BC713" s="3" t="s">
        <v>9421</v>
      </c>
      <c r="BD713" s="3" t="s">
        <v>9422</v>
      </c>
    </row>
    <row r="714" spans="1:56" ht="45.75" customHeight="1" x14ac:dyDescent="0.25">
      <c r="A714" s="7" t="s">
        <v>58</v>
      </c>
      <c r="B714" s="2" t="s">
        <v>9423</v>
      </c>
      <c r="C714" s="2" t="s">
        <v>9424</v>
      </c>
      <c r="D714" s="2" t="s">
        <v>9425</v>
      </c>
      <c r="F714" s="3" t="s">
        <v>58</v>
      </c>
      <c r="G714" s="3" t="s">
        <v>59</v>
      </c>
      <c r="H714" s="3" t="s">
        <v>58</v>
      </c>
      <c r="I714" s="3" t="s">
        <v>58</v>
      </c>
      <c r="J714" s="3" t="s">
        <v>60</v>
      </c>
      <c r="K714" s="2" t="s">
        <v>9426</v>
      </c>
      <c r="L714" s="2" t="s">
        <v>9427</v>
      </c>
      <c r="M714" s="3" t="s">
        <v>2146</v>
      </c>
      <c r="O714" s="3" t="s">
        <v>65</v>
      </c>
      <c r="P714" s="3" t="s">
        <v>84</v>
      </c>
      <c r="Q714" s="2" t="s">
        <v>4096</v>
      </c>
      <c r="R714" s="3" t="s">
        <v>67</v>
      </c>
      <c r="S714" s="4">
        <v>3</v>
      </c>
      <c r="T714" s="4">
        <v>3</v>
      </c>
      <c r="U714" s="5" t="s">
        <v>9428</v>
      </c>
      <c r="V714" s="5" t="s">
        <v>9428</v>
      </c>
      <c r="W714" s="5" t="s">
        <v>6480</v>
      </c>
      <c r="X714" s="5" t="s">
        <v>6480</v>
      </c>
      <c r="Y714" s="4">
        <v>620</v>
      </c>
      <c r="Z714" s="4">
        <v>463</v>
      </c>
      <c r="AA714" s="4">
        <v>473</v>
      </c>
      <c r="AB714" s="4">
        <v>3</v>
      </c>
      <c r="AC714" s="4">
        <v>4</v>
      </c>
      <c r="AD714" s="4">
        <v>17</v>
      </c>
      <c r="AE714" s="4">
        <v>18</v>
      </c>
      <c r="AF714" s="4">
        <v>3</v>
      </c>
      <c r="AG714" s="4">
        <v>3</v>
      </c>
      <c r="AH714" s="4">
        <v>2</v>
      </c>
      <c r="AI714" s="4">
        <v>2</v>
      </c>
      <c r="AJ714" s="4">
        <v>9</v>
      </c>
      <c r="AK714" s="4">
        <v>9</v>
      </c>
      <c r="AL714" s="4">
        <v>2</v>
      </c>
      <c r="AM714" s="4">
        <v>3</v>
      </c>
      <c r="AN714" s="4">
        <v>1</v>
      </c>
      <c r="AO714" s="4">
        <v>1</v>
      </c>
      <c r="AP714" s="3" t="s">
        <v>58</v>
      </c>
      <c r="AQ714" s="3" t="s">
        <v>87</v>
      </c>
      <c r="AR714" s="6" t="str">
        <f>HYPERLINK("http://catalog.hathitrust.org/Record/000104326","HathiTrust Record")</f>
        <v>HathiTrust Record</v>
      </c>
      <c r="AS714" s="6" t="str">
        <f>HYPERLINK("https://creighton-primo.hosted.exlibrisgroup.com/primo-explore/search?tab=default_tab&amp;search_scope=EVERYTHING&amp;vid=01CRU&amp;lang=en_US&amp;offset=0&amp;query=any,contains,991002601449702656","Catalog Record")</f>
        <v>Catalog Record</v>
      </c>
      <c r="AT714" s="6" t="str">
        <f>HYPERLINK("http://www.worldcat.org/oclc/377257","WorldCat Record")</f>
        <v>WorldCat Record</v>
      </c>
      <c r="AU714" s="3" t="s">
        <v>9429</v>
      </c>
      <c r="AV714" s="3" t="s">
        <v>9430</v>
      </c>
      <c r="AW714" s="3" t="s">
        <v>9431</v>
      </c>
      <c r="AX714" s="3" t="s">
        <v>9431</v>
      </c>
      <c r="AY714" s="3" t="s">
        <v>9432</v>
      </c>
      <c r="AZ714" s="3" t="s">
        <v>74</v>
      </c>
      <c r="BC714" s="3" t="s">
        <v>9433</v>
      </c>
      <c r="BD714" s="3" t="s">
        <v>9434</v>
      </c>
    </row>
    <row r="715" spans="1:56" ht="45.75" customHeight="1" x14ac:dyDescent="0.25">
      <c r="A715" s="7" t="s">
        <v>58</v>
      </c>
      <c r="B715" s="2" t="s">
        <v>9435</v>
      </c>
      <c r="C715" s="2" t="s">
        <v>9436</v>
      </c>
      <c r="D715" s="2" t="s">
        <v>9437</v>
      </c>
      <c r="F715" s="3" t="s">
        <v>58</v>
      </c>
      <c r="G715" s="3" t="s">
        <v>59</v>
      </c>
      <c r="H715" s="3" t="s">
        <v>58</v>
      </c>
      <c r="I715" s="3" t="s">
        <v>58</v>
      </c>
      <c r="J715" s="3" t="s">
        <v>60</v>
      </c>
      <c r="L715" s="2" t="s">
        <v>9438</v>
      </c>
      <c r="M715" s="3" t="s">
        <v>1544</v>
      </c>
      <c r="O715" s="3" t="s">
        <v>65</v>
      </c>
      <c r="P715" s="3" t="s">
        <v>190</v>
      </c>
      <c r="R715" s="3" t="s">
        <v>67</v>
      </c>
      <c r="S715" s="4">
        <v>3</v>
      </c>
      <c r="T715" s="4">
        <v>3</v>
      </c>
      <c r="U715" s="5" t="s">
        <v>9439</v>
      </c>
      <c r="V715" s="5" t="s">
        <v>9439</v>
      </c>
      <c r="W715" s="5" t="s">
        <v>9364</v>
      </c>
      <c r="X715" s="5" t="s">
        <v>9364</v>
      </c>
      <c r="Y715" s="4">
        <v>369</v>
      </c>
      <c r="Z715" s="4">
        <v>322</v>
      </c>
      <c r="AA715" s="4">
        <v>325</v>
      </c>
      <c r="AB715" s="4">
        <v>4</v>
      </c>
      <c r="AC715" s="4">
        <v>4</v>
      </c>
      <c r="AD715" s="4">
        <v>17</v>
      </c>
      <c r="AE715" s="4">
        <v>17</v>
      </c>
      <c r="AF715" s="4">
        <v>5</v>
      </c>
      <c r="AG715" s="4">
        <v>5</v>
      </c>
      <c r="AH715" s="4">
        <v>4</v>
      </c>
      <c r="AI715" s="4">
        <v>4</v>
      </c>
      <c r="AJ715" s="4">
        <v>7</v>
      </c>
      <c r="AK715" s="4">
        <v>7</v>
      </c>
      <c r="AL715" s="4">
        <v>3</v>
      </c>
      <c r="AM715" s="4">
        <v>3</v>
      </c>
      <c r="AN715" s="4">
        <v>1</v>
      </c>
      <c r="AO715" s="4">
        <v>1</v>
      </c>
      <c r="AP715" s="3" t="s">
        <v>58</v>
      </c>
      <c r="AQ715" s="3" t="s">
        <v>87</v>
      </c>
      <c r="AR715" s="6" t="str">
        <f>HYPERLINK("http://catalog.hathitrust.org/Record/000004269","HathiTrust Record")</f>
        <v>HathiTrust Record</v>
      </c>
      <c r="AS715" s="6" t="str">
        <f>HYPERLINK("https://creighton-primo.hosted.exlibrisgroup.com/primo-explore/search?tab=default_tab&amp;search_scope=EVERYTHING&amp;vid=01CRU&amp;lang=en_US&amp;offset=0&amp;query=any,contains,991002248809702656","Catalog Record")</f>
        <v>Catalog Record</v>
      </c>
      <c r="AT715" s="6" t="str">
        <f>HYPERLINK("http://www.worldcat.org/oclc/298347","WorldCat Record")</f>
        <v>WorldCat Record</v>
      </c>
      <c r="AU715" s="3" t="s">
        <v>9440</v>
      </c>
      <c r="AV715" s="3" t="s">
        <v>9441</v>
      </c>
      <c r="AW715" s="3" t="s">
        <v>9442</v>
      </c>
      <c r="AX715" s="3" t="s">
        <v>9442</v>
      </c>
      <c r="AY715" s="3" t="s">
        <v>9443</v>
      </c>
      <c r="AZ715" s="3" t="s">
        <v>74</v>
      </c>
      <c r="BC715" s="3" t="s">
        <v>9444</v>
      </c>
      <c r="BD715" s="3" t="s">
        <v>9445</v>
      </c>
    </row>
    <row r="716" spans="1:56" ht="45.75" customHeight="1" x14ac:dyDescent="0.25">
      <c r="A716" s="7" t="s">
        <v>58</v>
      </c>
      <c r="B716" s="2" t="s">
        <v>9446</v>
      </c>
      <c r="C716" s="2" t="s">
        <v>9447</v>
      </c>
      <c r="D716" s="2" t="s">
        <v>9448</v>
      </c>
      <c r="F716" s="3" t="s">
        <v>58</v>
      </c>
      <c r="G716" s="3" t="s">
        <v>59</v>
      </c>
      <c r="H716" s="3" t="s">
        <v>87</v>
      </c>
      <c r="I716" s="3" t="s">
        <v>58</v>
      </c>
      <c r="J716" s="3" t="s">
        <v>60</v>
      </c>
      <c r="K716" s="2" t="s">
        <v>9449</v>
      </c>
      <c r="L716" s="2" t="s">
        <v>9450</v>
      </c>
      <c r="M716" s="3" t="s">
        <v>9451</v>
      </c>
      <c r="O716" s="3" t="s">
        <v>65</v>
      </c>
      <c r="P716" s="3" t="s">
        <v>84</v>
      </c>
      <c r="R716" s="3" t="s">
        <v>67</v>
      </c>
      <c r="S716" s="4">
        <v>15</v>
      </c>
      <c r="T716" s="4">
        <v>16</v>
      </c>
      <c r="U716" s="5" t="s">
        <v>9403</v>
      </c>
      <c r="V716" s="5" t="s">
        <v>9403</v>
      </c>
      <c r="W716" s="5" t="s">
        <v>9452</v>
      </c>
      <c r="X716" s="5" t="s">
        <v>9452</v>
      </c>
      <c r="Y716" s="4">
        <v>537</v>
      </c>
      <c r="Z716" s="4">
        <v>480</v>
      </c>
      <c r="AA716" s="4">
        <v>755</v>
      </c>
      <c r="AB716" s="4">
        <v>4</v>
      </c>
      <c r="AC716" s="4">
        <v>6</v>
      </c>
      <c r="AD716" s="4">
        <v>19</v>
      </c>
      <c r="AE716" s="4">
        <v>31</v>
      </c>
      <c r="AF716" s="4">
        <v>8</v>
      </c>
      <c r="AG716" s="4">
        <v>13</v>
      </c>
      <c r="AH716" s="4">
        <v>3</v>
      </c>
      <c r="AI716" s="4">
        <v>6</v>
      </c>
      <c r="AJ716" s="4">
        <v>7</v>
      </c>
      <c r="AK716" s="4">
        <v>13</v>
      </c>
      <c r="AL716" s="4">
        <v>2</v>
      </c>
      <c r="AM716" s="4">
        <v>4</v>
      </c>
      <c r="AN716" s="4">
        <v>1</v>
      </c>
      <c r="AO716" s="4">
        <v>1</v>
      </c>
      <c r="AP716" s="3" t="s">
        <v>58</v>
      </c>
      <c r="AQ716" s="3" t="s">
        <v>87</v>
      </c>
      <c r="AR716" s="6" t="str">
        <f>HYPERLINK("http://catalog.hathitrust.org/Record/000030140","HathiTrust Record")</f>
        <v>HathiTrust Record</v>
      </c>
      <c r="AS716" s="6" t="str">
        <f>HYPERLINK("https://creighton-primo.hosted.exlibrisgroup.com/primo-explore/search?tab=default_tab&amp;search_scope=EVERYTHING&amp;vid=01CRU&amp;lang=en_US&amp;offset=0&amp;query=any,contains,991001767249702656","Catalog Record")</f>
        <v>Catalog Record</v>
      </c>
      <c r="AT716" s="6" t="str">
        <f>HYPERLINK("http://www.worldcat.org/oclc/328304","WorldCat Record")</f>
        <v>WorldCat Record</v>
      </c>
      <c r="AU716" s="3" t="s">
        <v>9453</v>
      </c>
      <c r="AV716" s="3" t="s">
        <v>9454</v>
      </c>
      <c r="AW716" s="3" t="s">
        <v>9455</v>
      </c>
      <c r="AX716" s="3" t="s">
        <v>9455</v>
      </c>
      <c r="AY716" s="3" t="s">
        <v>9456</v>
      </c>
      <c r="AZ716" s="3" t="s">
        <v>74</v>
      </c>
      <c r="BC716" s="3" t="s">
        <v>9457</v>
      </c>
      <c r="BD716" s="3" t="s">
        <v>9458</v>
      </c>
    </row>
    <row r="717" spans="1:56" ht="45.75" customHeight="1" x14ac:dyDescent="0.25">
      <c r="A717" s="7" t="s">
        <v>58</v>
      </c>
      <c r="B717" s="2" t="s">
        <v>9459</v>
      </c>
      <c r="C717" s="2" t="s">
        <v>9460</v>
      </c>
      <c r="D717" s="2" t="s">
        <v>9461</v>
      </c>
      <c r="F717" s="3" t="s">
        <v>58</v>
      </c>
      <c r="G717" s="3" t="s">
        <v>59</v>
      </c>
      <c r="H717" s="3" t="s">
        <v>87</v>
      </c>
      <c r="I717" s="3" t="s">
        <v>58</v>
      </c>
      <c r="J717" s="3" t="s">
        <v>60</v>
      </c>
      <c r="K717" s="2" t="s">
        <v>9462</v>
      </c>
      <c r="L717" s="2" t="s">
        <v>9463</v>
      </c>
      <c r="M717" s="3" t="s">
        <v>1662</v>
      </c>
      <c r="N717" s="2" t="s">
        <v>4473</v>
      </c>
      <c r="O717" s="3" t="s">
        <v>65</v>
      </c>
      <c r="P717" s="3" t="s">
        <v>84</v>
      </c>
      <c r="R717" s="3" t="s">
        <v>67</v>
      </c>
      <c r="S717" s="4">
        <v>1</v>
      </c>
      <c r="T717" s="4">
        <v>3</v>
      </c>
      <c r="V717" s="5" t="s">
        <v>9464</v>
      </c>
      <c r="W717" s="5" t="s">
        <v>6400</v>
      </c>
      <c r="X717" s="5" t="s">
        <v>6400</v>
      </c>
      <c r="Y717" s="4">
        <v>780</v>
      </c>
      <c r="Z717" s="4">
        <v>684</v>
      </c>
      <c r="AA717" s="4">
        <v>778</v>
      </c>
      <c r="AB717" s="4">
        <v>6</v>
      </c>
      <c r="AC717" s="4">
        <v>6</v>
      </c>
      <c r="AD717" s="4">
        <v>31</v>
      </c>
      <c r="AE717" s="4">
        <v>35</v>
      </c>
      <c r="AF717" s="4">
        <v>13</v>
      </c>
      <c r="AG717" s="4">
        <v>15</v>
      </c>
      <c r="AH717" s="4">
        <v>4</v>
      </c>
      <c r="AI717" s="4">
        <v>6</v>
      </c>
      <c r="AJ717" s="4">
        <v>19</v>
      </c>
      <c r="AK717" s="4">
        <v>20</v>
      </c>
      <c r="AL717" s="4">
        <v>4</v>
      </c>
      <c r="AM717" s="4">
        <v>4</v>
      </c>
      <c r="AN717" s="4">
        <v>1</v>
      </c>
      <c r="AO717" s="4">
        <v>1</v>
      </c>
      <c r="AP717" s="3" t="s">
        <v>58</v>
      </c>
      <c r="AQ717" s="3" t="s">
        <v>87</v>
      </c>
      <c r="AR717" s="6" t="str">
        <f>HYPERLINK("http://catalog.hathitrust.org/Record/001134437","HathiTrust Record")</f>
        <v>HathiTrust Record</v>
      </c>
      <c r="AS717" s="6" t="str">
        <f>HYPERLINK("https://creighton-primo.hosted.exlibrisgroup.com/primo-explore/search?tab=default_tab&amp;search_scope=EVERYTHING&amp;vid=01CRU&amp;lang=en_US&amp;offset=0&amp;query=any,contains,991001767209702656","Catalog Record")</f>
        <v>Catalog Record</v>
      </c>
      <c r="AT717" s="6" t="str">
        <f>HYPERLINK("http://www.worldcat.org/oclc/265031","WorldCat Record")</f>
        <v>WorldCat Record</v>
      </c>
      <c r="AU717" s="3" t="s">
        <v>9465</v>
      </c>
      <c r="AV717" s="3" t="s">
        <v>9466</v>
      </c>
      <c r="AW717" s="3" t="s">
        <v>9467</v>
      </c>
      <c r="AX717" s="3" t="s">
        <v>9467</v>
      </c>
      <c r="AY717" s="3" t="s">
        <v>9468</v>
      </c>
      <c r="AZ717" s="3" t="s">
        <v>74</v>
      </c>
      <c r="BC717" s="3" t="s">
        <v>9469</v>
      </c>
      <c r="BD717" s="3" t="s">
        <v>9470</v>
      </c>
    </row>
    <row r="718" spans="1:56" ht="45.75" customHeight="1" x14ac:dyDescent="0.25">
      <c r="A718" s="7" t="s">
        <v>58</v>
      </c>
      <c r="B718" s="2" t="s">
        <v>9471</v>
      </c>
      <c r="C718" s="2" t="s">
        <v>9472</v>
      </c>
      <c r="D718" s="2" t="s">
        <v>9473</v>
      </c>
      <c r="F718" s="3" t="s">
        <v>58</v>
      </c>
      <c r="G718" s="3" t="s">
        <v>59</v>
      </c>
      <c r="H718" s="3" t="s">
        <v>58</v>
      </c>
      <c r="I718" s="3" t="s">
        <v>58</v>
      </c>
      <c r="J718" s="3" t="s">
        <v>60</v>
      </c>
      <c r="K718" s="2" t="s">
        <v>9462</v>
      </c>
      <c r="L718" s="2" t="s">
        <v>9474</v>
      </c>
      <c r="M718" s="3" t="s">
        <v>2506</v>
      </c>
      <c r="O718" s="3" t="s">
        <v>65</v>
      </c>
      <c r="P718" s="3" t="s">
        <v>84</v>
      </c>
      <c r="R718" s="3" t="s">
        <v>67</v>
      </c>
      <c r="S718" s="4">
        <v>13</v>
      </c>
      <c r="T718" s="4">
        <v>13</v>
      </c>
      <c r="U718" s="5" t="s">
        <v>9475</v>
      </c>
      <c r="V718" s="5" t="s">
        <v>9475</v>
      </c>
      <c r="W718" s="5" t="s">
        <v>6480</v>
      </c>
      <c r="X718" s="5" t="s">
        <v>6480</v>
      </c>
      <c r="Y718" s="4">
        <v>628</v>
      </c>
      <c r="Z718" s="4">
        <v>559</v>
      </c>
      <c r="AA718" s="4">
        <v>766</v>
      </c>
      <c r="AB718" s="4">
        <v>6</v>
      </c>
      <c r="AC718" s="4">
        <v>6</v>
      </c>
      <c r="AD718" s="4">
        <v>28</v>
      </c>
      <c r="AE718" s="4">
        <v>35</v>
      </c>
      <c r="AF718" s="4">
        <v>11</v>
      </c>
      <c r="AG718" s="4">
        <v>16</v>
      </c>
      <c r="AH718" s="4">
        <v>3</v>
      </c>
      <c r="AI718" s="4">
        <v>5</v>
      </c>
      <c r="AJ718" s="4">
        <v>13</v>
      </c>
      <c r="AK718" s="4">
        <v>17</v>
      </c>
      <c r="AL718" s="4">
        <v>5</v>
      </c>
      <c r="AM718" s="4">
        <v>5</v>
      </c>
      <c r="AN718" s="4">
        <v>0</v>
      </c>
      <c r="AO718" s="4">
        <v>0</v>
      </c>
      <c r="AP718" s="3" t="s">
        <v>58</v>
      </c>
      <c r="AQ718" s="3" t="s">
        <v>87</v>
      </c>
      <c r="AR718" s="6" t="str">
        <f>HYPERLINK("http://catalog.hathitrust.org/Record/001134438","HathiTrust Record")</f>
        <v>HathiTrust Record</v>
      </c>
      <c r="AS718" s="6" t="str">
        <f>HYPERLINK("https://creighton-primo.hosted.exlibrisgroup.com/primo-explore/search?tab=default_tab&amp;search_scope=EVERYTHING&amp;vid=01CRU&amp;lang=en_US&amp;offset=0&amp;query=any,contains,991000659999702656","Catalog Record")</f>
        <v>Catalog Record</v>
      </c>
      <c r="AT718" s="6" t="str">
        <f>HYPERLINK("http://www.worldcat.org/oclc/117281","WorldCat Record")</f>
        <v>WorldCat Record</v>
      </c>
      <c r="AU718" s="3" t="s">
        <v>9476</v>
      </c>
      <c r="AV718" s="3" t="s">
        <v>9477</v>
      </c>
      <c r="AW718" s="3" t="s">
        <v>9478</v>
      </c>
      <c r="AX718" s="3" t="s">
        <v>9478</v>
      </c>
      <c r="AY718" s="3" t="s">
        <v>9479</v>
      </c>
      <c r="AZ718" s="3" t="s">
        <v>74</v>
      </c>
      <c r="BB718" s="3" t="s">
        <v>9480</v>
      </c>
      <c r="BC718" s="3" t="s">
        <v>9481</v>
      </c>
      <c r="BD718" s="3" t="s">
        <v>9482</v>
      </c>
    </row>
    <row r="719" spans="1:56" ht="45.75" customHeight="1" x14ac:dyDescent="0.25">
      <c r="A719" s="7" t="s">
        <v>58</v>
      </c>
      <c r="B719" s="2" t="s">
        <v>9483</v>
      </c>
      <c r="C719" s="2" t="s">
        <v>9484</v>
      </c>
      <c r="D719" s="2" t="s">
        <v>9485</v>
      </c>
      <c r="F719" s="3" t="s">
        <v>58</v>
      </c>
      <c r="G719" s="3" t="s">
        <v>59</v>
      </c>
      <c r="H719" s="3" t="s">
        <v>58</v>
      </c>
      <c r="I719" s="3" t="s">
        <v>58</v>
      </c>
      <c r="J719" s="3" t="s">
        <v>60</v>
      </c>
      <c r="K719" s="2" t="s">
        <v>9486</v>
      </c>
      <c r="L719" s="2" t="s">
        <v>9487</v>
      </c>
      <c r="M719" s="3" t="s">
        <v>742</v>
      </c>
      <c r="O719" s="3" t="s">
        <v>65</v>
      </c>
      <c r="P719" s="3" t="s">
        <v>84</v>
      </c>
      <c r="Q719" s="2" t="s">
        <v>9488</v>
      </c>
      <c r="R719" s="3" t="s">
        <v>67</v>
      </c>
      <c r="S719" s="4">
        <v>29</v>
      </c>
      <c r="T719" s="4">
        <v>29</v>
      </c>
      <c r="U719" s="5" t="s">
        <v>9349</v>
      </c>
      <c r="V719" s="5" t="s">
        <v>9349</v>
      </c>
      <c r="W719" s="5" t="s">
        <v>9489</v>
      </c>
      <c r="X719" s="5" t="s">
        <v>9489</v>
      </c>
      <c r="Y719" s="4">
        <v>447</v>
      </c>
      <c r="Z719" s="4">
        <v>366</v>
      </c>
      <c r="AA719" s="4">
        <v>534</v>
      </c>
      <c r="AB719" s="4">
        <v>5</v>
      </c>
      <c r="AC719" s="4">
        <v>5</v>
      </c>
      <c r="AD719" s="4">
        <v>16</v>
      </c>
      <c r="AE719" s="4">
        <v>24</v>
      </c>
      <c r="AF719" s="4">
        <v>3</v>
      </c>
      <c r="AG719" s="4">
        <v>8</v>
      </c>
      <c r="AH719" s="4">
        <v>4</v>
      </c>
      <c r="AI719" s="4">
        <v>6</v>
      </c>
      <c r="AJ719" s="4">
        <v>8</v>
      </c>
      <c r="AK719" s="4">
        <v>12</v>
      </c>
      <c r="AL719" s="4">
        <v>4</v>
      </c>
      <c r="AM719" s="4">
        <v>4</v>
      </c>
      <c r="AN719" s="4">
        <v>0</v>
      </c>
      <c r="AO719" s="4">
        <v>0</v>
      </c>
      <c r="AP719" s="3" t="s">
        <v>58</v>
      </c>
      <c r="AQ719" s="3" t="s">
        <v>87</v>
      </c>
      <c r="AR719" s="6" t="str">
        <f>HYPERLINK("http://catalog.hathitrust.org/Record/004547489","HathiTrust Record")</f>
        <v>HathiTrust Record</v>
      </c>
      <c r="AS719" s="6" t="str">
        <f>HYPERLINK("https://creighton-primo.hosted.exlibrisgroup.com/primo-explore/search?tab=default_tab&amp;search_scope=EVERYTHING&amp;vid=01CRU&amp;lang=en_US&amp;offset=0&amp;query=any,contains,991001472699702656","Catalog Record")</f>
        <v>Catalog Record</v>
      </c>
      <c r="AT719" s="6" t="str">
        <f>HYPERLINK("http://www.worldcat.org/oclc/19554386","WorldCat Record")</f>
        <v>WorldCat Record</v>
      </c>
      <c r="AU719" s="3" t="s">
        <v>9490</v>
      </c>
      <c r="AV719" s="3" t="s">
        <v>9491</v>
      </c>
      <c r="AW719" s="3" t="s">
        <v>9492</v>
      </c>
      <c r="AX719" s="3" t="s">
        <v>9492</v>
      </c>
      <c r="AY719" s="3" t="s">
        <v>9493</v>
      </c>
      <c r="AZ719" s="3" t="s">
        <v>74</v>
      </c>
      <c r="BB719" s="3" t="s">
        <v>9494</v>
      </c>
      <c r="BC719" s="3" t="s">
        <v>9495</v>
      </c>
      <c r="BD719" s="3" t="s">
        <v>9496</v>
      </c>
    </row>
    <row r="720" spans="1:56" ht="45.75" customHeight="1" x14ac:dyDescent="0.25">
      <c r="A720" s="7" t="s">
        <v>58</v>
      </c>
      <c r="B720" s="2" t="s">
        <v>9497</v>
      </c>
      <c r="C720" s="2" t="s">
        <v>9498</v>
      </c>
      <c r="D720" s="2" t="s">
        <v>9499</v>
      </c>
      <c r="F720" s="3" t="s">
        <v>58</v>
      </c>
      <c r="G720" s="3" t="s">
        <v>59</v>
      </c>
      <c r="H720" s="3" t="s">
        <v>87</v>
      </c>
      <c r="I720" s="3" t="s">
        <v>58</v>
      </c>
      <c r="J720" s="3" t="s">
        <v>60</v>
      </c>
      <c r="L720" s="2" t="s">
        <v>9500</v>
      </c>
      <c r="M720" s="3" t="s">
        <v>100</v>
      </c>
      <c r="O720" s="3" t="s">
        <v>65</v>
      </c>
      <c r="P720" s="3" t="s">
        <v>772</v>
      </c>
      <c r="R720" s="3" t="s">
        <v>67</v>
      </c>
      <c r="S720" s="4">
        <v>20</v>
      </c>
      <c r="T720" s="4">
        <v>23</v>
      </c>
      <c r="U720" s="5" t="s">
        <v>9349</v>
      </c>
      <c r="V720" s="5" t="s">
        <v>9349</v>
      </c>
      <c r="W720" s="5" t="s">
        <v>6480</v>
      </c>
      <c r="X720" s="5" t="s">
        <v>6480</v>
      </c>
      <c r="Y720" s="4">
        <v>804</v>
      </c>
      <c r="Z720" s="4">
        <v>668</v>
      </c>
      <c r="AA720" s="4">
        <v>670</v>
      </c>
      <c r="AB720" s="4">
        <v>6</v>
      </c>
      <c r="AC720" s="4">
        <v>6</v>
      </c>
      <c r="AD720" s="4">
        <v>27</v>
      </c>
      <c r="AE720" s="4">
        <v>27</v>
      </c>
      <c r="AF720" s="4">
        <v>11</v>
      </c>
      <c r="AG720" s="4">
        <v>11</v>
      </c>
      <c r="AH720" s="4">
        <v>5</v>
      </c>
      <c r="AI720" s="4">
        <v>5</v>
      </c>
      <c r="AJ720" s="4">
        <v>16</v>
      </c>
      <c r="AK720" s="4">
        <v>16</v>
      </c>
      <c r="AL720" s="4">
        <v>3</v>
      </c>
      <c r="AM720" s="4">
        <v>3</v>
      </c>
      <c r="AN720" s="4">
        <v>0</v>
      </c>
      <c r="AO720" s="4">
        <v>0</v>
      </c>
      <c r="AP720" s="3" t="s">
        <v>58</v>
      </c>
      <c r="AQ720" s="3" t="s">
        <v>87</v>
      </c>
      <c r="AR720" s="6" t="str">
        <f>HYPERLINK("http://catalog.hathitrust.org/Record/000040669","HathiTrust Record")</f>
        <v>HathiTrust Record</v>
      </c>
      <c r="AS720" s="6" t="str">
        <f>HYPERLINK("https://creighton-primo.hosted.exlibrisgroup.com/primo-explore/search?tab=default_tab&amp;search_scope=EVERYTHING&amp;vid=01CRU&amp;lang=en_US&amp;offset=0&amp;query=any,contains,991001800419702656","Catalog Record")</f>
        <v>Catalog Record</v>
      </c>
      <c r="AT720" s="6" t="str">
        <f>HYPERLINK("http://www.worldcat.org/oclc/1659668","WorldCat Record")</f>
        <v>WorldCat Record</v>
      </c>
      <c r="AU720" s="3" t="s">
        <v>9501</v>
      </c>
      <c r="AV720" s="3" t="s">
        <v>9502</v>
      </c>
      <c r="AW720" s="3" t="s">
        <v>9503</v>
      </c>
      <c r="AX720" s="3" t="s">
        <v>9503</v>
      </c>
      <c r="AY720" s="3" t="s">
        <v>9504</v>
      </c>
      <c r="AZ720" s="3" t="s">
        <v>74</v>
      </c>
      <c r="BB720" s="3" t="s">
        <v>9505</v>
      </c>
      <c r="BC720" s="3" t="s">
        <v>9506</v>
      </c>
      <c r="BD720" s="3" t="s">
        <v>9507</v>
      </c>
    </row>
    <row r="721" spans="1:56" ht="45.75" customHeight="1" x14ac:dyDescent="0.25">
      <c r="A721" s="7" t="s">
        <v>58</v>
      </c>
      <c r="B721" s="2" t="s">
        <v>9508</v>
      </c>
      <c r="C721" s="2" t="s">
        <v>9509</v>
      </c>
      <c r="D721" s="2" t="s">
        <v>9510</v>
      </c>
      <c r="F721" s="3" t="s">
        <v>58</v>
      </c>
      <c r="G721" s="3" t="s">
        <v>59</v>
      </c>
      <c r="H721" s="3" t="s">
        <v>58</v>
      </c>
      <c r="I721" s="3" t="s">
        <v>58</v>
      </c>
      <c r="J721" s="3" t="s">
        <v>60</v>
      </c>
      <c r="L721" s="2" t="s">
        <v>9511</v>
      </c>
      <c r="M721" s="3" t="s">
        <v>1500</v>
      </c>
      <c r="O721" s="3" t="s">
        <v>65</v>
      </c>
      <c r="P721" s="3" t="s">
        <v>175</v>
      </c>
      <c r="R721" s="3" t="s">
        <v>67</v>
      </c>
      <c r="S721" s="4">
        <v>19</v>
      </c>
      <c r="T721" s="4">
        <v>19</v>
      </c>
      <c r="U721" s="5" t="s">
        <v>9512</v>
      </c>
      <c r="V721" s="5" t="s">
        <v>9512</v>
      </c>
      <c r="W721" s="5" t="s">
        <v>4293</v>
      </c>
      <c r="X721" s="5" t="s">
        <v>4293</v>
      </c>
      <c r="Y721" s="4">
        <v>238</v>
      </c>
      <c r="Z721" s="4">
        <v>130</v>
      </c>
      <c r="AA721" s="4">
        <v>132</v>
      </c>
      <c r="AB721" s="4">
        <v>1</v>
      </c>
      <c r="AC721" s="4">
        <v>1</v>
      </c>
      <c r="AD721" s="4">
        <v>1</v>
      </c>
      <c r="AE721" s="4">
        <v>1</v>
      </c>
      <c r="AF721" s="4">
        <v>0</v>
      </c>
      <c r="AG721" s="4">
        <v>0</v>
      </c>
      <c r="AH721" s="4">
        <v>0</v>
      </c>
      <c r="AI721" s="4">
        <v>0</v>
      </c>
      <c r="AJ721" s="4">
        <v>1</v>
      </c>
      <c r="AK721" s="4">
        <v>1</v>
      </c>
      <c r="AL721" s="4">
        <v>0</v>
      </c>
      <c r="AM721" s="4">
        <v>0</v>
      </c>
      <c r="AN721" s="4">
        <v>0</v>
      </c>
      <c r="AO721" s="4">
        <v>0</v>
      </c>
      <c r="AP721" s="3" t="s">
        <v>58</v>
      </c>
      <c r="AQ721" s="3" t="s">
        <v>87</v>
      </c>
      <c r="AR721" s="6" t="str">
        <f>HYPERLINK("http://catalog.hathitrust.org/Record/002193253","HathiTrust Record")</f>
        <v>HathiTrust Record</v>
      </c>
      <c r="AS721" s="6" t="str">
        <f>HYPERLINK("https://creighton-primo.hosted.exlibrisgroup.com/primo-explore/search?tab=default_tab&amp;search_scope=EVERYTHING&amp;vid=01CRU&amp;lang=en_US&amp;offset=0&amp;query=any,contains,991005066209702656","Catalog Record")</f>
        <v>Catalog Record</v>
      </c>
      <c r="AT721" s="6" t="str">
        <f>HYPERLINK("http://www.worldcat.org/oclc/6962727","WorldCat Record")</f>
        <v>WorldCat Record</v>
      </c>
      <c r="AU721" s="3" t="s">
        <v>9513</v>
      </c>
      <c r="AV721" s="3" t="s">
        <v>9514</v>
      </c>
      <c r="AW721" s="3" t="s">
        <v>9515</v>
      </c>
      <c r="AX721" s="3" t="s">
        <v>9515</v>
      </c>
      <c r="AY721" s="3" t="s">
        <v>9516</v>
      </c>
      <c r="AZ721" s="3" t="s">
        <v>74</v>
      </c>
      <c r="BB721" s="3" t="s">
        <v>9517</v>
      </c>
      <c r="BC721" s="3" t="s">
        <v>9518</v>
      </c>
      <c r="BD721" s="3" t="s">
        <v>9519</v>
      </c>
    </row>
    <row r="722" spans="1:56" ht="45.75" customHeight="1" x14ac:dyDescent="0.25">
      <c r="A722" s="7" t="s">
        <v>58</v>
      </c>
      <c r="B722" s="2" t="s">
        <v>9520</v>
      </c>
      <c r="C722" s="2" t="s">
        <v>9521</v>
      </c>
      <c r="D722" s="2" t="s">
        <v>9522</v>
      </c>
      <c r="F722" s="3" t="s">
        <v>58</v>
      </c>
      <c r="G722" s="3" t="s">
        <v>59</v>
      </c>
      <c r="H722" s="3" t="s">
        <v>58</v>
      </c>
      <c r="I722" s="3" t="s">
        <v>58</v>
      </c>
      <c r="J722" s="3" t="s">
        <v>60</v>
      </c>
      <c r="L722" s="2" t="s">
        <v>9523</v>
      </c>
      <c r="M722" s="3" t="s">
        <v>629</v>
      </c>
      <c r="N722" s="2" t="s">
        <v>543</v>
      </c>
      <c r="O722" s="3" t="s">
        <v>65</v>
      </c>
      <c r="P722" s="3" t="s">
        <v>66</v>
      </c>
      <c r="R722" s="3" t="s">
        <v>67</v>
      </c>
      <c r="S722" s="4">
        <v>5</v>
      </c>
      <c r="T722" s="4">
        <v>5</v>
      </c>
      <c r="U722" s="5" t="s">
        <v>9524</v>
      </c>
      <c r="V722" s="5" t="s">
        <v>9524</v>
      </c>
      <c r="W722" s="5" t="s">
        <v>351</v>
      </c>
      <c r="X722" s="5" t="s">
        <v>351</v>
      </c>
      <c r="Y722" s="4">
        <v>464</v>
      </c>
      <c r="Z722" s="4">
        <v>395</v>
      </c>
      <c r="AA722" s="4">
        <v>461</v>
      </c>
      <c r="AB722" s="4">
        <v>2</v>
      </c>
      <c r="AC722" s="4">
        <v>3</v>
      </c>
      <c r="AD722" s="4">
        <v>22</v>
      </c>
      <c r="AE722" s="4">
        <v>25</v>
      </c>
      <c r="AF722" s="4">
        <v>9</v>
      </c>
      <c r="AG722" s="4">
        <v>11</v>
      </c>
      <c r="AH722" s="4">
        <v>4</v>
      </c>
      <c r="AI722" s="4">
        <v>4</v>
      </c>
      <c r="AJ722" s="4">
        <v>14</v>
      </c>
      <c r="AK722" s="4">
        <v>14</v>
      </c>
      <c r="AL722" s="4">
        <v>1</v>
      </c>
      <c r="AM722" s="4">
        <v>2</v>
      </c>
      <c r="AN722" s="4">
        <v>0</v>
      </c>
      <c r="AO722" s="4">
        <v>0</v>
      </c>
      <c r="AP722" s="3" t="s">
        <v>58</v>
      </c>
      <c r="AQ722" s="3" t="s">
        <v>58</v>
      </c>
      <c r="AS722" s="6" t="str">
        <f>HYPERLINK("https://creighton-primo.hosted.exlibrisgroup.com/primo-explore/search?tab=default_tab&amp;search_scope=EVERYTHING&amp;vid=01CRU&amp;lang=en_US&amp;offset=0&amp;query=any,contains,991002305949702656","Catalog Record")</f>
        <v>Catalog Record</v>
      </c>
      <c r="AT722" s="6" t="str">
        <f>HYPERLINK("http://www.worldcat.org/oclc/29909820","WorldCat Record")</f>
        <v>WorldCat Record</v>
      </c>
      <c r="AU722" s="3" t="s">
        <v>9525</v>
      </c>
      <c r="AV722" s="3" t="s">
        <v>9526</v>
      </c>
      <c r="AW722" s="3" t="s">
        <v>9527</v>
      </c>
      <c r="AX722" s="3" t="s">
        <v>9527</v>
      </c>
      <c r="AY722" s="3" t="s">
        <v>9528</v>
      </c>
      <c r="AZ722" s="3" t="s">
        <v>74</v>
      </c>
      <c r="BB722" s="3" t="s">
        <v>9529</v>
      </c>
      <c r="BC722" s="3" t="s">
        <v>9530</v>
      </c>
      <c r="BD722" s="3" t="s">
        <v>9531</v>
      </c>
    </row>
    <row r="723" spans="1:56" ht="45.75" customHeight="1" x14ac:dyDescent="0.25">
      <c r="A723" s="7" t="s">
        <v>58</v>
      </c>
      <c r="B723" s="2" t="s">
        <v>9532</v>
      </c>
      <c r="C723" s="2" t="s">
        <v>9533</v>
      </c>
      <c r="D723" s="2" t="s">
        <v>9534</v>
      </c>
      <c r="F723" s="3" t="s">
        <v>58</v>
      </c>
      <c r="G723" s="3" t="s">
        <v>59</v>
      </c>
      <c r="H723" s="3" t="s">
        <v>58</v>
      </c>
      <c r="I723" s="3" t="s">
        <v>58</v>
      </c>
      <c r="J723" s="3" t="s">
        <v>60</v>
      </c>
      <c r="L723" s="2" t="s">
        <v>9535</v>
      </c>
      <c r="M723" s="3" t="s">
        <v>629</v>
      </c>
      <c r="N723" s="2" t="s">
        <v>543</v>
      </c>
      <c r="O723" s="3" t="s">
        <v>65</v>
      </c>
      <c r="P723" s="3" t="s">
        <v>148</v>
      </c>
      <c r="R723" s="3" t="s">
        <v>67</v>
      </c>
      <c r="S723" s="4">
        <v>3</v>
      </c>
      <c r="T723" s="4">
        <v>3</v>
      </c>
      <c r="U723" s="5" t="s">
        <v>7990</v>
      </c>
      <c r="V723" s="5" t="s">
        <v>7990</v>
      </c>
      <c r="W723" s="5" t="s">
        <v>842</v>
      </c>
      <c r="X723" s="5" t="s">
        <v>842</v>
      </c>
      <c r="Y723" s="4">
        <v>280</v>
      </c>
      <c r="Z723" s="4">
        <v>231</v>
      </c>
      <c r="AA723" s="4">
        <v>240</v>
      </c>
      <c r="AB723" s="4">
        <v>2</v>
      </c>
      <c r="AC723" s="4">
        <v>2</v>
      </c>
      <c r="AD723" s="4">
        <v>6</v>
      </c>
      <c r="AE723" s="4">
        <v>6</v>
      </c>
      <c r="AF723" s="4">
        <v>3</v>
      </c>
      <c r="AG723" s="4">
        <v>3</v>
      </c>
      <c r="AH723" s="4">
        <v>0</v>
      </c>
      <c r="AI723" s="4">
        <v>0</v>
      </c>
      <c r="AJ723" s="4">
        <v>4</v>
      </c>
      <c r="AK723" s="4">
        <v>4</v>
      </c>
      <c r="AL723" s="4">
        <v>1</v>
      </c>
      <c r="AM723" s="4">
        <v>1</v>
      </c>
      <c r="AN723" s="4">
        <v>0</v>
      </c>
      <c r="AO723" s="4">
        <v>0</v>
      </c>
      <c r="AP723" s="3" t="s">
        <v>58</v>
      </c>
      <c r="AQ723" s="3" t="s">
        <v>87</v>
      </c>
      <c r="AR723" s="6" t="str">
        <f>HYPERLINK("http://catalog.hathitrust.org/Record/004032192","HathiTrust Record")</f>
        <v>HathiTrust Record</v>
      </c>
      <c r="AS723" s="6" t="str">
        <f>HYPERLINK("https://creighton-primo.hosted.exlibrisgroup.com/primo-explore/search?tab=default_tab&amp;search_scope=EVERYTHING&amp;vid=01CRU&amp;lang=en_US&amp;offset=0&amp;query=any,contains,991002362209702656","Catalog Record")</f>
        <v>Catalog Record</v>
      </c>
      <c r="AT723" s="6" t="str">
        <f>HYPERLINK("http://www.worldcat.org/oclc/30725937","WorldCat Record")</f>
        <v>WorldCat Record</v>
      </c>
      <c r="AU723" s="3" t="s">
        <v>9536</v>
      </c>
      <c r="AV723" s="3" t="s">
        <v>9537</v>
      </c>
      <c r="AW723" s="3" t="s">
        <v>9538</v>
      </c>
      <c r="AX723" s="3" t="s">
        <v>9538</v>
      </c>
      <c r="AY723" s="3" t="s">
        <v>9539</v>
      </c>
      <c r="AZ723" s="3" t="s">
        <v>74</v>
      </c>
      <c r="BB723" s="3" t="s">
        <v>9540</v>
      </c>
      <c r="BC723" s="3" t="s">
        <v>9541</v>
      </c>
      <c r="BD723" s="3" t="s">
        <v>9542</v>
      </c>
    </row>
    <row r="724" spans="1:56" ht="45.75" customHeight="1" x14ac:dyDescent="0.25">
      <c r="A724" s="7" t="s">
        <v>58</v>
      </c>
      <c r="B724" s="2" t="s">
        <v>9543</v>
      </c>
      <c r="C724" s="2" t="s">
        <v>9544</v>
      </c>
      <c r="D724" s="2" t="s">
        <v>9545</v>
      </c>
      <c r="F724" s="3" t="s">
        <v>58</v>
      </c>
      <c r="G724" s="3" t="s">
        <v>59</v>
      </c>
      <c r="H724" s="3" t="s">
        <v>58</v>
      </c>
      <c r="I724" s="3" t="s">
        <v>58</v>
      </c>
      <c r="J724" s="3" t="s">
        <v>60</v>
      </c>
      <c r="L724" s="2" t="s">
        <v>9546</v>
      </c>
      <c r="M724" s="3" t="s">
        <v>800</v>
      </c>
      <c r="O724" s="3" t="s">
        <v>65</v>
      </c>
      <c r="P724" s="3" t="s">
        <v>66</v>
      </c>
      <c r="Q724" s="2" t="s">
        <v>9488</v>
      </c>
      <c r="R724" s="3" t="s">
        <v>67</v>
      </c>
      <c r="S724" s="4">
        <v>22</v>
      </c>
      <c r="T724" s="4">
        <v>22</v>
      </c>
      <c r="U724" s="5" t="s">
        <v>9547</v>
      </c>
      <c r="V724" s="5" t="s">
        <v>9547</v>
      </c>
      <c r="W724" s="5" t="s">
        <v>5890</v>
      </c>
      <c r="X724" s="5" t="s">
        <v>5890</v>
      </c>
      <c r="Y724" s="4">
        <v>378</v>
      </c>
      <c r="Z724" s="4">
        <v>283</v>
      </c>
      <c r="AA724" s="4">
        <v>301</v>
      </c>
      <c r="AB724" s="4">
        <v>3</v>
      </c>
      <c r="AC724" s="4">
        <v>3</v>
      </c>
      <c r="AD724" s="4">
        <v>12</v>
      </c>
      <c r="AE724" s="4">
        <v>12</v>
      </c>
      <c r="AF724" s="4">
        <v>3</v>
      </c>
      <c r="AG724" s="4">
        <v>3</v>
      </c>
      <c r="AH724" s="4">
        <v>2</v>
      </c>
      <c r="AI724" s="4">
        <v>2</v>
      </c>
      <c r="AJ724" s="4">
        <v>7</v>
      </c>
      <c r="AK724" s="4">
        <v>7</v>
      </c>
      <c r="AL724" s="4">
        <v>2</v>
      </c>
      <c r="AM724" s="4">
        <v>2</v>
      </c>
      <c r="AN724" s="4">
        <v>0</v>
      </c>
      <c r="AO724" s="4">
        <v>0</v>
      </c>
      <c r="AP724" s="3" t="s">
        <v>58</v>
      </c>
      <c r="AQ724" s="3" t="s">
        <v>58</v>
      </c>
      <c r="AS724" s="6" t="str">
        <f>HYPERLINK("https://creighton-primo.hosted.exlibrisgroup.com/primo-explore/search?tab=default_tab&amp;search_scope=EVERYTHING&amp;vid=01CRU&amp;lang=en_US&amp;offset=0&amp;query=any,contains,991001699099702656","Catalog Record")</f>
        <v>Catalog Record</v>
      </c>
      <c r="AT724" s="6" t="str">
        <f>HYPERLINK("http://www.worldcat.org/oclc/21520842","WorldCat Record")</f>
        <v>WorldCat Record</v>
      </c>
      <c r="AU724" s="3" t="s">
        <v>9548</v>
      </c>
      <c r="AV724" s="3" t="s">
        <v>9549</v>
      </c>
      <c r="AW724" s="3" t="s">
        <v>9550</v>
      </c>
      <c r="AX724" s="3" t="s">
        <v>9550</v>
      </c>
      <c r="AY724" s="3" t="s">
        <v>9551</v>
      </c>
      <c r="AZ724" s="3" t="s">
        <v>74</v>
      </c>
      <c r="BB724" s="3" t="s">
        <v>9552</v>
      </c>
      <c r="BC724" s="3" t="s">
        <v>9553</v>
      </c>
      <c r="BD724" s="3" t="s">
        <v>9554</v>
      </c>
    </row>
    <row r="725" spans="1:56" ht="45.75" customHeight="1" x14ac:dyDescent="0.25">
      <c r="A725" s="7" t="s">
        <v>58</v>
      </c>
      <c r="B725" s="2" t="s">
        <v>9555</v>
      </c>
      <c r="C725" s="2" t="s">
        <v>9556</v>
      </c>
      <c r="D725" s="2" t="s">
        <v>9557</v>
      </c>
      <c r="F725" s="3" t="s">
        <v>58</v>
      </c>
      <c r="G725" s="3" t="s">
        <v>59</v>
      </c>
      <c r="H725" s="3" t="s">
        <v>58</v>
      </c>
      <c r="I725" s="3" t="s">
        <v>58</v>
      </c>
      <c r="J725" s="3" t="s">
        <v>60</v>
      </c>
      <c r="K725" s="2" t="s">
        <v>9558</v>
      </c>
      <c r="L725" s="2" t="s">
        <v>9559</v>
      </c>
      <c r="M725" s="3" t="s">
        <v>800</v>
      </c>
      <c r="N725" s="2" t="s">
        <v>543</v>
      </c>
      <c r="O725" s="3" t="s">
        <v>65</v>
      </c>
      <c r="P725" s="3" t="s">
        <v>66</v>
      </c>
      <c r="R725" s="3" t="s">
        <v>67</v>
      </c>
      <c r="S725" s="4">
        <v>52</v>
      </c>
      <c r="T725" s="4">
        <v>52</v>
      </c>
      <c r="U725" s="5" t="s">
        <v>9560</v>
      </c>
      <c r="V725" s="5" t="s">
        <v>9560</v>
      </c>
      <c r="W725" s="5" t="s">
        <v>9561</v>
      </c>
      <c r="X725" s="5" t="s">
        <v>9561</v>
      </c>
      <c r="Y725" s="4">
        <v>722</v>
      </c>
      <c r="Z725" s="4">
        <v>599</v>
      </c>
      <c r="AA725" s="4">
        <v>1015</v>
      </c>
      <c r="AB725" s="4">
        <v>5</v>
      </c>
      <c r="AC725" s="4">
        <v>6</v>
      </c>
      <c r="AD725" s="4">
        <v>27</v>
      </c>
      <c r="AE725" s="4">
        <v>42</v>
      </c>
      <c r="AF725" s="4">
        <v>10</v>
      </c>
      <c r="AG725" s="4">
        <v>19</v>
      </c>
      <c r="AH725" s="4">
        <v>7</v>
      </c>
      <c r="AI725" s="4">
        <v>9</v>
      </c>
      <c r="AJ725" s="4">
        <v>11</v>
      </c>
      <c r="AK725" s="4">
        <v>19</v>
      </c>
      <c r="AL725" s="4">
        <v>4</v>
      </c>
      <c r="AM725" s="4">
        <v>5</v>
      </c>
      <c r="AN725" s="4">
        <v>0</v>
      </c>
      <c r="AO725" s="4">
        <v>0</v>
      </c>
      <c r="AP725" s="3" t="s">
        <v>58</v>
      </c>
      <c r="AQ725" s="3" t="s">
        <v>58</v>
      </c>
      <c r="AS725" s="6" t="str">
        <f>HYPERLINK("https://creighton-primo.hosted.exlibrisgroup.com/primo-explore/search?tab=default_tab&amp;search_scope=EVERYTHING&amp;vid=01CRU&amp;lang=en_US&amp;offset=0&amp;query=any,contains,991001843729702656","Catalog Record")</f>
        <v>Catalog Record</v>
      </c>
      <c r="AT725" s="6" t="str">
        <f>HYPERLINK("http://www.worldcat.org/oclc/23144805","WorldCat Record")</f>
        <v>WorldCat Record</v>
      </c>
      <c r="AU725" s="3" t="s">
        <v>9562</v>
      </c>
      <c r="AV725" s="3" t="s">
        <v>9563</v>
      </c>
      <c r="AW725" s="3" t="s">
        <v>9564</v>
      </c>
      <c r="AX725" s="3" t="s">
        <v>9564</v>
      </c>
      <c r="AY725" s="3" t="s">
        <v>9565</v>
      </c>
      <c r="AZ725" s="3" t="s">
        <v>74</v>
      </c>
      <c r="BB725" s="3" t="s">
        <v>9566</v>
      </c>
      <c r="BC725" s="3" t="s">
        <v>9567</v>
      </c>
      <c r="BD725" s="3" t="s">
        <v>9568</v>
      </c>
    </row>
    <row r="726" spans="1:56" ht="45.75" customHeight="1" x14ac:dyDescent="0.25">
      <c r="A726" s="7" t="s">
        <v>58</v>
      </c>
      <c r="B726" s="2" t="s">
        <v>9569</v>
      </c>
      <c r="C726" s="2" t="s">
        <v>9570</v>
      </c>
      <c r="D726" s="2" t="s">
        <v>9571</v>
      </c>
      <c r="F726" s="3" t="s">
        <v>58</v>
      </c>
      <c r="G726" s="3" t="s">
        <v>59</v>
      </c>
      <c r="H726" s="3" t="s">
        <v>58</v>
      </c>
      <c r="I726" s="3" t="s">
        <v>58</v>
      </c>
      <c r="J726" s="3" t="s">
        <v>60</v>
      </c>
      <c r="K726" s="2" t="s">
        <v>9572</v>
      </c>
      <c r="L726" s="2" t="s">
        <v>9573</v>
      </c>
      <c r="M726" s="3" t="s">
        <v>1209</v>
      </c>
      <c r="O726" s="3" t="s">
        <v>65</v>
      </c>
      <c r="P726" s="3" t="s">
        <v>66</v>
      </c>
      <c r="Q726" s="2" t="s">
        <v>9574</v>
      </c>
      <c r="R726" s="3" t="s">
        <v>67</v>
      </c>
      <c r="S726" s="4">
        <v>50</v>
      </c>
      <c r="T726" s="4">
        <v>50</v>
      </c>
      <c r="U726" s="5" t="s">
        <v>9475</v>
      </c>
      <c r="V726" s="5" t="s">
        <v>9475</v>
      </c>
      <c r="W726" s="5" t="s">
        <v>9575</v>
      </c>
      <c r="X726" s="5" t="s">
        <v>9575</v>
      </c>
      <c r="Y726" s="4">
        <v>947</v>
      </c>
      <c r="Z726" s="4">
        <v>837</v>
      </c>
      <c r="AA726" s="4">
        <v>864</v>
      </c>
      <c r="AB726" s="4">
        <v>6</v>
      </c>
      <c r="AC726" s="4">
        <v>6</v>
      </c>
      <c r="AD726" s="4">
        <v>32</v>
      </c>
      <c r="AE726" s="4">
        <v>32</v>
      </c>
      <c r="AF726" s="4">
        <v>11</v>
      </c>
      <c r="AG726" s="4">
        <v>11</v>
      </c>
      <c r="AH726" s="4">
        <v>8</v>
      </c>
      <c r="AI726" s="4">
        <v>8</v>
      </c>
      <c r="AJ726" s="4">
        <v>14</v>
      </c>
      <c r="AK726" s="4">
        <v>14</v>
      </c>
      <c r="AL726" s="4">
        <v>5</v>
      </c>
      <c r="AM726" s="4">
        <v>5</v>
      </c>
      <c r="AN726" s="4">
        <v>0</v>
      </c>
      <c r="AO726" s="4">
        <v>0</v>
      </c>
      <c r="AP726" s="3" t="s">
        <v>58</v>
      </c>
      <c r="AQ726" s="3" t="s">
        <v>58</v>
      </c>
      <c r="AS726" s="6" t="str">
        <f>HYPERLINK("https://creighton-primo.hosted.exlibrisgroup.com/primo-explore/search?tab=default_tab&amp;search_scope=EVERYTHING&amp;vid=01CRU&amp;lang=en_US&amp;offset=0&amp;query=any,contains,991001029459702656","Catalog Record")</f>
        <v>Catalog Record</v>
      </c>
      <c r="AT726" s="6" t="str">
        <f>HYPERLINK("http://www.worldcat.org/oclc/15489742","WorldCat Record")</f>
        <v>WorldCat Record</v>
      </c>
      <c r="AU726" s="3" t="s">
        <v>9576</v>
      </c>
      <c r="AV726" s="3" t="s">
        <v>9577</v>
      </c>
      <c r="AW726" s="3" t="s">
        <v>9578</v>
      </c>
      <c r="AX726" s="3" t="s">
        <v>9578</v>
      </c>
      <c r="AY726" s="3" t="s">
        <v>9579</v>
      </c>
      <c r="AZ726" s="3" t="s">
        <v>74</v>
      </c>
      <c r="BB726" s="3" t="s">
        <v>9580</v>
      </c>
      <c r="BC726" s="3" t="s">
        <v>9581</v>
      </c>
      <c r="BD726" s="3" t="s">
        <v>9582</v>
      </c>
    </row>
    <row r="727" spans="1:56" ht="45.75" customHeight="1" x14ac:dyDescent="0.25">
      <c r="A727" s="7" t="s">
        <v>58</v>
      </c>
      <c r="B727" s="2" t="s">
        <v>9583</v>
      </c>
      <c r="C727" s="2" t="s">
        <v>9584</v>
      </c>
      <c r="D727" s="2" t="s">
        <v>9585</v>
      </c>
      <c r="F727" s="3" t="s">
        <v>58</v>
      </c>
      <c r="G727" s="3" t="s">
        <v>59</v>
      </c>
      <c r="H727" s="3" t="s">
        <v>58</v>
      </c>
      <c r="I727" s="3" t="s">
        <v>58</v>
      </c>
      <c r="J727" s="3" t="s">
        <v>60</v>
      </c>
      <c r="K727" s="2" t="s">
        <v>9586</v>
      </c>
      <c r="L727" s="2" t="s">
        <v>9587</v>
      </c>
      <c r="M727" s="3" t="s">
        <v>2324</v>
      </c>
      <c r="O727" s="3" t="s">
        <v>65</v>
      </c>
      <c r="P727" s="3" t="s">
        <v>190</v>
      </c>
      <c r="R727" s="3" t="s">
        <v>67</v>
      </c>
      <c r="S727" s="4">
        <v>29</v>
      </c>
      <c r="T727" s="4">
        <v>29</v>
      </c>
      <c r="U727" s="5" t="s">
        <v>9588</v>
      </c>
      <c r="V727" s="5" t="s">
        <v>9588</v>
      </c>
      <c r="W727" s="5" t="s">
        <v>9589</v>
      </c>
      <c r="X727" s="5" t="s">
        <v>9589</v>
      </c>
      <c r="Y727" s="4">
        <v>405</v>
      </c>
      <c r="Z727" s="4">
        <v>359</v>
      </c>
      <c r="AA727" s="4">
        <v>360</v>
      </c>
      <c r="AB727" s="4">
        <v>4</v>
      </c>
      <c r="AC727" s="4">
        <v>4</v>
      </c>
      <c r="AD727" s="4">
        <v>16</v>
      </c>
      <c r="AE727" s="4">
        <v>16</v>
      </c>
      <c r="AF727" s="4">
        <v>6</v>
      </c>
      <c r="AG727" s="4">
        <v>6</v>
      </c>
      <c r="AH727" s="4">
        <v>3</v>
      </c>
      <c r="AI727" s="4">
        <v>3</v>
      </c>
      <c r="AJ727" s="4">
        <v>7</v>
      </c>
      <c r="AK727" s="4">
        <v>7</v>
      </c>
      <c r="AL727" s="4">
        <v>3</v>
      </c>
      <c r="AM727" s="4">
        <v>3</v>
      </c>
      <c r="AN727" s="4">
        <v>0</v>
      </c>
      <c r="AO727" s="4">
        <v>0</v>
      </c>
      <c r="AP727" s="3" t="s">
        <v>58</v>
      </c>
      <c r="AQ727" s="3" t="s">
        <v>58</v>
      </c>
      <c r="AS727" s="6" t="str">
        <f>HYPERLINK("https://creighton-primo.hosted.exlibrisgroup.com/primo-explore/search?tab=default_tab&amp;search_scope=EVERYTHING&amp;vid=01CRU&amp;lang=en_US&amp;offset=0&amp;query=any,contains,991000228499702656","Catalog Record")</f>
        <v>Catalog Record</v>
      </c>
      <c r="AT727" s="6" t="str">
        <f>HYPERLINK("http://www.worldcat.org/oclc/9622431","WorldCat Record")</f>
        <v>WorldCat Record</v>
      </c>
      <c r="AU727" s="3" t="s">
        <v>9590</v>
      </c>
      <c r="AV727" s="3" t="s">
        <v>9591</v>
      </c>
      <c r="AW727" s="3" t="s">
        <v>9592</v>
      </c>
      <c r="AX727" s="3" t="s">
        <v>9592</v>
      </c>
      <c r="AY727" s="3" t="s">
        <v>9593</v>
      </c>
      <c r="AZ727" s="3" t="s">
        <v>74</v>
      </c>
      <c r="BB727" s="3" t="s">
        <v>9594</v>
      </c>
      <c r="BC727" s="3" t="s">
        <v>9595</v>
      </c>
      <c r="BD727" s="3" t="s">
        <v>9596</v>
      </c>
    </row>
    <row r="728" spans="1:56" ht="45.75" customHeight="1" x14ac:dyDescent="0.25">
      <c r="A728" s="7" t="s">
        <v>58</v>
      </c>
      <c r="B728" s="2" t="s">
        <v>9597</v>
      </c>
      <c r="C728" s="2" t="s">
        <v>9598</v>
      </c>
      <c r="D728" s="2" t="s">
        <v>9599</v>
      </c>
      <c r="F728" s="3" t="s">
        <v>58</v>
      </c>
      <c r="G728" s="3" t="s">
        <v>59</v>
      </c>
      <c r="H728" s="3" t="s">
        <v>58</v>
      </c>
      <c r="I728" s="3" t="s">
        <v>58</v>
      </c>
      <c r="J728" s="3" t="s">
        <v>60</v>
      </c>
      <c r="K728" s="2" t="s">
        <v>9600</v>
      </c>
      <c r="L728" s="2" t="s">
        <v>9601</v>
      </c>
      <c r="M728" s="3" t="s">
        <v>1998</v>
      </c>
      <c r="O728" s="3" t="s">
        <v>65</v>
      </c>
      <c r="P728" s="3" t="s">
        <v>84</v>
      </c>
      <c r="R728" s="3" t="s">
        <v>67</v>
      </c>
      <c r="S728" s="4">
        <v>16</v>
      </c>
      <c r="T728" s="4">
        <v>16</v>
      </c>
      <c r="U728" s="5" t="s">
        <v>9547</v>
      </c>
      <c r="V728" s="5" t="s">
        <v>9547</v>
      </c>
      <c r="W728" s="5" t="s">
        <v>9575</v>
      </c>
      <c r="X728" s="5" t="s">
        <v>9575</v>
      </c>
      <c r="Y728" s="4">
        <v>460</v>
      </c>
      <c r="Z728" s="4">
        <v>395</v>
      </c>
      <c r="AA728" s="4">
        <v>419</v>
      </c>
      <c r="AB728" s="4">
        <v>3</v>
      </c>
      <c r="AC728" s="4">
        <v>3</v>
      </c>
      <c r="AD728" s="4">
        <v>14</v>
      </c>
      <c r="AE728" s="4">
        <v>14</v>
      </c>
      <c r="AF728" s="4">
        <v>5</v>
      </c>
      <c r="AG728" s="4">
        <v>5</v>
      </c>
      <c r="AH728" s="4">
        <v>4</v>
      </c>
      <c r="AI728" s="4">
        <v>4</v>
      </c>
      <c r="AJ728" s="4">
        <v>5</v>
      </c>
      <c r="AK728" s="4">
        <v>5</v>
      </c>
      <c r="AL728" s="4">
        <v>1</v>
      </c>
      <c r="AM728" s="4">
        <v>1</v>
      </c>
      <c r="AN728" s="4">
        <v>1</v>
      </c>
      <c r="AO728" s="4">
        <v>1</v>
      </c>
      <c r="AP728" s="3" t="s">
        <v>58</v>
      </c>
      <c r="AQ728" s="3" t="s">
        <v>87</v>
      </c>
      <c r="AR728" s="6" t="str">
        <f>HYPERLINK("http://catalog.hathitrust.org/Record/000018853","HathiTrust Record")</f>
        <v>HathiTrust Record</v>
      </c>
      <c r="AS728" s="6" t="str">
        <f>HYPERLINK("https://creighton-primo.hosted.exlibrisgroup.com/primo-explore/search?tab=default_tab&amp;search_scope=EVERYTHING&amp;vid=01CRU&amp;lang=en_US&amp;offset=0&amp;query=any,contains,991003621449702656","Catalog Record")</f>
        <v>Catalog Record</v>
      </c>
      <c r="AT728" s="6" t="str">
        <f>HYPERLINK("http://www.worldcat.org/oclc/1208808","WorldCat Record")</f>
        <v>WorldCat Record</v>
      </c>
      <c r="AU728" s="3" t="s">
        <v>9602</v>
      </c>
      <c r="AV728" s="3" t="s">
        <v>9603</v>
      </c>
      <c r="AW728" s="3" t="s">
        <v>9604</v>
      </c>
      <c r="AX728" s="3" t="s">
        <v>9604</v>
      </c>
      <c r="AY728" s="3" t="s">
        <v>9605</v>
      </c>
      <c r="AZ728" s="3" t="s">
        <v>74</v>
      </c>
      <c r="BB728" s="3" t="s">
        <v>9606</v>
      </c>
      <c r="BC728" s="3" t="s">
        <v>9607</v>
      </c>
      <c r="BD728" s="3" t="s">
        <v>9608</v>
      </c>
    </row>
    <row r="729" spans="1:56" ht="45.75" customHeight="1" x14ac:dyDescent="0.25">
      <c r="A729" s="7" t="s">
        <v>58</v>
      </c>
      <c r="B729" s="2" t="s">
        <v>9609</v>
      </c>
      <c r="C729" s="2" t="s">
        <v>9610</v>
      </c>
      <c r="D729" s="2" t="s">
        <v>9611</v>
      </c>
      <c r="F729" s="3" t="s">
        <v>58</v>
      </c>
      <c r="G729" s="3" t="s">
        <v>59</v>
      </c>
      <c r="H729" s="3" t="s">
        <v>58</v>
      </c>
      <c r="I729" s="3" t="s">
        <v>58</v>
      </c>
      <c r="J729" s="3" t="s">
        <v>60</v>
      </c>
      <c r="K729" s="2" t="s">
        <v>9612</v>
      </c>
      <c r="L729" s="2" t="s">
        <v>9613</v>
      </c>
      <c r="M729" s="3" t="s">
        <v>83</v>
      </c>
      <c r="O729" s="3" t="s">
        <v>65</v>
      </c>
      <c r="P729" s="3" t="s">
        <v>132</v>
      </c>
      <c r="Q729" s="2" t="s">
        <v>9614</v>
      </c>
      <c r="R729" s="3" t="s">
        <v>67</v>
      </c>
      <c r="S729" s="4">
        <v>42</v>
      </c>
      <c r="T729" s="4">
        <v>42</v>
      </c>
      <c r="U729" s="5" t="s">
        <v>9560</v>
      </c>
      <c r="V729" s="5" t="s">
        <v>9560</v>
      </c>
      <c r="W729" s="5" t="s">
        <v>9575</v>
      </c>
      <c r="X729" s="5" t="s">
        <v>9575</v>
      </c>
      <c r="Y729" s="4">
        <v>657</v>
      </c>
      <c r="Z729" s="4">
        <v>508</v>
      </c>
      <c r="AA729" s="4">
        <v>510</v>
      </c>
      <c r="AB729" s="4">
        <v>4</v>
      </c>
      <c r="AC729" s="4">
        <v>4</v>
      </c>
      <c r="AD729" s="4">
        <v>17</v>
      </c>
      <c r="AE729" s="4">
        <v>17</v>
      </c>
      <c r="AF729" s="4">
        <v>5</v>
      </c>
      <c r="AG729" s="4">
        <v>5</v>
      </c>
      <c r="AH729" s="4">
        <v>4</v>
      </c>
      <c r="AI729" s="4">
        <v>4</v>
      </c>
      <c r="AJ729" s="4">
        <v>12</v>
      </c>
      <c r="AK729" s="4">
        <v>12</v>
      </c>
      <c r="AL729" s="4">
        <v>3</v>
      </c>
      <c r="AM729" s="4">
        <v>3</v>
      </c>
      <c r="AN729" s="4">
        <v>0</v>
      </c>
      <c r="AO729" s="4">
        <v>0</v>
      </c>
      <c r="AP729" s="3" t="s">
        <v>58</v>
      </c>
      <c r="AQ729" s="3" t="s">
        <v>87</v>
      </c>
      <c r="AR729" s="6" t="str">
        <f>HYPERLINK("http://catalog.hathitrust.org/Record/000673898","HathiTrust Record")</f>
        <v>HathiTrust Record</v>
      </c>
      <c r="AS729" s="6" t="str">
        <f>HYPERLINK("https://creighton-primo.hosted.exlibrisgroup.com/primo-explore/search?tab=default_tab&amp;search_scope=EVERYTHING&amp;vid=01CRU&amp;lang=en_US&amp;offset=0&amp;query=any,contains,991000662139702656","Catalog Record")</f>
        <v>Catalog Record</v>
      </c>
      <c r="AT729" s="6" t="str">
        <f>HYPERLINK("http://www.worldcat.org/oclc/12262030","WorldCat Record")</f>
        <v>WorldCat Record</v>
      </c>
      <c r="AU729" s="3" t="s">
        <v>9615</v>
      </c>
      <c r="AV729" s="3" t="s">
        <v>9616</v>
      </c>
      <c r="AW729" s="3" t="s">
        <v>9617</v>
      </c>
      <c r="AX729" s="3" t="s">
        <v>9617</v>
      </c>
      <c r="AY729" s="3" t="s">
        <v>9618</v>
      </c>
      <c r="AZ729" s="3" t="s">
        <v>74</v>
      </c>
      <c r="BB729" s="3" t="s">
        <v>9619</v>
      </c>
      <c r="BC729" s="3" t="s">
        <v>9620</v>
      </c>
      <c r="BD729" s="3" t="s">
        <v>9621</v>
      </c>
    </row>
    <row r="730" spans="1:56" ht="45.75" customHeight="1" x14ac:dyDescent="0.25">
      <c r="A730" s="7" t="s">
        <v>58</v>
      </c>
      <c r="B730" s="2" t="s">
        <v>9622</v>
      </c>
      <c r="C730" s="2" t="s">
        <v>9623</v>
      </c>
      <c r="D730" s="2" t="s">
        <v>9624</v>
      </c>
      <c r="F730" s="3" t="s">
        <v>58</v>
      </c>
      <c r="G730" s="3" t="s">
        <v>59</v>
      </c>
      <c r="H730" s="3" t="s">
        <v>58</v>
      </c>
      <c r="I730" s="3" t="s">
        <v>58</v>
      </c>
      <c r="J730" s="3" t="s">
        <v>60</v>
      </c>
      <c r="K730" s="2" t="s">
        <v>9625</v>
      </c>
      <c r="L730" s="2" t="s">
        <v>9626</v>
      </c>
      <c r="M730" s="3" t="s">
        <v>1209</v>
      </c>
      <c r="N730" s="2" t="s">
        <v>543</v>
      </c>
      <c r="O730" s="3" t="s">
        <v>65</v>
      </c>
      <c r="P730" s="3" t="s">
        <v>132</v>
      </c>
      <c r="R730" s="3" t="s">
        <v>67</v>
      </c>
      <c r="S730" s="4">
        <v>6</v>
      </c>
      <c r="T730" s="4">
        <v>6</v>
      </c>
      <c r="U730" s="5" t="s">
        <v>2598</v>
      </c>
      <c r="V730" s="5" t="s">
        <v>2598</v>
      </c>
      <c r="W730" s="5" t="s">
        <v>9627</v>
      </c>
      <c r="X730" s="5" t="s">
        <v>9627</v>
      </c>
      <c r="Y730" s="4">
        <v>564</v>
      </c>
      <c r="Z730" s="4">
        <v>545</v>
      </c>
      <c r="AA730" s="4">
        <v>550</v>
      </c>
      <c r="AB730" s="4">
        <v>4</v>
      </c>
      <c r="AC730" s="4">
        <v>4</v>
      </c>
      <c r="AD730" s="4">
        <v>2</v>
      </c>
      <c r="AE730" s="4">
        <v>2</v>
      </c>
      <c r="AF730" s="4">
        <v>0</v>
      </c>
      <c r="AG730" s="4">
        <v>0</v>
      </c>
      <c r="AH730" s="4">
        <v>0</v>
      </c>
      <c r="AI730" s="4">
        <v>0</v>
      </c>
      <c r="AJ730" s="4">
        <v>1</v>
      </c>
      <c r="AK730" s="4">
        <v>1</v>
      </c>
      <c r="AL730" s="4">
        <v>1</v>
      </c>
      <c r="AM730" s="4">
        <v>1</v>
      </c>
      <c r="AN730" s="4">
        <v>0</v>
      </c>
      <c r="AO730" s="4">
        <v>0</v>
      </c>
      <c r="AP730" s="3" t="s">
        <v>58</v>
      </c>
      <c r="AQ730" s="3" t="s">
        <v>58</v>
      </c>
      <c r="AS730" s="6" t="str">
        <f>HYPERLINK("https://creighton-primo.hosted.exlibrisgroup.com/primo-explore/search?tab=default_tab&amp;search_scope=EVERYTHING&amp;vid=01CRU&amp;lang=en_US&amp;offset=0&amp;query=any,contains,991001064159702656","Catalog Record")</f>
        <v>Catalog Record</v>
      </c>
      <c r="AT730" s="6" t="str">
        <f>HYPERLINK("http://www.worldcat.org/oclc/15792196","WorldCat Record")</f>
        <v>WorldCat Record</v>
      </c>
      <c r="AU730" s="3" t="s">
        <v>9628</v>
      </c>
      <c r="AV730" s="3" t="s">
        <v>9629</v>
      </c>
      <c r="AW730" s="3" t="s">
        <v>9630</v>
      </c>
      <c r="AX730" s="3" t="s">
        <v>9630</v>
      </c>
      <c r="AY730" s="3" t="s">
        <v>9631</v>
      </c>
      <c r="AZ730" s="3" t="s">
        <v>74</v>
      </c>
      <c r="BB730" s="3" t="s">
        <v>9632</v>
      </c>
      <c r="BC730" s="3" t="s">
        <v>9633</v>
      </c>
      <c r="BD730" s="3" t="s">
        <v>9634</v>
      </c>
    </row>
    <row r="731" spans="1:56" ht="45.75" customHeight="1" x14ac:dyDescent="0.25">
      <c r="A731" s="7" t="s">
        <v>58</v>
      </c>
      <c r="B731" s="2" t="s">
        <v>9635</v>
      </c>
      <c r="C731" s="2" t="s">
        <v>9636</v>
      </c>
      <c r="D731" s="2" t="s">
        <v>9637</v>
      </c>
      <c r="F731" s="3" t="s">
        <v>58</v>
      </c>
      <c r="G731" s="3" t="s">
        <v>59</v>
      </c>
      <c r="H731" s="3" t="s">
        <v>87</v>
      </c>
      <c r="I731" s="3" t="s">
        <v>58</v>
      </c>
      <c r="J731" s="3" t="s">
        <v>60</v>
      </c>
      <c r="K731" s="2" t="s">
        <v>9638</v>
      </c>
      <c r="L731" s="2" t="s">
        <v>9639</v>
      </c>
      <c r="M731" s="3" t="s">
        <v>1254</v>
      </c>
      <c r="O731" s="3" t="s">
        <v>65</v>
      </c>
      <c r="P731" s="3" t="s">
        <v>84</v>
      </c>
      <c r="Q731" s="2" t="s">
        <v>9640</v>
      </c>
      <c r="R731" s="3" t="s">
        <v>67</v>
      </c>
      <c r="S731" s="4">
        <v>21</v>
      </c>
      <c r="T731" s="4">
        <v>21</v>
      </c>
      <c r="U731" s="5" t="s">
        <v>9641</v>
      </c>
      <c r="V731" s="5" t="s">
        <v>9641</v>
      </c>
      <c r="W731" s="5" t="s">
        <v>5371</v>
      </c>
      <c r="X731" s="5" t="s">
        <v>5371</v>
      </c>
      <c r="Y731" s="4">
        <v>439</v>
      </c>
      <c r="Z731" s="4">
        <v>405</v>
      </c>
      <c r="AA731" s="4">
        <v>442</v>
      </c>
      <c r="AB731" s="4">
        <v>4</v>
      </c>
      <c r="AC731" s="4">
        <v>4</v>
      </c>
      <c r="AD731" s="4">
        <v>11</v>
      </c>
      <c r="AE731" s="4">
        <v>14</v>
      </c>
      <c r="AF731" s="4">
        <v>6</v>
      </c>
      <c r="AG731" s="4">
        <v>7</v>
      </c>
      <c r="AH731" s="4">
        <v>2</v>
      </c>
      <c r="AI731" s="4">
        <v>3</v>
      </c>
      <c r="AJ731" s="4">
        <v>5</v>
      </c>
      <c r="AK731" s="4">
        <v>6</v>
      </c>
      <c r="AL731" s="4">
        <v>1</v>
      </c>
      <c r="AM731" s="4">
        <v>1</v>
      </c>
      <c r="AN731" s="4">
        <v>0</v>
      </c>
      <c r="AO731" s="4">
        <v>0</v>
      </c>
      <c r="AP731" s="3" t="s">
        <v>58</v>
      </c>
      <c r="AQ731" s="3" t="s">
        <v>87</v>
      </c>
      <c r="AR731" s="6" t="str">
        <f>HYPERLINK("http://catalog.hathitrust.org/Record/000284774","HathiTrust Record")</f>
        <v>HathiTrust Record</v>
      </c>
      <c r="AS731" s="6" t="str">
        <f>HYPERLINK("https://creighton-primo.hosted.exlibrisgroup.com/primo-explore/search?tab=default_tab&amp;search_scope=EVERYTHING&amp;vid=01CRU&amp;lang=en_US&amp;offset=0&amp;query=any,contains,991000251939702656","Catalog Record")</f>
        <v>Catalog Record</v>
      </c>
      <c r="AT731" s="6" t="str">
        <f>HYPERLINK("http://www.worldcat.org/oclc/9758662","WorldCat Record")</f>
        <v>WorldCat Record</v>
      </c>
      <c r="AU731" s="3" t="s">
        <v>9642</v>
      </c>
      <c r="AV731" s="3" t="s">
        <v>9643</v>
      </c>
      <c r="AW731" s="3" t="s">
        <v>9644</v>
      </c>
      <c r="AX731" s="3" t="s">
        <v>9644</v>
      </c>
      <c r="AY731" s="3" t="s">
        <v>9645</v>
      </c>
      <c r="AZ731" s="3" t="s">
        <v>74</v>
      </c>
      <c r="BB731" s="3" t="s">
        <v>9646</v>
      </c>
      <c r="BC731" s="3" t="s">
        <v>9647</v>
      </c>
      <c r="BD731" s="3" t="s">
        <v>9648</v>
      </c>
    </row>
    <row r="732" spans="1:56" ht="45.75" customHeight="1" x14ac:dyDescent="0.25">
      <c r="A732" s="7" t="s">
        <v>58</v>
      </c>
      <c r="B732" s="2" t="s">
        <v>9649</v>
      </c>
      <c r="C732" s="2" t="s">
        <v>9650</v>
      </c>
      <c r="D732" s="2" t="s">
        <v>9651</v>
      </c>
      <c r="F732" s="3" t="s">
        <v>58</v>
      </c>
      <c r="G732" s="3" t="s">
        <v>59</v>
      </c>
      <c r="H732" s="3" t="s">
        <v>58</v>
      </c>
      <c r="I732" s="3" t="s">
        <v>58</v>
      </c>
      <c r="J732" s="3" t="s">
        <v>60</v>
      </c>
      <c r="L732" s="2" t="s">
        <v>9652</v>
      </c>
      <c r="M732" s="3" t="s">
        <v>800</v>
      </c>
      <c r="O732" s="3" t="s">
        <v>65</v>
      </c>
      <c r="P732" s="3" t="s">
        <v>84</v>
      </c>
      <c r="Q732" s="2" t="s">
        <v>9574</v>
      </c>
      <c r="R732" s="3" t="s">
        <v>67</v>
      </c>
      <c r="S732" s="4">
        <v>49</v>
      </c>
      <c r="T732" s="4">
        <v>49</v>
      </c>
      <c r="U732" s="5" t="s">
        <v>9547</v>
      </c>
      <c r="V732" s="5" t="s">
        <v>9547</v>
      </c>
      <c r="W732" s="5" t="s">
        <v>7353</v>
      </c>
      <c r="X732" s="5" t="s">
        <v>7353</v>
      </c>
      <c r="Y732" s="4">
        <v>267</v>
      </c>
      <c r="Z732" s="4">
        <v>211</v>
      </c>
      <c r="AA732" s="4">
        <v>244</v>
      </c>
      <c r="AB732" s="4">
        <v>3</v>
      </c>
      <c r="AC732" s="4">
        <v>3</v>
      </c>
      <c r="AD732" s="4">
        <v>12</v>
      </c>
      <c r="AE732" s="4">
        <v>12</v>
      </c>
      <c r="AF732" s="4">
        <v>4</v>
      </c>
      <c r="AG732" s="4">
        <v>4</v>
      </c>
      <c r="AH732" s="4">
        <v>4</v>
      </c>
      <c r="AI732" s="4">
        <v>4</v>
      </c>
      <c r="AJ732" s="4">
        <v>5</v>
      </c>
      <c r="AK732" s="4">
        <v>5</v>
      </c>
      <c r="AL732" s="4">
        <v>2</v>
      </c>
      <c r="AM732" s="4">
        <v>2</v>
      </c>
      <c r="AN732" s="4">
        <v>0</v>
      </c>
      <c r="AO732" s="4">
        <v>0</v>
      </c>
      <c r="AP732" s="3" t="s">
        <v>58</v>
      </c>
      <c r="AQ732" s="3" t="s">
        <v>58</v>
      </c>
      <c r="AS732" s="6" t="str">
        <f>HYPERLINK("https://creighton-primo.hosted.exlibrisgroup.com/primo-explore/search?tab=default_tab&amp;search_scope=EVERYTHING&amp;vid=01CRU&amp;lang=en_US&amp;offset=0&amp;query=any,contains,991001701629702656","Catalog Record")</f>
        <v>Catalog Record</v>
      </c>
      <c r="AT732" s="6" t="str">
        <f>HYPERLINK("http://www.worldcat.org/oclc/21524235","WorldCat Record")</f>
        <v>WorldCat Record</v>
      </c>
      <c r="AU732" s="3" t="s">
        <v>9653</v>
      </c>
      <c r="AV732" s="3" t="s">
        <v>9654</v>
      </c>
      <c r="AW732" s="3" t="s">
        <v>9655</v>
      </c>
      <c r="AX732" s="3" t="s">
        <v>9655</v>
      </c>
      <c r="AY732" s="3" t="s">
        <v>9656</v>
      </c>
      <c r="AZ732" s="3" t="s">
        <v>74</v>
      </c>
      <c r="BB732" s="3" t="s">
        <v>9657</v>
      </c>
      <c r="BC732" s="3" t="s">
        <v>9658</v>
      </c>
      <c r="BD732" s="3" t="s">
        <v>9659</v>
      </c>
    </row>
    <row r="733" spans="1:56" ht="45.75" customHeight="1" x14ac:dyDescent="0.25">
      <c r="A733" s="7" t="s">
        <v>58</v>
      </c>
      <c r="B733" s="2" t="s">
        <v>9660</v>
      </c>
      <c r="C733" s="2" t="s">
        <v>9661</v>
      </c>
      <c r="D733" s="2" t="s">
        <v>9662</v>
      </c>
      <c r="F733" s="3" t="s">
        <v>58</v>
      </c>
      <c r="G733" s="3" t="s">
        <v>59</v>
      </c>
      <c r="H733" s="3" t="s">
        <v>58</v>
      </c>
      <c r="I733" s="3" t="s">
        <v>58</v>
      </c>
      <c r="J733" s="3" t="s">
        <v>60</v>
      </c>
      <c r="K733" s="2" t="s">
        <v>9663</v>
      </c>
      <c r="L733" s="2" t="s">
        <v>9664</v>
      </c>
      <c r="M733" s="3" t="s">
        <v>147</v>
      </c>
      <c r="N733" s="2" t="s">
        <v>543</v>
      </c>
      <c r="O733" s="3" t="s">
        <v>65</v>
      </c>
      <c r="P733" s="3" t="s">
        <v>84</v>
      </c>
      <c r="R733" s="3" t="s">
        <v>67</v>
      </c>
      <c r="S733" s="4">
        <v>2</v>
      </c>
      <c r="T733" s="4">
        <v>2</v>
      </c>
      <c r="U733" s="5" t="s">
        <v>5423</v>
      </c>
      <c r="V733" s="5" t="s">
        <v>5423</v>
      </c>
      <c r="W733" s="5" t="s">
        <v>9665</v>
      </c>
      <c r="X733" s="5" t="s">
        <v>9665</v>
      </c>
      <c r="Y733" s="4">
        <v>1886</v>
      </c>
      <c r="Z733" s="4">
        <v>1850</v>
      </c>
      <c r="AA733" s="4">
        <v>2269</v>
      </c>
      <c r="AB733" s="4">
        <v>23</v>
      </c>
      <c r="AC733" s="4">
        <v>27</v>
      </c>
      <c r="AD733" s="4">
        <v>10</v>
      </c>
      <c r="AE733" s="4">
        <v>12</v>
      </c>
      <c r="AF733" s="4">
        <v>4</v>
      </c>
      <c r="AG733" s="4">
        <v>5</v>
      </c>
      <c r="AH733" s="4">
        <v>3</v>
      </c>
      <c r="AI733" s="4">
        <v>3</v>
      </c>
      <c r="AJ733" s="4">
        <v>2</v>
      </c>
      <c r="AK733" s="4">
        <v>3</v>
      </c>
      <c r="AL733" s="4">
        <v>2</v>
      </c>
      <c r="AM733" s="4">
        <v>2</v>
      </c>
      <c r="AN733" s="4">
        <v>0</v>
      </c>
      <c r="AO733" s="4">
        <v>0</v>
      </c>
      <c r="AP733" s="3" t="s">
        <v>58</v>
      </c>
      <c r="AQ733" s="3" t="s">
        <v>58</v>
      </c>
      <c r="AS733" s="6" t="str">
        <f>HYPERLINK("https://creighton-primo.hosted.exlibrisgroup.com/primo-explore/search?tab=default_tab&amp;search_scope=EVERYTHING&amp;vid=01CRU&amp;lang=en_US&amp;offset=0&amp;query=any,contains,991004584379702656","Catalog Record")</f>
        <v>Catalog Record</v>
      </c>
      <c r="AT733" s="6" t="str">
        <f>HYPERLINK("http://www.worldcat.org/oclc/54767355","WorldCat Record")</f>
        <v>WorldCat Record</v>
      </c>
      <c r="AU733" s="3" t="s">
        <v>9666</v>
      </c>
      <c r="AV733" s="3" t="s">
        <v>9667</v>
      </c>
      <c r="AW733" s="3" t="s">
        <v>9668</v>
      </c>
      <c r="AX733" s="3" t="s">
        <v>9668</v>
      </c>
      <c r="AY733" s="3" t="s">
        <v>9669</v>
      </c>
      <c r="AZ733" s="3" t="s">
        <v>74</v>
      </c>
      <c r="BB733" s="3" t="s">
        <v>9670</v>
      </c>
      <c r="BC733" s="3" t="s">
        <v>9671</v>
      </c>
      <c r="BD733" s="3" t="s">
        <v>9672</v>
      </c>
    </row>
    <row r="734" spans="1:56" ht="45.75" customHeight="1" x14ac:dyDescent="0.25">
      <c r="A734" s="7" t="s">
        <v>58</v>
      </c>
      <c r="B734" s="2" t="s">
        <v>9673</v>
      </c>
      <c r="C734" s="2" t="s">
        <v>9674</v>
      </c>
      <c r="D734" s="2" t="s">
        <v>9675</v>
      </c>
      <c r="F734" s="3" t="s">
        <v>58</v>
      </c>
      <c r="G734" s="3" t="s">
        <v>59</v>
      </c>
      <c r="H734" s="3" t="s">
        <v>87</v>
      </c>
      <c r="I734" s="3" t="s">
        <v>58</v>
      </c>
      <c r="J734" s="3" t="s">
        <v>60</v>
      </c>
      <c r="L734" s="2" t="s">
        <v>9676</v>
      </c>
      <c r="M734" s="3" t="s">
        <v>83</v>
      </c>
      <c r="O734" s="3" t="s">
        <v>65</v>
      </c>
      <c r="P734" s="3" t="s">
        <v>66</v>
      </c>
      <c r="R734" s="3" t="s">
        <v>67</v>
      </c>
      <c r="S734" s="4">
        <v>40</v>
      </c>
      <c r="T734" s="4">
        <v>40</v>
      </c>
      <c r="U734" s="5" t="s">
        <v>9475</v>
      </c>
      <c r="V734" s="5" t="s">
        <v>9475</v>
      </c>
      <c r="W734" s="5" t="s">
        <v>5371</v>
      </c>
      <c r="X734" s="5" t="s">
        <v>5371</v>
      </c>
      <c r="Y734" s="4">
        <v>480</v>
      </c>
      <c r="Z734" s="4">
        <v>409</v>
      </c>
      <c r="AA734" s="4">
        <v>410</v>
      </c>
      <c r="AB734" s="4">
        <v>5</v>
      </c>
      <c r="AC734" s="4">
        <v>5</v>
      </c>
      <c r="AD734" s="4">
        <v>16</v>
      </c>
      <c r="AE734" s="4">
        <v>16</v>
      </c>
      <c r="AF734" s="4">
        <v>4</v>
      </c>
      <c r="AG734" s="4">
        <v>4</v>
      </c>
      <c r="AH734" s="4">
        <v>4</v>
      </c>
      <c r="AI734" s="4">
        <v>4</v>
      </c>
      <c r="AJ734" s="4">
        <v>8</v>
      </c>
      <c r="AK734" s="4">
        <v>8</v>
      </c>
      <c r="AL734" s="4">
        <v>3</v>
      </c>
      <c r="AM734" s="4">
        <v>3</v>
      </c>
      <c r="AN734" s="4">
        <v>0</v>
      </c>
      <c r="AO734" s="4">
        <v>0</v>
      </c>
      <c r="AP734" s="3" t="s">
        <v>58</v>
      </c>
      <c r="AQ734" s="3" t="s">
        <v>58</v>
      </c>
      <c r="AS734" s="6" t="str">
        <f>HYPERLINK("https://creighton-primo.hosted.exlibrisgroup.com/primo-explore/search?tab=default_tab&amp;search_scope=EVERYTHING&amp;vid=01CRU&amp;lang=en_US&amp;offset=0&amp;query=any,contains,991000787959702656","Catalog Record")</f>
        <v>Catalog Record</v>
      </c>
      <c r="AT734" s="6" t="str">
        <f>HYPERLINK("http://www.worldcat.org/oclc/13126339","WorldCat Record")</f>
        <v>WorldCat Record</v>
      </c>
      <c r="AU734" s="3" t="s">
        <v>9677</v>
      </c>
      <c r="AV734" s="3" t="s">
        <v>9678</v>
      </c>
      <c r="AW734" s="3" t="s">
        <v>9679</v>
      </c>
      <c r="AX734" s="3" t="s">
        <v>9679</v>
      </c>
      <c r="AY734" s="3" t="s">
        <v>9680</v>
      </c>
      <c r="AZ734" s="3" t="s">
        <v>74</v>
      </c>
      <c r="BB734" s="3" t="s">
        <v>9681</v>
      </c>
      <c r="BC734" s="3" t="s">
        <v>9682</v>
      </c>
      <c r="BD734" s="3" t="s">
        <v>9683</v>
      </c>
    </row>
    <row r="735" spans="1:56" ht="45.75" customHeight="1" x14ac:dyDescent="0.25">
      <c r="A735" s="7" t="s">
        <v>58</v>
      </c>
      <c r="B735" s="2" t="s">
        <v>9684</v>
      </c>
      <c r="C735" s="2" t="s">
        <v>9685</v>
      </c>
      <c r="D735" s="2" t="s">
        <v>9686</v>
      </c>
      <c r="F735" s="3" t="s">
        <v>58</v>
      </c>
      <c r="G735" s="3" t="s">
        <v>59</v>
      </c>
      <c r="H735" s="3" t="s">
        <v>58</v>
      </c>
      <c r="I735" s="3" t="s">
        <v>58</v>
      </c>
      <c r="J735" s="3" t="s">
        <v>60</v>
      </c>
      <c r="K735" s="2" t="s">
        <v>9687</v>
      </c>
      <c r="L735" s="2" t="s">
        <v>9688</v>
      </c>
      <c r="M735" s="3" t="s">
        <v>742</v>
      </c>
      <c r="O735" s="3" t="s">
        <v>65</v>
      </c>
      <c r="P735" s="3" t="s">
        <v>66</v>
      </c>
      <c r="R735" s="3" t="s">
        <v>67</v>
      </c>
      <c r="S735" s="4">
        <v>15</v>
      </c>
      <c r="T735" s="4">
        <v>15</v>
      </c>
      <c r="U735" s="5" t="s">
        <v>9363</v>
      </c>
      <c r="V735" s="5" t="s">
        <v>9363</v>
      </c>
      <c r="W735" s="5" t="s">
        <v>9589</v>
      </c>
      <c r="X735" s="5" t="s">
        <v>9589</v>
      </c>
      <c r="Y735" s="4">
        <v>370</v>
      </c>
      <c r="Z735" s="4">
        <v>352</v>
      </c>
      <c r="AA735" s="4">
        <v>360</v>
      </c>
      <c r="AB735" s="4">
        <v>6</v>
      </c>
      <c r="AC735" s="4">
        <v>6</v>
      </c>
      <c r="AD735" s="4">
        <v>15</v>
      </c>
      <c r="AE735" s="4">
        <v>15</v>
      </c>
      <c r="AF735" s="4">
        <v>6</v>
      </c>
      <c r="AG735" s="4">
        <v>6</v>
      </c>
      <c r="AH735" s="4">
        <v>1</v>
      </c>
      <c r="AI735" s="4">
        <v>1</v>
      </c>
      <c r="AJ735" s="4">
        <v>7</v>
      </c>
      <c r="AK735" s="4">
        <v>7</v>
      </c>
      <c r="AL735" s="4">
        <v>5</v>
      </c>
      <c r="AM735" s="4">
        <v>5</v>
      </c>
      <c r="AN735" s="4">
        <v>0</v>
      </c>
      <c r="AO735" s="4">
        <v>0</v>
      </c>
      <c r="AP735" s="3" t="s">
        <v>58</v>
      </c>
      <c r="AQ735" s="3" t="s">
        <v>87</v>
      </c>
      <c r="AR735" s="6" t="str">
        <f>HYPERLINK("http://catalog.hathitrust.org/Record/001827834","HathiTrust Record")</f>
        <v>HathiTrust Record</v>
      </c>
      <c r="AS735" s="6" t="str">
        <f>HYPERLINK("https://creighton-primo.hosted.exlibrisgroup.com/primo-explore/search?tab=default_tab&amp;search_scope=EVERYTHING&amp;vid=01CRU&amp;lang=en_US&amp;offset=0&amp;query=any,contains,991001529139702656","Catalog Record")</f>
        <v>Catalog Record</v>
      </c>
      <c r="AT735" s="6" t="str">
        <f>HYPERLINK("http://www.worldcat.org/oclc/20015050","WorldCat Record")</f>
        <v>WorldCat Record</v>
      </c>
      <c r="AU735" s="3" t="s">
        <v>9689</v>
      </c>
      <c r="AV735" s="3" t="s">
        <v>9690</v>
      </c>
      <c r="AW735" s="3" t="s">
        <v>9691</v>
      </c>
      <c r="AX735" s="3" t="s">
        <v>9691</v>
      </c>
      <c r="AY735" s="3" t="s">
        <v>9692</v>
      </c>
      <c r="AZ735" s="3" t="s">
        <v>74</v>
      </c>
      <c r="BB735" s="3" t="s">
        <v>9693</v>
      </c>
      <c r="BC735" s="3" t="s">
        <v>9694</v>
      </c>
      <c r="BD735" s="3" t="s">
        <v>9695</v>
      </c>
    </row>
    <row r="736" spans="1:56" ht="45.75" customHeight="1" x14ac:dyDescent="0.25">
      <c r="A736" s="7" t="s">
        <v>58</v>
      </c>
      <c r="B736" s="2" t="s">
        <v>9696</v>
      </c>
      <c r="C736" s="2" t="s">
        <v>9697</v>
      </c>
      <c r="D736" s="2" t="s">
        <v>9698</v>
      </c>
      <c r="F736" s="3" t="s">
        <v>58</v>
      </c>
      <c r="G736" s="3" t="s">
        <v>59</v>
      </c>
      <c r="H736" s="3" t="s">
        <v>58</v>
      </c>
      <c r="I736" s="3" t="s">
        <v>58</v>
      </c>
      <c r="J736" s="3" t="s">
        <v>60</v>
      </c>
      <c r="L736" s="2" t="s">
        <v>9699</v>
      </c>
      <c r="M736" s="3" t="s">
        <v>1088</v>
      </c>
      <c r="O736" s="3" t="s">
        <v>65</v>
      </c>
      <c r="P736" s="3" t="s">
        <v>84</v>
      </c>
      <c r="Q736" s="2" t="s">
        <v>9700</v>
      </c>
      <c r="R736" s="3" t="s">
        <v>67</v>
      </c>
      <c r="S736" s="4">
        <v>21</v>
      </c>
      <c r="T736" s="4">
        <v>21</v>
      </c>
      <c r="U736" s="5" t="s">
        <v>2598</v>
      </c>
      <c r="V736" s="5" t="s">
        <v>2598</v>
      </c>
      <c r="W736" s="5" t="s">
        <v>5371</v>
      </c>
      <c r="X736" s="5" t="s">
        <v>5371</v>
      </c>
      <c r="Y736" s="4">
        <v>883</v>
      </c>
      <c r="Z736" s="4">
        <v>784</v>
      </c>
      <c r="AA736" s="4">
        <v>791</v>
      </c>
      <c r="AB736" s="4">
        <v>6</v>
      </c>
      <c r="AC736" s="4">
        <v>6</v>
      </c>
      <c r="AD736" s="4">
        <v>28</v>
      </c>
      <c r="AE736" s="4">
        <v>28</v>
      </c>
      <c r="AF736" s="4">
        <v>8</v>
      </c>
      <c r="AG736" s="4">
        <v>8</v>
      </c>
      <c r="AH736" s="4">
        <v>5</v>
      </c>
      <c r="AI736" s="4">
        <v>5</v>
      </c>
      <c r="AJ736" s="4">
        <v>15</v>
      </c>
      <c r="AK736" s="4">
        <v>15</v>
      </c>
      <c r="AL736" s="4">
        <v>5</v>
      </c>
      <c r="AM736" s="4">
        <v>5</v>
      </c>
      <c r="AN736" s="4">
        <v>0</v>
      </c>
      <c r="AO736" s="4">
        <v>0</v>
      </c>
      <c r="AP736" s="3" t="s">
        <v>58</v>
      </c>
      <c r="AQ736" s="3" t="s">
        <v>87</v>
      </c>
      <c r="AR736" s="6" t="str">
        <f>HYPERLINK("http://catalog.hathitrust.org/Record/000350566","HathiTrust Record")</f>
        <v>HathiTrust Record</v>
      </c>
      <c r="AS736" s="6" t="str">
        <f>HYPERLINK("https://creighton-primo.hosted.exlibrisgroup.com/primo-explore/search?tab=default_tab&amp;search_scope=EVERYTHING&amp;vid=01CRU&amp;lang=en_US&amp;offset=0&amp;query=any,contains,991000568509702656","Catalog Record")</f>
        <v>Catalog Record</v>
      </c>
      <c r="AT736" s="6" t="str">
        <f>HYPERLINK("http://www.worldcat.org/oclc/11624087","WorldCat Record")</f>
        <v>WorldCat Record</v>
      </c>
      <c r="AU736" s="3" t="s">
        <v>9701</v>
      </c>
      <c r="AV736" s="3" t="s">
        <v>9702</v>
      </c>
      <c r="AW736" s="3" t="s">
        <v>9703</v>
      </c>
      <c r="AX736" s="3" t="s">
        <v>9703</v>
      </c>
      <c r="AY736" s="3" t="s">
        <v>9704</v>
      </c>
      <c r="AZ736" s="3" t="s">
        <v>74</v>
      </c>
      <c r="BB736" s="3" t="s">
        <v>9705</v>
      </c>
      <c r="BC736" s="3" t="s">
        <v>9706</v>
      </c>
      <c r="BD736" s="3" t="s">
        <v>9707</v>
      </c>
    </row>
    <row r="737" spans="1:56" ht="45.75" customHeight="1" x14ac:dyDescent="0.25">
      <c r="A737" s="7" t="s">
        <v>58</v>
      </c>
      <c r="B737" s="2" t="s">
        <v>9708</v>
      </c>
      <c r="C737" s="2" t="s">
        <v>9709</v>
      </c>
      <c r="D737" s="2" t="s">
        <v>9710</v>
      </c>
      <c r="F737" s="3" t="s">
        <v>58</v>
      </c>
      <c r="G737" s="3" t="s">
        <v>59</v>
      </c>
      <c r="H737" s="3" t="s">
        <v>58</v>
      </c>
      <c r="I737" s="3" t="s">
        <v>58</v>
      </c>
      <c r="J737" s="3" t="s">
        <v>60</v>
      </c>
      <c r="K737" s="2" t="s">
        <v>9711</v>
      </c>
      <c r="L737" s="2" t="s">
        <v>9712</v>
      </c>
      <c r="M737" s="3" t="s">
        <v>307</v>
      </c>
      <c r="N737" s="2" t="s">
        <v>9713</v>
      </c>
      <c r="O737" s="3" t="s">
        <v>65</v>
      </c>
      <c r="P737" s="3" t="s">
        <v>84</v>
      </c>
      <c r="R737" s="3" t="s">
        <v>67</v>
      </c>
      <c r="S737" s="4">
        <v>25</v>
      </c>
      <c r="T737" s="4">
        <v>25</v>
      </c>
      <c r="U737" s="5" t="s">
        <v>9714</v>
      </c>
      <c r="V737" s="5" t="s">
        <v>9714</v>
      </c>
      <c r="W737" s="5" t="s">
        <v>6622</v>
      </c>
      <c r="X737" s="5" t="s">
        <v>6622</v>
      </c>
      <c r="Y737" s="4">
        <v>669</v>
      </c>
      <c r="Z737" s="4">
        <v>620</v>
      </c>
      <c r="AA737" s="4">
        <v>1376</v>
      </c>
      <c r="AB737" s="4">
        <v>7</v>
      </c>
      <c r="AC737" s="4">
        <v>11</v>
      </c>
      <c r="AD737" s="4">
        <v>26</v>
      </c>
      <c r="AE737" s="4">
        <v>37</v>
      </c>
      <c r="AF737" s="4">
        <v>7</v>
      </c>
      <c r="AG737" s="4">
        <v>14</v>
      </c>
      <c r="AH737" s="4">
        <v>7</v>
      </c>
      <c r="AI737" s="4">
        <v>7</v>
      </c>
      <c r="AJ737" s="4">
        <v>14</v>
      </c>
      <c r="AK737" s="4">
        <v>17</v>
      </c>
      <c r="AL737" s="4">
        <v>4</v>
      </c>
      <c r="AM737" s="4">
        <v>6</v>
      </c>
      <c r="AN737" s="4">
        <v>1</v>
      </c>
      <c r="AO737" s="4">
        <v>1</v>
      </c>
      <c r="AP737" s="3" t="s">
        <v>58</v>
      </c>
      <c r="AQ737" s="3" t="s">
        <v>58</v>
      </c>
      <c r="AS737" s="6" t="str">
        <f>HYPERLINK("https://creighton-primo.hosted.exlibrisgroup.com/primo-explore/search?tab=default_tab&amp;search_scope=EVERYTHING&amp;vid=01CRU&amp;lang=en_US&amp;offset=0&amp;query=any,contains,991002349259702656","Catalog Record")</f>
        <v>Catalog Record</v>
      </c>
      <c r="AT737" s="6" t="str">
        <f>HYPERLINK("http://www.worldcat.org/oclc/30594101","WorldCat Record")</f>
        <v>WorldCat Record</v>
      </c>
      <c r="AU737" s="3" t="s">
        <v>9715</v>
      </c>
      <c r="AV737" s="3" t="s">
        <v>9716</v>
      </c>
      <c r="AW737" s="3" t="s">
        <v>9717</v>
      </c>
      <c r="AX737" s="3" t="s">
        <v>9717</v>
      </c>
      <c r="AY737" s="3" t="s">
        <v>9718</v>
      </c>
      <c r="AZ737" s="3" t="s">
        <v>74</v>
      </c>
      <c r="BC737" s="3" t="s">
        <v>9719</v>
      </c>
      <c r="BD737" s="3" t="s">
        <v>9720</v>
      </c>
    </row>
    <row r="738" spans="1:56" ht="45.75" customHeight="1" x14ac:dyDescent="0.25">
      <c r="A738" s="7" t="s">
        <v>58</v>
      </c>
      <c r="B738" s="2" t="s">
        <v>9721</v>
      </c>
      <c r="C738" s="2" t="s">
        <v>9722</v>
      </c>
      <c r="D738" s="2" t="s">
        <v>9723</v>
      </c>
      <c r="F738" s="3" t="s">
        <v>58</v>
      </c>
      <c r="G738" s="3" t="s">
        <v>59</v>
      </c>
      <c r="H738" s="3" t="s">
        <v>58</v>
      </c>
      <c r="I738" s="3" t="s">
        <v>58</v>
      </c>
      <c r="J738" s="3" t="s">
        <v>60</v>
      </c>
      <c r="L738" s="2" t="s">
        <v>9724</v>
      </c>
      <c r="M738" s="3" t="s">
        <v>800</v>
      </c>
      <c r="O738" s="3" t="s">
        <v>65</v>
      </c>
      <c r="P738" s="3" t="s">
        <v>84</v>
      </c>
      <c r="R738" s="3" t="s">
        <v>67</v>
      </c>
      <c r="S738" s="4">
        <v>20</v>
      </c>
      <c r="T738" s="4">
        <v>20</v>
      </c>
      <c r="U738" s="5" t="s">
        <v>9349</v>
      </c>
      <c r="V738" s="5" t="s">
        <v>9349</v>
      </c>
      <c r="W738" s="5" t="s">
        <v>1354</v>
      </c>
      <c r="X738" s="5" t="s">
        <v>1354</v>
      </c>
      <c r="Y738" s="4">
        <v>300</v>
      </c>
      <c r="Z738" s="4">
        <v>222</v>
      </c>
      <c r="AA738" s="4">
        <v>247</v>
      </c>
      <c r="AB738" s="4">
        <v>3</v>
      </c>
      <c r="AC738" s="4">
        <v>3</v>
      </c>
      <c r="AD738" s="4">
        <v>19</v>
      </c>
      <c r="AE738" s="4">
        <v>19</v>
      </c>
      <c r="AF738" s="4">
        <v>7</v>
      </c>
      <c r="AG738" s="4">
        <v>7</v>
      </c>
      <c r="AH738" s="4">
        <v>4</v>
      </c>
      <c r="AI738" s="4">
        <v>4</v>
      </c>
      <c r="AJ738" s="4">
        <v>12</v>
      </c>
      <c r="AK738" s="4">
        <v>12</v>
      </c>
      <c r="AL738" s="4">
        <v>2</v>
      </c>
      <c r="AM738" s="4">
        <v>2</v>
      </c>
      <c r="AN738" s="4">
        <v>0</v>
      </c>
      <c r="AO738" s="4">
        <v>0</v>
      </c>
      <c r="AP738" s="3" t="s">
        <v>58</v>
      </c>
      <c r="AQ738" s="3" t="s">
        <v>58</v>
      </c>
      <c r="AS738" s="6" t="str">
        <f>HYPERLINK("https://creighton-primo.hosted.exlibrisgroup.com/primo-explore/search?tab=default_tab&amp;search_scope=EVERYTHING&amp;vid=01CRU&amp;lang=en_US&amp;offset=0&amp;query=any,contains,991001786989702656","Catalog Record")</f>
        <v>Catalog Record</v>
      </c>
      <c r="AT738" s="6" t="str">
        <f>HYPERLINK("http://www.worldcat.org/oclc/22508288","WorldCat Record")</f>
        <v>WorldCat Record</v>
      </c>
      <c r="AU738" s="3" t="s">
        <v>9725</v>
      </c>
      <c r="AV738" s="3" t="s">
        <v>9726</v>
      </c>
      <c r="AW738" s="3" t="s">
        <v>9727</v>
      </c>
      <c r="AX738" s="3" t="s">
        <v>9727</v>
      </c>
      <c r="AY738" s="3" t="s">
        <v>9728</v>
      </c>
      <c r="AZ738" s="3" t="s">
        <v>74</v>
      </c>
      <c r="BB738" s="3" t="s">
        <v>9729</v>
      </c>
      <c r="BC738" s="3" t="s">
        <v>9730</v>
      </c>
      <c r="BD738" s="3" t="s">
        <v>9731</v>
      </c>
    </row>
    <row r="739" spans="1:56" ht="45.75" customHeight="1" x14ac:dyDescent="0.25">
      <c r="A739" s="7" t="s">
        <v>58</v>
      </c>
      <c r="B739" s="2" t="s">
        <v>9732</v>
      </c>
      <c r="C739" s="2" t="s">
        <v>9733</v>
      </c>
      <c r="D739" s="2" t="s">
        <v>9734</v>
      </c>
      <c r="F739" s="3" t="s">
        <v>58</v>
      </c>
      <c r="G739" s="3" t="s">
        <v>59</v>
      </c>
      <c r="H739" s="3" t="s">
        <v>58</v>
      </c>
      <c r="I739" s="3" t="s">
        <v>58</v>
      </c>
      <c r="J739" s="3" t="s">
        <v>60</v>
      </c>
      <c r="K739" s="2" t="s">
        <v>9735</v>
      </c>
      <c r="L739" s="2" t="s">
        <v>9736</v>
      </c>
      <c r="M739" s="3" t="s">
        <v>220</v>
      </c>
      <c r="N739" s="2" t="s">
        <v>9269</v>
      </c>
      <c r="O739" s="3" t="s">
        <v>65</v>
      </c>
      <c r="P739" s="3" t="s">
        <v>84</v>
      </c>
      <c r="R739" s="3" t="s">
        <v>67</v>
      </c>
      <c r="S739" s="4">
        <v>6</v>
      </c>
      <c r="T739" s="4">
        <v>6</v>
      </c>
      <c r="U739" s="5" t="s">
        <v>9737</v>
      </c>
      <c r="V739" s="5" t="s">
        <v>9737</v>
      </c>
      <c r="W739" s="5" t="s">
        <v>9738</v>
      </c>
      <c r="X739" s="5" t="s">
        <v>9738</v>
      </c>
      <c r="Y739" s="4">
        <v>209</v>
      </c>
      <c r="Z739" s="4">
        <v>196</v>
      </c>
      <c r="AA739" s="4">
        <v>250</v>
      </c>
      <c r="AB739" s="4">
        <v>4</v>
      </c>
      <c r="AC739" s="4">
        <v>4</v>
      </c>
      <c r="AD739" s="4">
        <v>5</v>
      </c>
      <c r="AE739" s="4">
        <v>6</v>
      </c>
      <c r="AF739" s="4">
        <v>2</v>
      </c>
      <c r="AG739" s="4">
        <v>2</v>
      </c>
      <c r="AH739" s="4">
        <v>0</v>
      </c>
      <c r="AI739" s="4">
        <v>0</v>
      </c>
      <c r="AJ739" s="4">
        <v>2</v>
      </c>
      <c r="AK739" s="4">
        <v>3</v>
      </c>
      <c r="AL739" s="4">
        <v>1</v>
      </c>
      <c r="AM739" s="4">
        <v>1</v>
      </c>
      <c r="AN739" s="4">
        <v>1</v>
      </c>
      <c r="AO739" s="4">
        <v>1</v>
      </c>
      <c r="AP739" s="3" t="s">
        <v>58</v>
      </c>
      <c r="AQ739" s="3" t="s">
        <v>58</v>
      </c>
      <c r="AS739" s="6" t="str">
        <f>HYPERLINK("https://creighton-primo.hosted.exlibrisgroup.com/primo-explore/search?tab=default_tab&amp;search_scope=EVERYTHING&amp;vid=01CRU&amp;lang=en_US&amp;offset=0&amp;query=any,contains,991002829949702656","Catalog Record")</f>
        <v>Catalog Record</v>
      </c>
      <c r="AT739" s="6" t="str">
        <f>HYPERLINK("http://www.worldcat.org/oclc/37260884","WorldCat Record")</f>
        <v>WorldCat Record</v>
      </c>
      <c r="AU739" s="3" t="s">
        <v>9739</v>
      </c>
      <c r="AV739" s="3" t="s">
        <v>9740</v>
      </c>
      <c r="AW739" s="3" t="s">
        <v>9741</v>
      </c>
      <c r="AX739" s="3" t="s">
        <v>9741</v>
      </c>
      <c r="AY739" s="3" t="s">
        <v>9742</v>
      </c>
      <c r="AZ739" s="3" t="s">
        <v>74</v>
      </c>
      <c r="BB739" s="3" t="s">
        <v>9743</v>
      </c>
      <c r="BC739" s="3" t="s">
        <v>9744</v>
      </c>
      <c r="BD739" s="3" t="s">
        <v>9745</v>
      </c>
    </row>
    <row r="740" spans="1:56" ht="45.75" customHeight="1" x14ac:dyDescent="0.25">
      <c r="A740" s="7" t="s">
        <v>58</v>
      </c>
      <c r="B740" s="2" t="s">
        <v>9746</v>
      </c>
      <c r="C740" s="2" t="s">
        <v>9747</v>
      </c>
      <c r="D740" s="2" t="s">
        <v>9748</v>
      </c>
      <c r="F740" s="3" t="s">
        <v>58</v>
      </c>
      <c r="G740" s="3" t="s">
        <v>59</v>
      </c>
      <c r="H740" s="3" t="s">
        <v>58</v>
      </c>
      <c r="I740" s="3" t="s">
        <v>58</v>
      </c>
      <c r="J740" s="3" t="s">
        <v>60</v>
      </c>
      <c r="K740" s="2" t="s">
        <v>9749</v>
      </c>
      <c r="L740" s="2" t="s">
        <v>9750</v>
      </c>
      <c r="M740" s="3" t="s">
        <v>162</v>
      </c>
      <c r="O740" s="3" t="s">
        <v>65</v>
      </c>
      <c r="P740" s="3" t="s">
        <v>175</v>
      </c>
      <c r="R740" s="3" t="s">
        <v>67</v>
      </c>
      <c r="S740" s="4">
        <v>1</v>
      </c>
      <c r="T740" s="4">
        <v>1</v>
      </c>
      <c r="U740" s="5" t="s">
        <v>9751</v>
      </c>
      <c r="V740" s="5" t="s">
        <v>9751</v>
      </c>
      <c r="W740" s="5" t="s">
        <v>9751</v>
      </c>
      <c r="X740" s="5" t="s">
        <v>9751</v>
      </c>
      <c r="Y740" s="4">
        <v>542</v>
      </c>
      <c r="Z740" s="4">
        <v>434</v>
      </c>
      <c r="AA740" s="4">
        <v>476</v>
      </c>
      <c r="AB740" s="4">
        <v>5</v>
      </c>
      <c r="AC740" s="4">
        <v>5</v>
      </c>
      <c r="AD740" s="4">
        <v>23</v>
      </c>
      <c r="AE740" s="4">
        <v>24</v>
      </c>
      <c r="AF740" s="4">
        <v>9</v>
      </c>
      <c r="AG740" s="4">
        <v>9</v>
      </c>
      <c r="AH740" s="4">
        <v>3</v>
      </c>
      <c r="AI740" s="4">
        <v>4</v>
      </c>
      <c r="AJ740" s="4">
        <v>11</v>
      </c>
      <c r="AK740" s="4">
        <v>12</v>
      </c>
      <c r="AL740" s="4">
        <v>4</v>
      </c>
      <c r="AM740" s="4">
        <v>4</v>
      </c>
      <c r="AN740" s="4">
        <v>0</v>
      </c>
      <c r="AO740" s="4">
        <v>0</v>
      </c>
      <c r="AP740" s="3" t="s">
        <v>58</v>
      </c>
      <c r="AQ740" s="3" t="s">
        <v>58</v>
      </c>
      <c r="AS740" s="6" t="str">
        <f>HYPERLINK("https://creighton-primo.hosted.exlibrisgroup.com/primo-explore/search?tab=default_tab&amp;search_scope=EVERYTHING&amp;vid=01CRU&amp;lang=en_US&amp;offset=0&amp;query=any,contains,991005363329702656","Catalog Record")</f>
        <v>Catalog Record</v>
      </c>
      <c r="AT740" s="6" t="str">
        <f>HYPERLINK("http://www.worldcat.org/oclc/295033355","WorldCat Record")</f>
        <v>WorldCat Record</v>
      </c>
      <c r="AU740" s="3" t="s">
        <v>9752</v>
      </c>
      <c r="AV740" s="3" t="s">
        <v>9753</v>
      </c>
      <c r="AW740" s="3" t="s">
        <v>9754</v>
      </c>
      <c r="AX740" s="3" t="s">
        <v>9754</v>
      </c>
      <c r="AY740" s="3" t="s">
        <v>9755</v>
      </c>
      <c r="AZ740" s="3" t="s">
        <v>74</v>
      </c>
      <c r="BB740" s="3" t="s">
        <v>9756</v>
      </c>
      <c r="BC740" s="3" t="s">
        <v>9757</v>
      </c>
      <c r="BD740" s="3" t="s">
        <v>9758</v>
      </c>
    </row>
    <row r="741" spans="1:56" ht="45.75" customHeight="1" x14ac:dyDescent="0.25">
      <c r="A741" s="7" t="s">
        <v>58</v>
      </c>
      <c r="B741" s="2" t="s">
        <v>9759</v>
      </c>
      <c r="C741" s="2" t="s">
        <v>9760</v>
      </c>
      <c r="D741" s="2" t="s">
        <v>9761</v>
      </c>
      <c r="F741" s="3" t="s">
        <v>58</v>
      </c>
      <c r="G741" s="3" t="s">
        <v>59</v>
      </c>
      <c r="H741" s="3" t="s">
        <v>87</v>
      </c>
      <c r="I741" s="3" t="s">
        <v>58</v>
      </c>
      <c r="J741" s="3" t="s">
        <v>60</v>
      </c>
      <c r="K741" s="2" t="s">
        <v>9762</v>
      </c>
      <c r="L741" s="2" t="s">
        <v>9763</v>
      </c>
      <c r="M741" s="3" t="s">
        <v>1998</v>
      </c>
      <c r="O741" s="3" t="s">
        <v>65</v>
      </c>
      <c r="P741" s="3" t="s">
        <v>772</v>
      </c>
      <c r="R741" s="3" t="s">
        <v>67</v>
      </c>
      <c r="S741" s="4">
        <v>15</v>
      </c>
      <c r="T741" s="4">
        <v>29</v>
      </c>
      <c r="U741" s="5" t="s">
        <v>9764</v>
      </c>
      <c r="V741" s="5" t="s">
        <v>9765</v>
      </c>
      <c r="W741" s="5" t="s">
        <v>1933</v>
      </c>
      <c r="X741" s="5" t="s">
        <v>1933</v>
      </c>
      <c r="Y741" s="4">
        <v>519</v>
      </c>
      <c r="Z741" s="4">
        <v>462</v>
      </c>
      <c r="AA741" s="4">
        <v>478</v>
      </c>
      <c r="AB741" s="4">
        <v>5</v>
      </c>
      <c r="AC741" s="4">
        <v>5</v>
      </c>
      <c r="AD741" s="4">
        <v>25</v>
      </c>
      <c r="AE741" s="4">
        <v>27</v>
      </c>
      <c r="AF741" s="4">
        <v>7</v>
      </c>
      <c r="AG741" s="4">
        <v>8</v>
      </c>
      <c r="AH741" s="4">
        <v>5</v>
      </c>
      <c r="AI741" s="4">
        <v>6</v>
      </c>
      <c r="AJ741" s="4">
        <v>13</v>
      </c>
      <c r="AK741" s="4">
        <v>13</v>
      </c>
      <c r="AL741" s="4">
        <v>3</v>
      </c>
      <c r="AM741" s="4">
        <v>3</v>
      </c>
      <c r="AN741" s="4">
        <v>2</v>
      </c>
      <c r="AO741" s="4">
        <v>2</v>
      </c>
      <c r="AP741" s="3" t="s">
        <v>58</v>
      </c>
      <c r="AQ741" s="3" t="s">
        <v>87</v>
      </c>
      <c r="AR741" s="6" t="str">
        <f>HYPERLINK("http://catalog.hathitrust.org/Record/000035590","HathiTrust Record")</f>
        <v>HathiTrust Record</v>
      </c>
      <c r="AS741" s="6" t="str">
        <f>HYPERLINK("https://creighton-primo.hosted.exlibrisgroup.com/primo-explore/search?tab=default_tab&amp;search_scope=EVERYTHING&amp;vid=01CRU&amp;lang=en_US&amp;offset=0&amp;query=any,contains,991001806319702656","Catalog Record")</f>
        <v>Catalog Record</v>
      </c>
      <c r="AT741" s="6" t="str">
        <f>HYPERLINK("http://www.worldcat.org/oclc/1129972","WorldCat Record")</f>
        <v>WorldCat Record</v>
      </c>
      <c r="AU741" s="3" t="s">
        <v>9766</v>
      </c>
      <c r="AV741" s="3" t="s">
        <v>9767</v>
      </c>
      <c r="AW741" s="3" t="s">
        <v>9768</v>
      </c>
      <c r="AX741" s="3" t="s">
        <v>9768</v>
      </c>
      <c r="AY741" s="3" t="s">
        <v>9769</v>
      </c>
      <c r="AZ741" s="3" t="s">
        <v>74</v>
      </c>
      <c r="BB741" s="3" t="s">
        <v>9770</v>
      </c>
      <c r="BC741" s="3" t="s">
        <v>9771</v>
      </c>
      <c r="BD741" s="3" t="s">
        <v>9772</v>
      </c>
    </row>
    <row r="742" spans="1:56" ht="45.75" customHeight="1" x14ac:dyDescent="0.25">
      <c r="A742" s="7" t="s">
        <v>58</v>
      </c>
      <c r="B742" s="2" t="s">
        <v>9773</v>
      </c>
      <c r="C742" s="2" t="s">
        <v>9774</v>
      </c>
      <c r="D742" s="2" t="s">
        <v>9775</v>
      </c>
      <c r="F742" s="3" t="s">
        <v>58</v>
      </c>
      <c r="G742" s="3" t="s">
        <v>59</v>
      </c>
      <c r="H742" s="3" t="s">
        <v>58</v>
      </c>
      <c r="I742" s="3" t="s">
        <v>58</v>
      </c>
      <c r="J742" s="3" t="s">
        <v>60</v>
      </c>
      <c r="K742" s="2" t="s">
        <v>9776</v>
      </c>
      <c r="L742" s="2" t="s">
        <v>9777</v>
      </c>
      <c r="M742" s="3" t="s">
        <v>629</v>
      </c>
      <c r="O742" s="3" t="s">
        <v>65</v>
      </c>
      <c r="P742" s="3" t="s">
        <v>84</v>
      </c>
      <c r="Q742" s="2" t="s">
        <v>9778</v>
      </c>
      <c r="R742" s="3" t="s">
        <v>67</v>
      </c>
      <c r="S742" s="4">
        <v>20</v>
      </c>
      <c r="T742" s="4">
        <v>20</v>
      </c>
      <c r="U742" s="5" t="s">
        <v>9779</v>
      </c>
      <c r="V742" s="5" t="s">
        <v>9779</v>
      </c>
      <c r="W742" s="5" t="s">
        <v>9780</v>
      </c>
      <c r="X742" s="5" t="s">
        <v>9780</v>
      </c>
      <c r="Y742" s="4">
        <v>624</v>
      </c>
      <c r="Z742" s="4">
        <v>552</v>
      </c>
      <c r="AA742" s="4">
        <v>553</v>
      </c>
      <c r="AB742" s="4">
        <v>7</v>
      </c>
      <c r="AC742" s="4">
        <v>7</v>
      </c>
      <c r="AD742" s="4">
        <v>27</v>
      </c>
      <c r="AE742" s="4">
        <v>27</v>
      </c>
      <c r="AF742" s="4">
        <v>6</v>
      </c>
      <c r="AG742" s="4">
        <v>6</v>
      </c>
      <c r="AH742" s="4">
        <v>7</v>
      </c>
      <c r="AI742" s="4">
        <v>7</v>
      </c>
      <c r="AJ742" s="4">
        <v>11</v>
      </c>
      <c r="AK742" s="4">
        <v>11</v>
      </c>
      <c r="AL742" s="4">
        <v>6</v>
      </c>
      <c r="AM742" s="4">
        <v>6</v>
      </c>
      <c r="AN742" s="4">
        <v>2</v>
      </c>
      <c r="AO742" s="4">
        <v>2</v>
      </c>
      <c r="AP742" s="3" t="s">
        <v>58</v>
      </c>
      <c r="AQ742" s="3" t="s">
        <v>58</v>
      </c>
      <c r="AS742" s="6" t="str">
        <f>HYPERLINK("https://creighton-primo.hosted.exlibrisgroup.com/primo-explore/search?tab=default_tab&amp;search_scope=EVERYTHING&amp;vid=01CRU&amp;lang=en_US&amp;offset=0&amp;query=any,contains,991002247029702656","Catalog Record")</f>
        <v>Catalog Record</v>
      </c>
      <c r="AT742" s="6" t="str">
        <f>HYPERLINK("http://www.worldcat.org/oclc/28966639","WorldCat Record")</f>
        <v>WorldCat Record</v>
      </c>
      <c r="AU742" s="3" t="s">
        <v>9781</v>
      </c>
      <c r="AV742" s="3" t="s">
        <v>9782</v>
      </c>
      <c r="AW742" s="3" t="s">
        <v>9783</v>
      </c>
      <c r="AX742" s="3" t="s">
        <v>9783</v>
      </c>
      <c r="AY742" s="3" t="s">
        <v>9784</v>
      </c>
      <c r="AZ742" s="3" t="s">
        <v>74</v>
      </c>
      <c r="BB742" s="3" t="s">
        <v>9785</v>
      </c>
      <c r="BC742" s="3" t="s">
        <v>9786</v>
      </c>
      <c r="BD742" s="3" t="s">
        <v>9787</v>
      </c>
    </row>
    <row r="743" spans="1:56" ht="45.75" customHeight="1" x14ac:dyDescent="0.25">
      <c r="A743" s="7" t="s">
        <v>58</v>
      </c>
      <c r="B743" s="2" t="s">
        <v>9788</v>
      </c>
      <c r="C743" s="2" t="s">
        <v>9789</v>
      </c>
      <c r="D743" s="2" t="s">
        <v>9790</v>
      </c>
      <c r="F743" s="3" t="s">
        <v>58</v>
      </c>
      <c r="G743" s="3" t="s">
        <v>59</v>
      </c>
      <c r="H743" s="3" t="s">
        <v>58</v>
      </c>
      <c r="I743" s="3" t="s">
        <v>58</v>
      </c>
      <c r="J743" s="3" t="s">
        <v>60</v>
      </c>
      <c r="K743" s="2" t="s">
        <v>9791</v>
      </c>
      <c r="L743" s="2" t="s">
        <v>9792</v>
      </c>
      <c r="M743" s="3" t="s">
        <v>908</v>
      </c>
      <c r="O743" s="3" t="s">
        <v>65</v>
      </c>
      <c r="P743" s="3" t="s">
        <v>84</v>
      </c>
      <c r="R743" s="3" t="s">
        <v>67</v>
      </c>
      <c r="S743" s="4">
        <v>31</v>
      </c>
      <c r="T743" s="4">
        <v>31</v>
      </c>
      <c r="U743" s="5" t="s">
        <v>9793</v>
      </c>
      <c r="V743" s="5" t="s">
        <v>9793</v>
      </c>
      <c r="W743" s="5" t="s">
        <v>5890</v>
      </c>
      <c r="X743" s="5" t="s">
        <v>5890</v>
      </c>
      <c r="Y743" s="4">
        <v>1064</v>
      </c>
      <c r="Z743" s="4">
        <v>903</v>
      </c>
      <c r="AA743" s="4">
        <v>973</v>
      </c>
      <c r="AB743" s="4">
        <v>6</v>
      </c>
      <c r="AC743" s="4">
        <v>6</v>
      </c>
      <c r="AD743" s="4">
        <v>38</v>
      </c>
      <c r="AE743" s="4">
        <v>40</v>
      </c>
      <c r="AF743" s="4">
        <v>12</v>
      </c>
      <c r="AG743" s="4">
        <v>14</v>
      </c>
      <c r="AH743" s="4">
        <v>4</v>
      </c>
      <c r="AI743" s="4">
        <v>4</v>
      </c>
      <c r="AJ743" s="4">
        <v>14</v>
      </c>
      <c r="AK743" s="4">
        <v>15</v>
      </c>
      <c r="AL743" s="4">
        <v>5</v>
      </c>
      <c r="AM743" s="4">
        <v>5</v>
      </c>
      <c r="AN743" s="4">
        <v>8</v>
      </c>
      <c r="AO743" s="4">
        <v>8</v>
      </c>
      <c r="AP743" s="3" t="s">
        <v>58</v>
      </c>
      <c r="AQ743" s="3" t="s">
        <v>87</v>
      </c>
      <c r="AR743" s="6" t="str">
        <f>HYPERLINK("http://catalog.hathitrust.org/Record/000039231","HathiTrust Record")</f>
        <v>HathiTrust Record</v>
      </c>
      <c r="AS743" s="6" t="str">
        <f>HYPERLINK("https://creighton-primo.hosted.exlibrisgroup.com/primo-explore/search?tab=default_tab&amp;search_scope=EVERYTHING&amp;vid=01CRU&amp;lang=en_US&amp;offset=0&amp;query=any,contains,991004798249702656","Catalog Record")</f>
        <v>Catalog Record</v>
      </c>
      <c r="AT743" s="6" t="str">
        <f>HYPERLINK("http://www.worldcat.org/oclc/5196750","WorldCat Record")</f>
        <v>WorldCat Record</v>
      </c>
      <c r="AU743" s="3" t="s">
        <v>9794</v>
      </c>
      <c r="AV743" s="3" t="s">
        <v>9795</v>
      </c>
      <c r="AW743" s="3" t="s">
        <v>9796</v>
      </c>
      <c r="AX743" s="3" t="s">
        <v>9796</v>
      </c>
      <c r="AY743" s="3" t="s">
        <v>9797</v>
      </c>
      <c r="AZ743" s="3" t="s">
        <v>74</v>
      </c>
      <c r="BB743" s="3" t="s">
        <v>9798</v>
      </c>
      <c r="BC743" s="3" t="s">
        <v>9799</v>
      </c>
      <c r="BD743" s="3" t="s">
        <v>9800</v>
      </c>
    </row>
    <row r="744" spans="1:56" ht="45.75" customHeight="1" x14ac:dyDescent="0.25">
      <c r="A744" s="7" t="s">
        <v>58</v>
      </c>
      <c r="B744" s="2" t="s">
        <v>9801</v>
      </c>
      <c r="C744" s="2" t="s">
        <v>9802</v>
      </c>
      <c r="D744" s="2" t="s">
        <v>9803</v>
      </c>
      <c r="F744" s="3" t="s">
        <v>58</v>
      </c>
      <c r="G744" s="3" t="s">
        <v>59</v>
      </c>
      <c r="H744" s="3" t="s">
        <v>58</v>
      </c>
      <c r="I744" s="3" t="s">
        <v>58</v>
      </c>
      <c r="J744" s="3" t="s">
        <v>60</v>
      </c>
      <c r="K744" s="2" t="s">
        <v>9804</v>
      </c>
      <c r="L744" s="2" t="s">
        <v>9805</v>
      </c>
      <c r="M744" s="3" t="s">
        <v>1485</v>
      </c>
      <c r="O744" s="3" t="s">
        <v>65</v>
      </c>
      <c r="P744" s="3" t="s">
        <v>84</v>
      </c>
      <c r="R744" s="3" t="s">
        <v>67</v>
      </c>
      <c r="S744" s="4">
        <v>30</v>
      </c>
      <c r="T744" s="4">
        <v>30</v>
      </c>
      <c r="U744" s="5" t="s">
        <v>9806</v>
      </c>
      <c r="V744" s="5" t="s">
        <v>9806</v>
      </c>
      <c r="W744" s="5" t="s">
        <v>6480</v>
      </c>
      <c r="X744" s="5" t="s">
        <v>6480</v>
      </c>
      <c r="Y744" s="4">
        <v>536</v>
      </c>
      <c r="Z744" s="4">
        <v>464</v>
      </c>
      <c r="AA744" s="4">
        <v>548</v>
      </c>
      <c r="AB744" s="4">
        <v>7</v>
      </c>
      <c r="AC744" s="4">
        <v>7</v>
      </c>
      <c r="AD744" s="4">
        <v>19</v>
      </c>
      <c r="AE744" s="4">
        <v>21</v>
      </c>
      <c r="AF744" s="4">
        <v>2</v>
      </c>
      <c r="AG744" s="4">
        <v>3</v>
      </c>
      <c r="AH744" s="4">
        <v>4</v>
      </c>
      <c r="AI744" s="4">
        <v>5</v>
      </c>
      <c r="AJ744" s="4">
        <v>8</v>
      </c>
      <c r="AK744" s="4">
        <v>10</v>
      </c>
      <c r="AL744" s="4">
        <v>4</v>
      </c>
      <c r="AM744" s="4">
        <v>4</v>
      </c>
      <c r="AN744" s="4">
        <v>4</v>
      </c>
      <c r="AO744" s="4">
        <v>4</v>
      </c>
      <c r="AP744" s="3" t="s">
        <v>58</v>
      </c>
      <c r="AQ744" s="3" t="s">
        <v>87</v>
      </c>
      <c r="AR744" s="6" t="str">
        <f>HYPERLINK("http://catalog.hathitrust.org/Record/000740608","HathiTrust Record")</f>
        <v>HathiTrust Record</v>
      </c>
      <c r="AS744" s="6" t="str">
        <f>HYPERLINK("https://creighton-primo.hosted.exlibrisgroup.com/primo-explore/search?tab=default_tab&amp;search_scope=EVERYTHING&amp;vid=01CRU&amp;lang=en_US&amp;offset=0&amp;query=any,contains,991004161699702656","Catalog Record")</f>
        <v>Catalog Record</v>
      </c>
      <c r="AT744" s="6" t="str">
        <f>HYPERLINK("http://www.worldcat.org/oclc/2553399","WorldCat Record")</f>
        <v>WorldCat Record</v>
      </c>
      <c r="AU744" s="3" t="s">
        <v>9807</v>
      </c>
      <c r="AV744" s="3" t="s">
        <v>9808</v>
      </c>
      <c r="AW744" s="3" t="s">
        <v>9809</v>
      </c>
      <c r="AX744" s="3" t="s">
        <v>9809</v>
      </c>
      <c r="AY744" s="3" t="s">
        <v>9810</v>
      </c>
      <c r="AZ744" s="3" t="s">
        <v>74</v>
      </c>
      <c r="BB744" s="3" t="s">
        <v>9811</v>
      </c>
      <c r="BC744" s="3" t="s">
        <v>9812</v>
      </c>
      <c r="BD744" s="3" t="s">
        <v>9813</v>
      </c>
    </row>
    <row r="745" spans="1:56" ht="45.75" customHeight="1" x14ac:dyDescent="0.25">
      <c r="A745" s="7" t="s">
        <v>58</v>
      </c>
      <c r="B745" s="2" t="s">
        <v>9814</v>
      </c>
      <c r="C745" s="2" t="s">
        <v>9815</v>
      </c>
      <c r="D745" s="2" t="s">
        <v>9816</v>
      </c>
      <c r="F745" s="3" t="s">
        <v>58</v>
      </c>
      <c r="G745" s="3" t="s">
        <v>59</v>
      </c>
      <c r="H745" s="3" t="s">
        <v>58</v>
      </c>
      <c r="I745" s="3" t="s">
        <v>58</v>
      </c>
      <c r="J745" s="3" t="s">
        <v>60</v>
      </c>
      <c r="K745" s="2" t="s">
        <v>9817</v>
      </c>
      <c r="L745" s="2" t="s">
        <v>9818</v>
      </c>
      <c r="M745" s="3" t="s">
        <v>1998</v>
      </c>
      <c r="O745" s="3" t="s">
        <v>65</v>
      </c>
      <c r="P745" s="3" t="s">
        <v>190</v>
      </c>
      <c r="R745" s="3" t="s">
        <v>67</v>
      </c>
      <c r="S745" s="4">
        <v>17</v>
      </c>
      <c r="T745" s="4">
        <v>17</v>
      </c>
      <c r="U745" s="5" t="s">
        <v>9806</v>
      </c>
      <c r="V745" s="5" t="s">
        <v>9806</v>
      </c>
      <c r="W745" s="5" t="s">
        <v>1933</v>
      </c>
      <c r="X745" s="5" t="s">
        <v>1933</v>
      </c>
      <c r="Y745" s="4">
        <v>449</v>
      </c>
      <c r="Z745" s="4">
        <v>385</v>
      </c>
      <c r="AA745" s="4">
        <v>396</v>
      </c>
      <c r="AB745" s="4">
        <v>3</v>
      </c>
      <c r="AC745" s="4">
        <v>3</v>
      </c>
      <c r="AD745" s="4">
        <v>21</v>
      </c>
      <c r="AE745" s="4">
        <v>21</v>
      </c>
      <c r="AF745" s="4">
        <v>6</v>
      </c>
      <c r="AG745" s="4">
        <v>6</v>
      </c>
      <c r="AH745" s="4">
        <v>3</v>
      </c>
      <c r="AI745" s="4">
        <v>3</v>
      </c>
      <c r="AJ745" s="4">
        <v>9</v>
      </c>
      <c r="AK745" s="4">
        <v>9</v>
      </c>
      <c r="AL745" s="4">
        <v>2</v>
      </c>
      <c r="AM745" s="4">
        <v>2</v>
      </c>
      <c r="AN745" s="4">
        <v>5</v>
      </c>
      <c r="AO745" s="4">
        <v>5</v>
      </c>
      <c r="AP745" s="3" t="s">
        <v>58</v>
      </c>
      <c r="AQ745" s="3" t="s">
        <v>87</v>
      </c>
      <c r="AR745" s="6" t="str">
        <f>HYPERLINK("http://catalog.hathitrust.org/Record/001744488","HathiTrust Record")</f>
        <v>HathiTrust Record</v>
      </c>
      <c r="AS745" s="6" t="str">
        <f>HYPERLINK("https://creighton-primo.hosted.exlibrisgroup.com/primo-explore/search?tab=default_tab&amp;search_scope=EVERYTHING&amp;vid=01CRU&amp;lang=en_US&amp;offset=0&amp;query=any,contains,991003362429702656","Catalog Record")</f>
        <v>Catalog Record</v>
      </c>
      <c r="AT745" s="6" t="str">
        <f>HYPERLINK("http://www.worldcat.org/oclc/898092","WorldCat Record")</f>
        <v>WorldCat Record</v>
      </c>
      <c r="AU745" s="3" t="s">
        <v>9819</v>
      </c>
      <c r="AV745" s="3" t="s">
        <v>9820</v>
      </c>
      <c r="AW745" s="3" t="s">
        <v>9821</v>
      </c>
      <c r="AX745" s="3" t="s">
        <v>9821</v>
      </c>
      <c r="AY745" s="3" t="s">
        <v>9822</v>
      </c>
      <c r="AZ745" s="3" t="s">
        <v>74</v>
      </c>
      <c r="BB745" s="3" t="s">
        <v>9823</v>
      </c>
      <c r="BC745" s="3" t="s">
        <v>9824</v>
      </c>
      <c r="BD745" s="3" t="s">
        <v>9825</v>
      </c>
    </row>
    <row r="746" spans="1:56" ht="45.75" customHeight="1" x14ac:dyDescent="0.25">
      <c r="A746" s="7" t="s">
        <v>58</v>
      </c>
      <c r="B746" s="2" t="s">
        <v>9826</v>
      </c>
      <c r="C746" s="2" t="s">
        <v>9827</v>
      </c>
      <c r="D746" s="2" t="s">
        <v>9828</v>
      </c>
      <c r="F746" s="3" t="s">
        <v>58</v>
      </c>
      <c r="G746" s="3" t="s">
        <v>59</v>
      </c>
      <c r="H746" s="3" t="s">
        <v>58</v>
      </c>
      <c r="I746" s="3" t="s">
        <v>58</v>
      </c>
      <c r="J746" s="3" t="s">
        <v>60</v>
      </c>
      <c r="L746" s="2" t="s">
        <v>9829</v>
      </c>
      <c r="M746" s="3" t="s">
        <v>1088</v>
      </c>
      <c r="O746" s="3" t="s">
        <v>65</v>
      </c>
      <c r="P746" s="3" t="s">
        <v>84</v>
      </c>
      <c r="Q746" s="2" t="s">
        <v>9830</v>
      </c>
      <c r="R746" s="3" t="s">
        <v>67</v>
      </c>
      <c r="S746" s="4">
        <v>27</v>
      </c>
      <c r="T746" s="4">
        <v>27</v>
      </c>
      <c r="U746" s="5" t="s">
        <v>7115</v>
      </c>
      <c r="V746" s="5" t="s">
        <v>7115</v>
      </c>
      <c r="W746" s="5" t="s">
        <v>2700</v>
      </c>
      <c r="X746" s="5" t="s">
        <v>2700</v>
      </c>
      <c r="Y746" s="4">
        <v>464</v>
      </c>
      <c r="Z746" s="4">
        <v>393</v>
      </c>
      <c r="AA746" s="4">
        <v>396</v>
      </c>
      <c r="AB746" s="4">
        <v>5</v>
      </c>
      <c r="AC746" s="4">
        <v>5</v>
      </c>
      <c r="AD746" s="4">
        <v>24</v>
      </c>
      <c r="AE746" s="4">
        <v>24</v>
      </c>
      <c r="AF746" s="4">
        <v>6</v>
      </c>
      <c r="AG746" s="4">
        <v>6</v>
      </c>
      <c r="AH746" s="4">
        <v>9</v>
      </c>
      <c r="AI746" s="4">
        <v>9</v>
      </c>
      <c r="AJ746" s="4">
        <v>11</v>
      </c>
      <c r="AK746" s="4">
        <v>11</v>
      </c>
      <c r="AL746" s="4">
        <v>4</v>
      </c>
      <c r="AM746" s="4">
        <v>4</v>
      </c>
      <c r="AN746" s="4">
        <v>0</v>
      </c>
      <c r="AO746" s="4">
        <v>0</v>
      </c>
      <c r="AP746" s="3" t="s">
        <v>58</v>
      </c>
      <c r="AQ746" s="3" t="s">
        <v>87</v>
      </c>
      <c r="AR746" s="6" t="str">
        <f>HYPERLINK("http://catalog.hathitrust.org/Record/000554681","HathiTrust Record")</f>
        <v>HathiTrust Record</v>
      </c>
      <c r="AS746" s="6" t="str">
        <f>HYPERLINK("https://creighton-primo.hosted.exlibrisgroup.com/primo-explore/search?tab=default_tab&amp;search_scope=EVERYTHING&amp;vid=01CRU&amp;lang=en_US&amp;offset=0&amp;query=any,contains,991000659259702656","Catalog Record")</f>
        <v>Catalog Record</v>
      </c>
      <c r="AT746" s="6" t="str">
        <f>HYPERLINK("http://www.worldcat.org/oclc/12235945","WorldCat Record")</f>
        <v>WorldCat Record</v>
      </c>
      <c r="AU746" s="3" t="s">
        <v>9831</v>
      </c>
      <c r="AV746" s="3" t="s">
        <v>9832</v>
      </c>
      <c r="AW746" s="3" t="s">
        <v>9833</v>
      </c>
      <c r="AX746" s="3" t="s">
        <v>9833</v>
      </c>
      <c r="AY746" s="3" t="s">
        <v>9834</v>
      </c>
      <c r="AZ746" s="3" t="s">
        <v>74</v>
      </c>
      <c r="BB746" s="3" t="s">
        <v>9835</v>
      </c>
      <c r="BC746" s="3" t="s">
        <v>9836</v>
      </c>
      <c r="BD746" s="3" t="s">
        <v>9837</v>
      </c>
    </row>
    <row r="747" spans="1:56" ht="45.75" customHeight="1" x14ac:dyDescent="0.25">
      <c r="A747" s="7" t="s">
        <v>58</v>
      </c>
      <c r="B747" s="2" t="s">
        <v>9838</v>
      </c>
      <c r="C747" s="2" t="s">
        <v>9839</v>
      </c>
      <c r="D747" s="2" t="s">
        <v>9840</v>
      </c>
      <c r="F747" s="3" t="s">
        <v>58</v>
      </c>
      <c r="G747" s="3" t="s">
        <v>59</v>
      </c>
      <c r="H747" s="3" t="s">
        <v>58</v>
      </c>
      <c r="I747" s="3" t="s">
        <v>58</v>
      </c>
      <c r="J747" s="3" t="s">
        <v>60</v>
      </c>
      <c r="K747" s="2" t="s">
        <v>9841</v>
      </c>
      <c r="L747" s="2" t="s">
        <v>9842</v>
      </c>
      <c r="M747" s="3" t="s">
        <v>742</v>
      </c>
      <c r="O747" s="3" t="s">
        <v>65</v>
      </c>
      <c r="P747" s="3" t="s">
        <v>587</v>
      </c>
      <c r="R747" s="3" t="s">
        <v>67</v>
      </c>
      <c r="S747" s="4">
        <v>26</v>
      </c>
      <c r="T747" s="4">
        <v>26</v>
      </c>
      <c r="U747" s="5" t="s">
        <v>9843</v>
      </c>
      <c r="V747" s="5" t="s">
        <v>9843</v>
      </c>
      <c r="W747" s="5" t="s">
        <v>9844</v>
      </c>
      <c r="X747" s="5" t="s">
        <v>9844</v>
      </c>
      <c r="Y747" s="4">
        <v>952</v>
      </c>
      <c r="Z747" s="4">
        <v>857</v>
      </c>
      <c r="AA747" s="4">
        <v>859</v>
      </c>
      <c r="AB747" s="4">
        <v>4</v>
      </c>
      <c r="AC747" s="4">
        <v>4</v>
      </c>
      <c r="AD747" s="4">
        <v>53</v>
      </c>
      <c r="AE747" s="4">
        <v>53</v>
      </c>
      <c r="AF747" s="4">
        <v>19</v>
      </c>
      <c r="AG747" s="4">
        <v>19</v>
      </c>
      <c r="AH747" s="4">
        <v>10</v>
      </c>
      <c r="AI747" s="4">
        <v>10</v>
      </c>
      <c r="AJ747" s="4">
        <v>20</v>
      </c>
      <c r="AK747" s="4">
        <v>20</v>
      </c>
      <c r="AL747" s="4">
        <v>3</v>
      </c>
      <c r="AM747" s="4">
        <v>3</v>
      </c>
      <c r="AN747" s="4">
        <v>13</v>
      </c>
      <c r="AO747" s="4">
        <v>13</v>
      </c>
      <c r="AP747" s="3" t="s">
        <v>58</v>
      </c>
      <c r="AQ747" s="3" t="s">
        <v>58</v>
      </c>
      <c r="AS747" s="6" t="str">
        <f>HYPERLINK("https://creighton-primo.hosted.exlibrisgroup.com/primo-explore/search?tab=default_tab&amp;search_scope=EVERYTHING&amp;vid=01CRU&amp;lang=en_US&amp;offset=0&amp;query=any,contains,991001462789702656","Catalog Record")</f>
        <v>Catalog Record</v>
      </c>
      <c r="AT747" s="6" t="str">
        <f>HYPERLINK("http://www.worldcat.org/oclc/19457085","WorldCat Record")</f>
        <v>WorldCat Record</v>
      </c>
      <c r="AU747" s="3" t="s">
        <v>9845</v>
      </c>
      <c r="AV747" s="3" t="s">
        <v>9846</v>
      </c>
      <c r="AW747" s="3" t="s">
        <v>9847</v>
      </c>
      <c r="AX747" s="3" t="s">
        <v>9847</v>
      </c>
      <c r="AY747" s="3" t="s">
        <v>9848</v>
      </c>
      <c r="AZ747" s="3" t="s">
        <v>74</v>
      </c>
      <c r="BB747" s="3" t="s">
        <v>9849</v>
      </c>
      <c r="BC747" s="3" t="s">
        <v>9850</v>
      </c>
      <c r="BD747" s="3" t="s">
        <v>9851</v>
      </c>
    </row>
    <row r="748" spans="1:56" ht="45.75" customHeight="1" x14ac:dyDescent="0.25">
      <c r="A748" s="7" t="s">
        <v>58</v>
      </c>
      <c r="B748" s="2" t="s">
        <v>9852</v>
      </c>
      <c r="C748" s="2" t="s">
        <v>9853</v>
      </c>
      <c r="D748" s="2" t="s">
        <v>9854</v>
      </c>
      <c r="F748" s="3" t="s">
        <v>58</v>
      </c>
      <c r="G748" s="3" t="s">
        <v>59</v>
      </c>
      <c r="H748" s="3" t="s">
        <v>58</v>
      </c>
      <c r="I748" s="3" t="s">
        <v>58</v>
      </c>
      <c r="J748" s="3" t="s">
        <v>60</v>
      </c>
      <c r="K748" s="2" t="s">
        <v>9855</v>
      </c>
      <c r="L748" s="2" t="s">
        <v>9856</v>
      </c>
      <c r="M748" s="3" t="s">
        <v>419</v>
      </c>
      <c r="O748" s="3" t="s">
        <v>65</v>
      </c>
      <c r="P748" s="3" t="s">
        <v>148</v>
      </c>
      <c r="R748" s="3" t="s">
        <v>67</v>
      </c>
      <c r="S748" s="4">
        <v>7</v>
      </c>
      <c r="T748" s="4">
        <v>7</v>
      </c>
      <c r="U748" s="5" t="s">
        <v>9857</v>
      </c>
      <c r="V748" s="5" t="s">
        <v>9857</v>
      </c>
      <c r="W748" s="5" t="s">
        <v>4357</v>
      </c>
      <c r="X748" s="5" t="s">
        <v>4357</v>
      </c>
      <c r="Y748" s="4">
        <v>693</v>
      </c>
      <c r="Z748" s="4">
        <v>612</v>
      </c>
      <c r="AA748" s="4">
        <v>613</v>
      </c>
      <c r="AB748" s="4">
        <v>2</v>
      </c>
      <c r="AC748" s="4">
        <v>2</v>
      </c>
      <c r="AD748" s="4">
        <v>37</v>
      </c>
      <c r="AE748" s="4">
        <v>37</v>
      </c>
      <c r="AF748" s="4">
        <v>13</v>
      </c>
      <c r="AG748" s="4">
        <v>13</v>
      </c>
      <c r="AH748" s="4">
        <v>8</v>
      </c>
      <c r="AI748" s="4">
        <v>8</v>
      </c>
      <c r="AJ748" s="4">
        <v>19</v>
      </c>
      <c r="AK748" s="4">
        <v>19</v>
      </c>
      <c r="AL748" s="4">
        <v>1</v>
      </c>
      <c r="AM748" s="4">
        <v>1</v>
      </c>
      <c r="AN748" s="4">
        <v>3</v>
      </c>
      <c r="AO748" s="4">
        <v>3</v>
      </c>
      <c r="AP748" s="3" t="s">
        <v>58</v>
      </c>
      <c r="AQ748" s="3" t="s">
        <v>58</v>
      </c>
      <c r="AS748" s="6" t="str">
        <f>HYPERLINK("https://creighton-primo.hosted.exlibrisgroup.com/primo-explore/search?tab=default_tab&amp;search_scope=EVERYTHING&amp;vid=01CRU&amp;lang=en_US&amp;offset=0&amp;query=any,contains,991003618009702656","Catalog Record")</f>
        <v>Catalog Record</v>
      </c>
      <c r="AT748" s="6" t="str">
        <f>HYPERLINK("http://www.worldcat.org/oclc/43287050","WorldCat Record")</f>
        <v>WorldCat Record</v>
      </c>
      <c r="AU748" s="3" t="s">
        <v>9858</v>
      </c>
      <c r="AV748" s="3" t="s">
        <v>9859</v>
      </c>
      <c r="AW748" s="3" t="s">
        <v>9860</v>
      </c>
      <c r="AX748" s="3" t="s">
        <v>9860</v>
      </c>
      <c r="AY748" s="3" t="s">
        <v>9861</v>
      </c>
      <c r="AZ748" s="3" t="s">
        <v>74</v>
      </c>
      <c r="BB748" s="3" t="s">
        <v>9862</v>
      </c>
      <c r="BC748" s="3" t="s">
        <v>9863</v>
      </c>
      <c r="BD748" s="3" t="s">
        <v>9864</v>
      </c>
    </row>
    <row r="749" spans="1:56" ht="45.75" customHeight="1" x14ac:dyDescent="0.25">
      <c r="A749" s="7" t="s">
        <v>58</v>
      </c>
      <c r="B749" s="2" t="s">
        <v>9865</v>
      </c>
      <c r="C749" s="2" t="s">
        <v>9866</v>
      </c>
      <c r="D749" s="2" t="s">
        <v>9867</v>
      </c>
      <c r="F749" s="3" t="s">
        <v>58</v>
      </c>
      <c r="G749" s="3" t="s">
        <v>59</v>
      </c>
      <c r="H749" s="3" t="s">
        <v>58</v>
      </c>
      <c r="I749" s="3" t="s">
        <v>58</v>
      </c>
      <c r="J749" s="3" t="s">
        <v>60</v>
      </c>
      <c r="K749" s="2" t="s">
        <v>9868</v>
      </c>
      <c r="L749" s="2" t="s">
        <v>9869</v>
      </c>
      <c r="M749" s="3" t="s">
        <v>557</v>
      </c>
      <c r="O749" s="3" t="s">
        <v>65</v>
      </c>
      <c r="P749" s="3" t="s">
        <v>84</v>
      </c>
      <c r="R749" s="3" t="s">
        <v>67</v>
      </c>
      <c r="S749" s="4">
        <v>21</v>
      </c>
      <c r="T749" s="4">
        <v>21</v>
      </c>
      <c r="U749" s="5" t="s">
        <v>9870</v>
      </c>
      <c r="V749" s="5" t="s">
        <v>9870</v>
      </c>
      <c r="W749" s="5" t="s">
        <v>9871</v>
      </c>
      <c r="X749" s="5" t="s">
        <v>9871</v>
      </c>
      <c r="Y749" s="4">
        <v>953</v>
      </c>
      <c r="Z749" s="4">
        <v>875</v>
      </c>
      <c r="AA749" s="4">
        <v>881</v>
      </c>
      <c r="AB749" s="4">
        <v>7</v>
      </c>
      <c r="AC749" s="4">
        <v>7</v>
      </c>
      <c r="AD749" s="4">
        <v>32</v>
      </c>
      <c r="AE749" s="4">
        <v>32</v>
      </c>
      <c r="AF749" s="4">
        <v>11</v>
      </c>
      <c r="AG749" s="4">
        <v>11</v>
      </c>
      <c r="AH749" s="4">
        <v>8</v>
      </c>
      <c r="AI749" s="4">
        <v>8</v>
      </c>
      <c r="AJ749" s="4">
        <v>12</v>
      </c>
      <c r="AK749" s="4">
        <v>12</v>
      </c>
      <c r="AL749" s="4">
        <v>6</v>
      </c>
      <c r="AM749" s="4">
        <v>6</v>
      </c>
      <c r="AN749" s="4">
        <v>2</v>
      </c>
      <c r="AO749" s="4">
        <v>2</v>
      </c>
      <c r="AP749" s="3" t="s">
        <v>58</v>
      </c>
      <c r="AQ749" s="3" t="s">
        <v>87</v>
      </c>
      <c r="AR749" s="6" t="str">
        <f>HYPERLINK("http://catalog.hathitrust.org/Record/002643810","HathiTrust Record")</f>
        <v>HathiTrust Record</v>
      </c>
      <c r="AS749" s="6" t="str">
        <f>HYPERLINK("https://creighton-primo.hosted.exlibrisgroup.com/primo-explore/search?tab=default_tab&amp;search_scope=EVERYTHING&amp;vid=01CRU&amp;lang=en_US&amp;offset=0&amp;query=any,contains,991002147269702656","Catalog Record")</f>
        <v>Catalog Record</v>
      </c>
      <c r="AT749" s="6" t="str">
        <f>HYPERLINK("http://www.worldcat.org/oclc/27677839","WorldCat Record")</f>
        <v>WorldCat Record</v>
      </c>
      <c r="AU749" s="3" t="s">
        <v>9872</v>
      </c>
      <c r="AV749" s="3" t="s">
        <v>9873</v>
      </c>
      <c r="AW749" s="3" t="s">
        <v>9874</v>
      </c>
      <c r="AX749" s="3" t="s">
        <v>9874</v>
      </c>
      <c r="AY749" s="3" t="s">
        <v>9875</v>
      </c>
      <c r="AZ749" s="3" t="s">
        <v>74</v>
      </c>
      <c r="BB749" s="3" t="s">
        <v>9876</v>
      </c>
      <c r="BC749" s="3" t="s">
        <v>9877</v>
      </c>
      <c r="BD749" s="3" t="s">
        <v>9878</v>
      </c>
    </row>
    <row r="750" spans="1:56" ht="45.75" customHeight="1" x14ac:dyDescent="0.25">
      <c r="A750" s="7" t="s">
        <v>58</v>
      </c>
      <c r="B750" s="2" t="s">
        <v>9879</v>
      </c>
      <c r="C750" s="2" t="s">
        <v>9880</v>
      </c>
      <c r="D750" s="2" t="s">
        <v>9881</v>
      </c>
      <c r="F750" s="3" t="s">
        <v>58</v>
      </c>
      <c r="G750" s="3" t="s">
        <v>59</v>
      </c>
      <c r="H750" s="3" t="s">
        <v>58</v>
      </c>
      <c r="I750" s="3" t="s">
        <v>58</v>
      </c>
      <c r="J750" s="3" t="s">
        <v>60</v>
      </c>
      <c r="K750" s="2" t="s">
        <v>9882</v>
      </c>
      <c r="L750" s="2" t="s">
        <v>9883</v>
      </c>
      <c r="M750" s="3" t="s">
        <v>742</v>
      </c>
      <c r="O750" s="3" t="s">
        <v>65</v>
      </c>
      <c r="P750" s="3" t="s">
        <v>4857</v>
      </c>
      <c r="R750" s="3" t="s">
        <v>67</v>
      </c>
      <c r="S750" s="4">
        <v>31</v>
      </c>
      <c r="T750" s="4">
        <v>31</v>
      </c>
      <c r="U750" s="5" t="s">
        <v>9857</v>
      </c>
      <c r="V750" s="5" t="s">
        <v>9857</v>
      </c>
      <c r="W750" s="5" t="s">
        <v>9884</v>
      </c>
      <c r="X750" s="5" t="s">
        <v>9884</v>
      </c>
      <c r="Y750" s="4">
        <v>731</v>
      </c>
      <c r="Z750" s="4">
        <v>643</v>
      </c>
      <c r="AA750" s="4">
        <v>653</v>
      </c>
      <c r="AB750" s="4">
        <v>4</v>
      </c>
      <c r="AC750" s="4">
        <v>4</v>
      </c>
      <c r="AD750" s="4">
        <v>36</v>
      </c>
      <c r="AE750" s="4">
        <v>36</v>
      </c>
      <c r="AF750" s="4">
        <v>8</v>
      </c>
      <c r="AG750" s="4">
        <v>8</v>
      </c>
      <c r="AH750" s="4">
        <v>7</v>
      </c>
      <c r="AI750" s="4">
        <v>7</v>
      </c>
      <c r="AJ750" s="4">
        <v>16</v>
      </c>
      <c r="AK750" s="4">
        <v>16</v>
      </c>
      <c r="AL750" s="4">
        <v>3</v>
      </c>
      <c r="AM750" s="4">
        <v>3</v>
      </c>
      <c r="AN750" s="4">
        <v>9</v>
      </c>
      <c r="AO750" s="4">
        <v>9</v>
      </c>
      <c r="AP750" s="3" t="s">
        <v>58</v>
      </c>
      <c r="AQ750" s="3" t="s">
        <v>87</v>
      </c>
      <c r="AR750" s="6" t="str">
        <f>HYPERLINK("http://catalog.hathitrust.org/Record/001302553","HathiTrust Record")</f>
        <v>HathiTrust Record</v>
      </c>
      <c r="AS750" s="6" t="str">
        <f>HYPERLINK("https://creighton-primo.hosted.exlibrisgroup.com/primo-explore/search?tab=default_tab&amp;search_scope=EVERYTHING&amp;vid=01CRU&amp;lang=en_US&amp;offset=0&amp;query=any,contains,991001365469702656","Catalog Record")</f>
        <v>Catalog Record</v>
      </c>
      <c r="AT750" s="6" t="str">
        <f>HYPERLINK("http://www.worldcat.org/oclc/18558079","WorldCat Record")</f>
        <v>WorldCat Record</v>
      </c>
      <c r="AU750" s="3" t="s">
        <v>9885</v>
      </c>
      <c r="AV750" s="3" t="s">
        <v>9886</v>
      </c>
      <c r="AW750" s="3" t="s">
        <v>9887</v>
      </c>
      <c r="AX750" s="3" t="s">
        <v>9887</v>
      </c>
      <c r="AY750" s="3" t="s">
        <v>9888</v>
      </c>
      <c r="AZ750" s="3" t="s">
        <v>74</v>
      </c>
      <c r="BB750" s="3" t="s">
        <v>9889</v>
      </c>
      <c r="BC750" s="3" t="s">
        <v>9890</v>
      </c>
      <c r="BD750" s="3" t="s">
        <v>9891</v>
      </c>
    </row>
    <row r="751" spans="1:56" ht="45.75" customHeight="1" x14ac:dyDescent="0.25">
      <c r="A751" s="7" t="s">
        <v>58</v>
      </c>
      <c r="B751" s="2" t="s">
        <v>9892</v>
      </c>
      <c r="C751" s="2" t="s">
        <v>9893</v>
      </c>
      <c r="D751" s="2" t="s">
        <v>9894</v>
      </c>
      <c r="F751" s="3" t="s">
        <v>58</v>
      </c>
      <c r="G751" s="3" t="s">
        <v>59</v>
      </c>
      <c r="H751" s="3" t="s">
        <v>58</v>
      </c>
      <c r="I751" s="3" t="s">
        <v>58</v>
      </c>
      <c r="J751" s="3" t="s">
        <v>60</v>
      </c>
      <c r="K751" s="2" t="s">
        <v>9895</v>
      </c>
      <c r="L751" s="2" t="s">
        <v>9896</v>
      </c>
      <c r="M751" s="3" t="s">
        <v>1058</v>
      </c>
      <c r="O751" s="3" t="s">
        <v>65</v>
      </c>
      <c r="P751" s="3" t="s">
        <v>84</v>
      </c>
      <c r="R751" s="3" t="s">
        <v>67</v>
      </c>
      <c r="S751" s="4">
        <v>20</v>
      </c>
      <c r="T751" s="4">
        <v>20</v>
      </c>
      <c r="U751" s="5" t="s">
        <v>6662</v>
      </c>
      <c r="V751" s="5" t="s">
        <v>6662</v>
      </c>
      <c r="W751" s="5" t="s">
        <v>1797</v>
      </c>
      <c r="X751" s="5" t="s">
        <v>1797</v>
      </c>
      <c r="Y751" s="4">
        <v>1078</v>
      </c>
      <c r="Z751" s="4">
        <v>981</v>
      </c>
      <c r="AA751" s="4">
        <v>1153</v>
      </c>
      <c r="AB751" s="4">
        <v>5</v>
      </c>
      <c r="AC751" s="4">
        <v>7</v>
      </c>
      <c r="AD751" s="4">
        <v>34</v>
      </c>
      <c r="AE751" s="4">
        <v>41</v>
      </c>
      <c r="AF751" s="4">
        <v>13</v>
      </c>
      <c r="AG751" s="4">
        <v>16</v>
      </c>
      <c r="AH751" s="4">
        <v>6</v>
      </c>
      <c r="AI751" s="4">
        <v>6</v>
      </c>
      <c r="AJ751" s="4">
        <v>17</v>
      </c>
      <c r="AK751" s="4">
        <v>19</v>
      </c>
      <c r="AL751" s="4">
        <v>4</v>
      </c>
      <c r="AM751" s="4">
        <v>6</v>
      </c>
      <c r="AN751" s="4">
        <v>1</v>
      </c>
      <c r="AO751" s="4">
        <v>2</v>
      </c>
      <c r="AP751" s="3" t="s">
        <v>58</v>
      </c>
      <c r="AQ751" s="3" t="s">
        <v>58</v>
      </c>
      <c r="AS751" s="6" t="str">
        <f>HYPERLINK("https://creighton-primo.hosted.exlibrisgroup.com/primo-explore/search?tab=default_tab&amp;search_scope=EVERYTHING&amp;vid=01CRU&amp;lang=en_US&amp;offset=0&amp;query=any,contains,991001317989702656","Catalog Record")</f>
        <v>Catalog Record</v>
      </c>
      <c r="AT751" s="6" t="str">
        <f>HYPERLINK("http://www.worldcat.org/oclc/18191783","WorldCat Record")</f>
        <v>WorldCat Record</v>
      </c>
      <c r="AU751" s="3" t="s">
        <v>9897</v>
      </c>
      <c r="AV751" s="3" t="s">
        <v>9898</v>
      </c>
      <c r="AW751" s="3" t="s">
        <v>9899</v>
      </c>
      <c r="AX751" s="3" t="s">
        <v>9899</v>
      </c>
      <c r="AY751" s="3" t="s">
        <v>9900</v>
      </c>
      <c r="AZ751" s="3" t="s">
        <v>74</v>
      </c>
      <c r="BB751" s="3" t="s">
        <v>9901</v>
      </c>
      <c r="BC751" s="3" t="s">
        <v>9902</v>
      </c>
      <c r="BD751" s="3" t="s">
        <v>9903</v>
      </c>
    </row>
    <row r="752" spans="1:56" ht="45.75" customHeight="1" x14ac:dyDescent="0.25">
      <c r="A752" s="7" t="s">
        <v>58</v>
      </c>
      <c r="B752" s="2" t="s">
        <v>9904</v>
      </c>
      <c r="C752" s="2" t="s">
        <v>9905</v>
      </c>
      <c r="D752" s="2" t="s">
        <v>9906</v>
      </c>
      <c r="F752" s="3" t="s">
        <v>58</v>
      </c>
      <c r="G752" s="3" t="s">
        <v>59</v>
      </c>
      <c r="H752" s="3" t="s">
        <v>58</v>
      </c>
      <c r="I752" s="3" t="s">
        <v>58</v>
      </c>
      <c r="J752" s="3" t="s">
        <v>60</v>
      </c>
      <c r="K752" s="2" t="s">
        <v>9907</v>
      </c>
      <c r="L752" s="2" t="s">
        <v>990</v>
      </c>
      <c r="M752" s="3" t="s">
        <v>800</v>
      </c>
      <c r="N752" s="2" t="s">
        <v>64</v>
      </c>
      <c r="O752" s="3" t="s">
        <v>65</v>
      </c>
      <c r="P752" s="3" t="s">
        <v>132</v>
      </c>
      <c r="Q752" s="2" t="s">
        <v>9908</v>
      </c>
      <c r="R752" s="3" t="s">
        <v>67</v>
      </c>
      <c r="S752" s="4">
        <v>40</v>
      </c>
      <c r="T752" s="4">
        <v>40</v>
      </c>
      <c r="U752" s="5" t="s">
        <v>7262</v>
      </c>
      <c r="V752" s="5" t="s">
        <v>7262</v>
      </c>
      <c r="W752" s="5" t="s">
        <v>9909</v>
      </c>
      <c r="X752" s="5" t="s">
        <v>9909</v>
      </c>
      <c r="Y752" s="4">
        <v>641</v>
      </c>
      <c r="Z752" s="4">
        <v>508</v>
      </c>
      <c r="AA752" s="4">
        <v>514</v>
      </c>
      <c r="AB752" s="4">
        <v>4</v>
      </c>
      <c r="AC752" s="4">
        <v>4</v>
      </c>
      <c r="AD752" s="4">
        <v>26</v>
      </c>
      <c r="AE752" s="4">
        <v>26</v>
      </c>
      <c r="AF752" s="4">
        <v>11</v>
      </c>
      <c r="AG752" s="4">
        <v>11</v>
      </c>
      <c r="AH752" s="4">
        <v>7</v>
      </c>
      <c r="AI752" s="4">
        <v>7</v>
      </c>
      <c r="AJ752" s="4">
        <v>12</v>
      </c>
      <c r="AK752" s="4">
        <v>12</v>
      </c>
      <c r="AL752" s="4">
        <v>3</v>
      </c>
      <c r="AM752" s="4">
        <v>3</v>
      </c>
      <c r="AN752" s="4">
        <v>0</v>
      </c>
      <c r="AO752" s="4">
        <v>0</v>
      </c>
      <c r="AP752" s="3" t="s">
        <v>58</v>
      </c>
      <c r="AQ752" s="3" t="s">
        <v>87</v>
      </c>
      <c r="AR752" s="6" t="str">
        <f>HYPERLINK("http://catalog.hathitrust.org/Record/002450426","HathiTrust Record")</f>
        <v>HathiTrust Record</v>
      </c>
      <c r="AS752" s="6" t="str">
        <f>HYPERLINK("https://creighton-primo.hosted.exlibrisgroup.com/primo-explore/search?tab=default_tab&amp;search_scope=EVERYTHING&amp;vid=01CRU&amp;lang=en_US&amp;offset=0&amp;query=any,contains,991001830159702656","Catalog Record")</f>
        <v>Catalog Record</v>
      </c>
      <c r="AT752" s="6" t="str">
        <f>HYPERLINK("http://www.worldcat.org/oclc/22984532","WorldCat Record")</f>
        <v>WorldCat Record</v>
      </c>
      <c r="AU752" s="3" t="s">
        <v>9910</v>
      </c>
      <c r="AV752" s="3" t="s">
        <v>9911</v>
      </c>
      <c r="AW752" s="3" t="s">
        <v>9912</v>
      </c>
      <c r="AX752" s="3" t="s">
        <v>9912</v>
      </c>
      <c r="AY752" s="3" t="s">
        <v>9913</v>
      </c>
      <c r="AZ752" s="3" t="s">
        <v>74</v>
      </c>
      <c r="BB752" s="3" t="s">
        <v>9914</v>
      </c>
      <c r="BC752" s="3" t="s">
        <v>9915</v>
      </c>
      <c r="BD752" s="3" t="s">
        <v>9916</v>
      </c>
    </row>
    <row r="753" spans="1:56" ht="45.75" customHeight="1" x14ac:dyDescent="0.25">
      <c r="A753" s="7" t="s">
        <v>58</v>
      </c>
      <c r="B753" s="2" t="s">
        <v>9917</v>
      </c>
      <c r="C753" s="2" t="s">
        <v>9918</v>
      </c>
      <c r="D753" s="2" t="s">
        <v>9919</v>
      </c>
      <c r="F753" s="3" t="s">
        <v>58</v>
      </c>
      <c r="G753" s="3" t="s">
        <v>59</v>
      </c>
      <c r="H753" s="3" t="s">
        <v>58</v>
      </c>
      <c r="I753" s="3" t="s">
        <v>58</v>
      </c>
      <c r="J753" s="3" t="s">
        <v>60</v>
      </c>
      <c r="L753" s="2" t="s">
        <v>9920</v>
      </c>
      <c r="M753" s="3" t="s">
        <v>1088</v>
      </c>
      <c r="O753" s="3" t="s">
        <v>65</v>
      </c>
      <c r="P753" s="3" t="s">
        <v>84</v>
      </c>
      <c r="Q753" s="2" t="s">
        <v>9921</v>
      </c>
      <c r="R753" s="3" t="s">
        <v>67</v>
      </c>
      <c r="S753" s="4">
        <v>30</v>
      </c>
      <c r="T753" s="4">
        <v>30</v>
      </c>
      <c r="U753" s="5" t="s">
        <v>1486</v>
      </c>
      <c r="V753" s="5" t="s">
        <v>1486</v>
      </c>
      <c r="W753" s="5" t="s">
        <v>5371</v>
      </c>
      <c r="X753" s="5" t="s">
        <v>5371</v>
      </c>
      <c r="Y753" s="4">
        <v>879</v>
      </c>
      <c r="Z753" s="4">
        <v>779</v>
      </c>
      <c r="AA753" s="4">
        <v>787</v>
      </c>
      <c r="AB753" s="4">
        <v>7</v>
      </c>
      <c r="AC753" s="4">
        <v>7</v>
      </c>
      <c r="AD753" s="4">
        <v>30</v>
      </c>
      <c r="AE753" s="4">
        <v>30</v>
      </c>
      <c r="AF753" s="4">
        <v>13</v>
      </c>
      <c r="AG753" s="4">
        <v>13</v>
      </c>
      <c r="AH753" s="4">
        <v>6</v>
      </c>
      <c r="AI753" s="4">
        <v>6</v>
      </c>
      <c r="AJ753" s="4">
        <v>11</v>
      </c>
      <c r="AK753" s="4">
        <v>11</v>
      </c>
      <c r="AL753" s="4">
        <v>6</v>
      </c>
      <c r="AM753" s="4">
        <v>6</v>
      </c>
      <c r="AN753" s="4">
        <v>0</v>
      </c>
      <c r="AO753" s="4">
        <v>0</v>
      </c>
      <c r="AP753" s="3" t="s">
        <v>58</v>
      </c>
      <c r="AQ753" s="3" t="s">
        <v>87</v>
      </c>
      <c r="AR753" s="6" t="str">
        <f>HYPERLINK("http://catalog.hathitrust.org/Record/000367727","HathiTrust Record")</f>
        <v>HathiTrust Record</v>
      </c>
      <c r="AS753" s="6" t="str">
        <f>HYPERLINK("https://creighton-primo.hosted.exlibrisgroup.com/primo-explore/search?tab=default_tab&amp;search_scope=EVERYTHING&amp;vid=01CRU&amp;lang=en_US&amp;offset=0&amp;query=any,contains,991000505799702656","Catalog Record")</f>
        <v>Catalog Record</v>
      </c>
      <c r="AT753" s="6" t="str">
        <f>HYPERLINK("http://www.worldcat.org/oclc/11210933","WorldCat Record")</f>
        <v>WorldCat Record</v>
      </c>
      <c r="AU753" s="3" t="s">
        <v>9922</v>
      </c>
      <c r="AV753" s="3" t="s">
        <v>9923</v>
      </c>
      <c r="AW753" s="3" t="s">
        <v>9924</v>
      </c>
      <c r="AX753" s="3" t="s">
        <v>9924</v>
      </c>
      <c r="AY753" s="3" t="s">
        <v>9925</v>
      </c>
      <c r="AZ753" s="3" t="s">
        <v>74</v>
      </c>
      <c r="BB753" s="3" t="s">
        <v>9926</v>
      </c>
      <c r="BC753" s="3" t="s">
        <v>9927</v>
      </c>
      <c r="BD753" s="3" t="s">
        <v>9928</v>
      </c>
    </row>
    <row r="754" spans="1:56" ht="45.75" customHeight="1" x14ac:dyDescent="0.25">
      <c r="A754" s="7" t="s">
        <v>58</v>
      </c>
      <c r="B754" s="2" t="s">
        <v>9929</v>
      </c>
      <c r="C754" s="2" t="s">
        <v>9930</v>
      </c>
      <c r="D754" s="2" t="s">
        <v>9931</v>
      </c>
      <c r="F754" s="3" t="s">
        <v>58</v>
      </c>
      <c r="G754" s="3" t="s">
        <v>59</v>
      </c>
      <c r="H754" s="3" t="s">
        <v>58</v>
      </c>
      <c r="I754" s="3" t="s">
        <v>58</v>
      </c>
      <c r="J754" s="3" t="s">
        <v>60</v>
      </c>
      <c r="K754" s="2" t="s">
        <v>9932</v>
      </c>
      <c r="L754" s="2" t="s">
        <v>9933</v>
      </c>
      <c r="M754" s="3" t="s">
        <v>528</v>
      </c>
      <c r="O754" s="3" t="s">
        <v>65</v>
      </c>
      <c r="P754" s="3" t="s">
        <v>84</v>
      </c>
      <c r="R754" s="3" t="s">
        <v>67</v>
      </c>
      <c r="S754" s="4">
        <v>52</v>
      </c>
      <c r="T754" s="4">
        <v>52</v>
      </c>
      <c r="U754" s="5" t="s">
        <v>9934</v>
      </c>
      <c r="V754" s="5" t="s">
        <v>9934</v>
      </c>
      <c r="W754" s="5" t="s">
        <v>9935</v>
      </c>
      <c r="X754" s="5" t="s">
        <v>9935</v>
      </c>
      <c r="Y754" s="4">
        <v>828</v>
      </c>
      <c r="Z754" s="4">
        <v>732</v>
      </c>
      <c r="AA754" s="4">
        <v>1888</v>
      </c>
      <c r="AB754" s="4">
        <v>6</v>
      </c>
      <c r="AC754" s="4">
        <v>26</v>
      </c>
      <c r="AD754" s="4">
        <v>37</v>
      </c>
      <c r="AE754" s="4">
        <v>67</v>
      </c>
      <c r="AF754" s="4">
        <v>14</v>
      </c>
      <c r="AG754" s="4">
        <v>25</v>
      </c>
      <c r="AH754" s="4">
        <v>7</v>
      </c>
      <c r="AI754" s="4">
        <v>11</v>
      </c>
      <c r="AJ754" s="4">
        <v>15</v>
      </c>
      <c r="AK754" s="4">
        <v>24</v>
      </c>
      <c r="AL754" s="4">
        <v>5</v>
      </c>
      <c r="AM754" s="4">
        <v>16</v>
      </c>
      <c r="AN754" s="4">
        <v>4</v>
      </c>
      <c r="AO754" s="4">
        <v>4</v>
      </c>
      <c r="AP754" s="3" t="s">
        <v>58</v>
      </c>
      <c r="AQ754" s="3" t="s">
        <v>58</v>
      </c>
      <c r="AS754" s="6" t="str">
        <f>HYPERLINK("https://creighton-primo.hosted.exlibrisgroup.com/primo-explore/search?tab=default_tab&amp;search_scope=EVERYTHING&amp;vid=01CRU&amp;lang=en_US&amp;offset=0&amp;query=any,contains,991001679699702656","Catalog Record")</f>
        <v>Catalog Record</v>
      </c>
      <c r="AT754" s="6" t="str">
        <f>HYPERLINK("http://www.worldcat.org/oclc/21336501","WorldCat Record")</f>
        <v>WorldCat Record</v>
      </c>
      <c r="AU754" s="3" t="s">
        <v>9936</v>
      </c>
      <c r="AV754" s="3" t="s">
        <v>9937</v>
      </c>
      <c r="AW754" s="3" t="s">
        <v>9938</v>
      </c>
      <c r="AX754" s="3" t="s">
        <v>9938</v>
      </c>
      <c r="AY754" s="3" t="s">
        <v>9939</v>
      </c>
      <c r="AZ754" s="3" t="s">
        <v>74</v>
      </c>
      <c r="BB754" s="3" t="s">
        <v>9940</v>
      </c>
      <c r="BC754" s="3" t="s">
        <v>9941</v>
      </c>
      <c r="BD754" s="3" t="s">
        <v>9942</v>
      </c>
    </row>
    <row r="755" spans="1:56" ht="45.75" customHeight="1" x14ac:dyDescent="0.25">
      <c r="A755" s="7" t="s">
        <v>58</v>
      </c>
      <c r="B755" s="2" t="s">
        <v>9943</v>
      </c>
      <c r="C755" s="2" t="s">
        <v>9944</v>
      </c>
      <c r="D755" s="2" t="s">
        <v>9945</v>
      </c>
      <c r="F755" s="3" t="s">
        <v>58</v>
      </c>
      <c r="G755" s="3" t="s">
        <v>59</v>
      </c>
      <c r="H755" s="3" t="s">
        <v>58</v>
      </c>
      <c r="I755" s="3" t="s">
        <v>58</v>
      </c>
      <c r="J755" s="3" t="s">
        <v>60</v>
      </c>
      <c r="K755" s="2" t="s">
        <v>9946</v>
      </c>
      <c r="L755" s="2" t="s">
        <v>9947</v>
      </c>
      <c r="M755" s="3" t="s">
        <v>629</v>
      </c>
      <c r="O755" s="3" t="s">
        <v>65</v>
      </c>
      <c r="P755" s="3" t="s">
        <v>175</v>
      </c>
      <c r="Q755" s="2" t="s">
        <v>9948</v>
      </c>
      <c r="R755" s="3" t="s">
        <v>67</v>
      </c>
      <c r="S755" s="4">
        <v>8</v>
      </c>
      <c r="T755" s="4">
        <v>8</v>
      </c>
      <c r="U755" s="5" t="s">
        <v>2971</v>
      </c>
      <c r="V755" s="5" t="s">
        <v>2971</v>
      </c>
      <c r="W755" s="5" t="s">
        <v>6783</v>
      </c>
      <c r="X755" s="5" t="s">
        <v>6783</v>
      </c>
      <c r="Y755" s="4">
        <v>427</v>
      </c>
      <c r="Z755" s="4">
        <v>293</v>
      </c>
      <c r="AA755" s="4">
        <v>320</v>
      </c>
      <c r="AB755" s="4">
        <v>2</v>
      </c>
      <c r="AC755" s="4">
        <v>2</v>
      </c>
      <c r="AD755" s="4">
        <v>13</v>
      </c>
      <c r="AE755" s="4">
        <v>13</v>
      </c>
      <c r="AF755" s="4">
        <v>4</v>
      </c>
      <c r="AG755" s="4">
        <v>4</v>
      </c>
      <c r="AH755" s="4">
        <v>4</v>
      </c>
      <c r="AI755" s="4">
        <v>4</v>
      </c>
      <c r="AJ755" s="4">
        <v>7</v>
      </c>
      <c r="AK755" s="4">
        <v>7</v>
      </c>
      <c r="AL755" s="4">
        <v>1</v>
      </c>
      <c r="AM755" s="4">
        <v>1</v>
      </c>
      <c r="AN755" s="4">
        <v>2</v>
      </c>
      <c r="AO755" s="4">
        <v>2</v>
      </c>
      <c r="AP755" s="3" t="s">
        <v>58</v>
      </c>
      <c r="AQ755" s="3" t="s">
        <v>58</v>
      </c>
      <c r="AS755" s="6" t="str">
        <f>HYPERLINK("https://creighton-primo.hosted.exlibrisgroup.com/primo-explore/search?tab=default_tab&amp;search_scope=EVERYTHING&amp;vid=01CRU&amp;lang=en_US&amp;offset=0&amp;query=any,contains,991002283229702656","Catalog Record")</f>
        <v>Catalog Record</v>
      </c>
      <c r="AT755" s="6" t="str">
        <f>HYPERLINK("http://www.worldcat.org/oclc/29597718","WorldCat Record")</f>
        <v>WorldCat Record</v>
      </c>
      <c r="AU755" s="3" t="s">
        <v>9949</v>
      </c>
      <c r="AV755" s="3" t="s">
        <v>9950</v>
      </c>
      <c r="AW755" s="3" t="s">
        <v>9951</v>
      </c>
      <c r="AX755" s="3" t="s">
        <v>9951</v>
      </c>
      <c r="AY755" s="3" t="s">
        <v>9952</v>
      </c>
      <c r="AZ755" s="3" t="s">
        <v>74</v>
      </c>
      <c r="BB755" s="3" t="s">
        <v>9953</v>
      </c>
      <c r="BC755" s="3" t="s">
        <v>9954</v>
      </c>
      <c r="BD755" s="3" t="s">
        <v>9955</v>
      </c>
    </row>
    <row r="756" spans="1:56" ht="45.75" customHeight="1" x14ac:dyDescent="0.25">
      <c r="A756" s="7" t="s">
        <v>58</v>
      </c>
      <c r="B756" s="2" t="s">
        <v>9956</v>
      </c>
      <c r="C756" s="2" t="s">
        <v>9957</v>
      </c>
      <c r="D756" s="2" t="s">
        <v>9958</v>
      </c>
      <c r="F756" s="3" t="s">
        <v>58</v>
      </c>
      <c r="G756" s="3" t="s">
        <v>59</v>
      </c>
      <c r="H756" s="3" t="s">
        <v>58</v>
      </c>
      <c r="I756" s="3" t="s">
        <v>58</v>
      </c>
      <c r="J756" s="3" t="s">
        <v>60</v>
      </c>
      <c r="K756" s="2" t="s">
        <v>9959</v>
      </c>
      <c r="L756" s="2" t="s">
        <v>9960</v>
      </c>
      <c r="M756" s="3" t="s">
        <v>908</v>
      </c>
      <c r="O756" s="3" t="s">
        <v>65</v>
      </c>
      <c r="P756" s="3" t="s">
        <v>148</v>
      </c>
      <c r="R756" s="3" t="s">
        <v>67</v>
      </c>
      <c r="S756" s="4">
        <v>18</v>
      </c>
      <c r="T756" s="4">
        <v>18</v>
      </c>
      <c r="U756" s="5" t="s">
        <v>9961</v>
      </c>
      <c r="V756" s="5" t="s">
        <v>9961</v>
      </c>
      <c r="W756" s="5" t="s">
        <v>2700</v>
      </c>
      <c r="X756" s="5" t="s">
        <v>2700</v>
      </c>
      <c r="Y756" s="4">
        <v>622</v>
      </c>
      <c r="Z756" s="4">
        <v>522</v>
      </c>
      <c r="AA756" s="4">
        <v>530</v>
      </c>
      <c r="AB756" s="4">
        <v>5</v>
      </c>
      <c r="AC756" s="4">
        <v>5</v>
      </c>
      <c r="AD756" s="4">
        <v>30</v>
      </c>
      <c r="AE756" s="4">
        <v>30</v>
      </c>
      <c r="AF756" s="4">
        <v>11</v>
      </c>
      <c r="AG756" s="4">
        <v>11</v>
      </c>
      <c r="AH756" s="4">
        <v>5</v>
      </c>
      <c r="AI756" s="4">
        <v>5</v>
      </c>
      <c r="AJ756" s="4">
        <v>8</v>
      </c>
      <c r="AK756" s="4">
        <v>8</v>
      </c>
      <c r="AL756" s="4">
        <v>4</v>
      </c>
      <c r="AM756" s="4">
        <v>4</v>
      </c>
      <c r="AN756" s="4">
        <v>7</v>
      </c>
      <c r="AO756" s="4">
        <v>7</v>
      </c>
      <c r="AP756" s="3" t="s">
        <v>58</v>
      </c>
      <c r="AQ756" s="3" t="s">
        <v>87</v>
      </c>
      <c r="AR756" s="6" t="str">
        <f>HYPERLINK("http://catalog.hathitrust.org/Record/000031717","HathiTrust Record")</f>
        <v>HathiTrust Record</v>
      </c>
      <c r="AS756" s="6" t="str">
        <f>HYPERLINK("https://creighton-primo.hosted.exlibrisgroup.com/primo-explore/search?tab=default_tab&amp;search_scope=EVERYTHING&amp;vid=01CRU&amp;lang=en_US&amp;offset=0&amp;query=any,contains,991004793359702656","Catalog Record")</f>
        <v>Catalog Record</v>
      </c>
      <c r="AT756" s="6" t="str">
        <f>HYPERLINK("http://www.worldcat.org/oclc/5171992","WorldCat Record")</f>
        <v>WorldCat Record</v>
      </c>
      <c r="AU756" s="3" t="s">
        <v>9962</v>
      </c>
      <c r="AV756" s="3" t="s">
        <v>9963</v>
      </c>
      <c r="AW756" s="3" t="s">
        <v>9964</v>
      </c>
      <c r="AX756" s="3" t="s">
        <v>9964</v>
      </c>
      <c r="AY756" s="3" t="s">
        <v>9965</v>
      </c>
      <c r="AZ756" s="3" t="s">
        <v>74</v>
      </c>
      <c r="BB756" s="3" t="s">
        <v>9966</v>
      </c>
      <c r="BC756" s="3" t="s">
        <v>9967</v>
      </c>
      <c r="BD756" s="3" t="s">
        <v>9968</v>
      </c>
    </row>
    <row r="757" spans="1:56" ht="45.75" customHeight="1" x14ac:dyDescent="0.25">
      <c r="A757" s="7" t="s">
        <v>58</v>
      </c>
      <c r="B757" s="2" t="s">
        <v>9969</v>
      </c>
      <c r="C757" s="2" t="s">
        <v>9970</v>
      </c>
      <c r="D757" s="2" t="s">
        <v>9971</v>
      </c>
      <c r="F757" s="3" t="s">
        <v>58</v>
      </c>
      <c r="G757" s="3" t="s">
        <v>59</v>
      </c>
      <c r="H757" s="3" t="s">
        <v>58</v>
      </c>
      <c r="I757" s="3" t="s">
        <v>58</v>
      </c>
      <c r="J757" s="3" t="s">
        <v>60</v>
      </c>
      <c r="L757" s="2" t="s">
        <v>9972</v>
      </c>
      <c r="M757" s="3" t="s">
        <v>189</v>
      </c>
      <c r="O757" s="3" t="s">
        <v>65</v>
      </c>
      <c r="P757" s="3" t="s">
        <v>148</v>
      </c>
      <c r="Q757" s="2" t="s">
        <v>9973</v>
      </c>
      <c r="R757" s="3" t="s">
        <v>67</v>
      </c>
      <c r="S757" s="4">
        <v>1</v>
      </c>
      <c r="T757" s="4">
        <v>1</v>
      </c>
      <c r="U757" s="5" t="s">
        <v>1610</v>
      </c>
      <c r="V757" s="5" t="s">
        <v>1610</v>
      </c>
      <c r="W757" s="5" t="s">
        <v>1610</v>
      </c>
      <c r="X757" s="5" t="s">
        <v>1610</v>
      </c>
      <c r="Y757" s="4">
        <v>222</v>
      </c>
      <c r="Z757" s="4">
        <v>196</v>
      </c>
      <c r="AA757" s="4">
        <v>253</v>
      </c>
      <c r="AB757" s="4">
        <v>2</v>
      </c>
      <c r="AC757" s="4">
        <v>3</v>
      </c>
      <c r="AD757" s="4">
        <v>9</v>
      </c>
      <c r="AE757" s="4">
        <v>12</v>
      </c>
      <c r="AF757" s="4">
        <v>3</v>
      </c>
      <c r="AG757" s="4">
        <v>3</v>
      </c>
      <c r="AH757" s="4">
        <v>2</v>
      </c>
      <c r="AI757" s="4">
        <v>3</v>
      </c>
      <c r="AJ757" s="4">
        <v>5</v>
      </c>
      <c r="AK757" s="4">
        <v>6</v>
      </c>
      <c r="AL757" s="4">
        <v>1</v>
      </c>
      <c r="AM757" s="4">
        <v>2</v>
      </c>
      <c r="AN757" s="4">
        <v>1</v>
      </c>
      <c r="AO757" s="4">
        <v>1</v>
      </c>
      <c r="AP757" s="3" t="s">
        <v>58</v>
      </c>
      <c r="AQ757" s="3" t="s">
        <v>58</v>
      </c>
      <c r="AS757" s="6" t="str">
        <f>HYPERLINK("https://creighton-primo.hosted.exlibrisgroup.com/primo-explore/search?tab=default_tab&amp;search_scope=EVERYTHING&amp;vid=01CRU&amp;lang=en_US&amp;offset=0&amp;query=any,contains,991005334699702656","Catalog Record")</f>
        <v>Catalog Record</v>
      </c>
      <c r="AT757" s="6" t="str">
        <f>HYPERLINK("http://www.worldcat.org/oclc/236347753","WorldCat Record")</f>
        <v>WorldCat Record</v>
      </c>
      <c r="AU757" s="3" t="s">
        <v>9974</v>
      </c>
      <c r="AV757" s="3" t="s">
        <v>9975</v>
      </c>
      <c r="AW757" s="3" t="s">
        <v>9976</v>
      </c>
      <c r="AX757" s="3" t="s">
        <v>9976</v>
      </c>
      <c r="AY757" s="3" t="s">
        <v>9977</v>
      </c>
      <c r="AZ757" s="3" t="s">
        <v>74</v>
      </c>
      <c r="BB757" s="3" t="s">
        <v>9978</v>
      </c>
      <c r="BC757" s="3" t="s">
        <v>9979</v>
      </c>
      <c r="BD757" s="3" t="s">
        <v>9980</v>
      </c>
    </row>
    <row r="758" spans="1:56" ht="45.75" customHeight="1" x14ac:dyDescent="0.25">
      <c r="A758" s="7" t="s">
        <v>58</v>
      </c>
      <c r="B758" s="2" t="s">
        <v>9981</v>
      </c>
      <c r="C758" s="2" t="s">
        <v>9982</v>
      </c>
      <c r="D758" s="2" t="s">
        <v>9983</v>
      </c>
      <c r="F758" s="3" t="s">
        <v>58</v>
      </c>
      <c r="G758" s="3" t="s">
        <v>59</v>
      </c>
      <c r="H758" s="3" t="s">
        <v>58</v>
      </c>
      <c r="I758" s="3" t="s">
        <v>58</v>
      </c>
      <c r="J758" s="3" t="s">
        <v>60</v>
      </c>
      <c r="K758" s="2" t="s">
        <v>9984</v>
      </c>
      <c r="L758" s="2" t="s">
        <v>9985</v>
      </c>
      <c r="M758" s="3" t="s">
        <v>629</v>
      </c>
      <c r="O758" s="3" t="s">
        <v>65</v>
      </c>
      <c r="P758" s="3" t="s">
        <v>9204</v>
      </c>
      <c r="R758" s="3" t="s">
        <v>67</v>
      </c>
      <c r="S758" s="4">
        <v>4</v>
      </c>
      <c r="T758" s="4">
        <v>4</v>
      </c>
      <c r="U758" s="5" t="s">
        <v>9986</v>
      </c>
      <c r="V758" s="5" t="s">
        <v>9986</v>
      </c>
      <c r="W758" s="5" t="s">
        <v>9987</v>
      </c>
      <c r="X758" s="5" t="s">
        <v>9987</v>
      </c>
      <c r="Y758" s="4">
        <v>43</v>
      </c>
      <c r="Z758" s="4">
        <v>11</v>
      </c>
      <c r="AA758" s="4">
        <v>16</v>
      </c>
      <c r="AB758" s="4">
        <v>1</v>
      </c>
      <c r="AC758" s="4">
        <v>1</v>
      </c>
      <c r="AD758" s="4">
        <v>0</v>
      </c>
      <c r="AE758" s="4">
        <v>0</v>
      </c>
      <c r="AF758" s="4">
        <v>0</v>
      </c>
      <c r="AG758" s="4">
        <v>0</v>
      </c>
      <c r="AH758" s="4">
        <v>0</v>
      </c>
      <c r="AI758" s="4">
        <v>0</v>
      </c>
      <c r="AJ758" s="4">
        <v>0</v>
      </c>
      <c r="AK758" s="4">
        <v>0</v>
      </c>
      <c r="AL758" s="4">
        <v>0</v>
      </c>
      <c r="AM758" s="4">
        <v>0</v>
      </c>
      <c r="AN758" s="4">
        <v>0</v>
      </c>
      <c r="AO758" s="4">
        <v>0</v>
      </c>
      <c r="AP758" s="3" t="s">
        <v>58</v>
      </c>
      <c r="AQ758" s="3" t="s">
        <v>58</v>
      </c>
      <c r="AS758" s="6" t="str">
        <f>HYPERLINK("https://creighton-primo.hosted.exlibrisgroup.com/primo-explore/search?tab=default_tab&amp;search_scope=EVERYTHING&amp;vid=01CRU&amp;lang=en_US&amp;offset=0&amp;query=any,contains,991003607929702656","Catalog Record")</f>
        <v>Catalog Record</v>
      </c>
      <c r="AT758" s="6" t="str">
        <f>HYPERLINK("http://www.worldcat.org/oclc/29794163","WorldCat Record")</f>
        <v>WorldCat Record</v>
      </c>
      <c r="AU758" s="3" t="s">
        <v>9988</v>
      </c>
      <c r="AV758" s="3" t="s">
        <v>9989</v>
      </c>
      <c r="AW758" s="3" t="s">
        <v>9990</v>
      </c>
      <c r="AX758" s="3" t="s">
        <v>9990</v>
      </c>
      <c r="AY758" s="3" t="s">
        <v>9991</v>
      </c>
      <c r="AZ758" s="3" t="s">
        <v>74</v>
      </c>
      <c r="BB758" s="3" t="s">
        <v>9992</v>
      </c>
      <c r="BC758" s="3" t="s">
        <v>9993</v>
      </c>
      <c r="BD758" s="3" t="s">
        <v>9994</v>
      </c>
    </row>
    <row r="759" spans="1:56" ht="45.75" customHeight="1" x14ac:dyDescent="0.25">
      <c r="A759" s="7" t="s">
        <v>58</v>
      </c>
      <c r="B759" s="2" t="s">
        <v>9995</v>
      </c>
      <c r="C759" s="2" t="s">
        <v>9996</v>
      </c>
      <c r="D759" s="2" t="s">
        <v>9997</v>
      </c>
      <c r="F759" s="3" t="s">
        <v>58</v>
      </c>
      <c r="G759" s="3" t="s">
        <v>59</v>
      </c>
      <c r="H759" s="3" t="s">
        <v>58</v>
      </c>
      <c r="I759" s="3" t="s">
        <v>58</v>
      </c>
      <c r="J759" s="3" t="s">
        <v>60</v>
      </c>
      <c r="K759" s="2" t="s">
        <v>9998</v>
      </c>
      <c r="L759" s="2" t="s">
        <v>9999</v>
      </c>
      <c r="M759" s="3" t="s">
        <v>189</v>
      </c>
      <c r="O759" s="3" t="s">
        <v>65</v>
      </c>
      <c r="P759" s="3" t="s">
        <v>204</v>
      </c>
      <c r="Q759" s="2" t="s">
        <v>10000</v>
      </c>
      <c r="R759" s="3" t="s">
        <v>67</v>
      </c>
      <c r="S759" s="4">
        <v>1</v>
      </c>
      <c r="T759" s="4">
        <v>1</v>
      </c>
      <c r="U759" s="5" t="s">
        <v>364</v>
      </c>
      <c r="V759" s="5" t="s">
        <v>364</v>
      </c>
      <c r="W759" s="5" t="s">
        <v>364</v>
      </c>
      <c r="X759" s="5" t="s">
        <v>364</v>
      </c>
      <c r="Y759" s="4">
        <v>472</v>
      </c>
      <c r="Z759" s="4">
        <v>390</v>
      </c>
      <c r="AA759" s="4">
        <v>809</v>
      </c>
      <c r="AB759" s="4">
        <v>3</v>
      </c>
      <c r="AC759" s="4">
        <v>6</v>
      </c>
      <c r="AD759" s="4">
        <v>20</v>
      </c>
      <c r="AE759" s="4">
        <v>38</v>
      </c>
      <c r="AF759" s="4">
        <v>9</v>
      </c>
      <c r="AG759" s="4">
        <v>14</v>
      </c>
      <c r="AH759" s="4">
        <v>4</v>
      </c>
      <c r="AI759" s="4">
        <v>8</v>
      </c>
      <c r="AJ759" s="4">
        <v>7</v>
      </c>
      <c r="AK759" s="4">
        <v>15</v>
      </c>
      <c r="AL759" s="4">
        <v>2</v>
      </c>
      <c r="AM759" s="4">
        <v>5</v>
      </c>
      <c r="AN759" s="4">
        <v>1</v>
      </c>
      <c r="AO759" s="4">
        <v>2</v>
      </c>
      <c r="AP759" s="3" t="s">
        <v>58</v>
      </c>
      <c r="AQ759" s="3" t="s">
        <v>58</v>
      </c>
      <c r="AS759" s="6" t="str">
        <f>HYPERLINK("https://creighton-primo.hosted.exlibrisgroup.com/primo-explore/search?tab=default_tab&amp;search_scope=EVERYTHING&amp;vid=01CRU&amp;lang=en_US&amp;offset=0&amp;query=any,contains,991005336119702656","Catalog Record")</f>
        <v>Catalog Record</v>
      </c>
      <c r="AT759" s="6" t="str">
        <f>HYPERLINK("http://www.worldcat.org/oclc/229036116","WorldCat Record")</f>
        <v>WorldCat Record</v>
      </c>
      <c r="AU759" s="3" t="s">
        <v>10001</v>
      </c>
      <c r="AV759" s="3" t="s">
        <v>10002</v>
      </c>
      <c r="AW759" s="3" t="s">
        <v>10003</v>
      </c>
      <c r="AX759" s="3" t="s">
        <v>10003</v>
      </c>
      <c r="AY759" s="3" t="s">
        <v>10004</v>
      </c>
      <c r="AZ759" s="3" t="s">
        <v>74</v>
      </c>
      <c r="BB759" s="3" t="s">
        <v>10005</v>
      </c>
      <c r="BC759" s="3" t="s">
        <v>10006</v>
      </c>
      <c r="BD759" s="3" t="s">
        <v>10007</v>
      </c>
    </row>
    <row r="760" spans="1:56" ht="45.75" customHeight="1" x14ac:dyDescent="0.25">
      <c r="A760" s="7" t="s">
        <v>58</v>
      </c>
      <c r="B760" s="2" t="s">
        <v>10008</v>
      </c>
      <c r="C760" s="2" t="s">
        <v>10009</v>
      </c>
      <c r="D760" s="2" t="s">
        <v>10010</v>
      </c>
      <c r="F760" s="3" t="s">
        <v>58</v>
      </c>
      <c r="G760" s="3" t="s">
        <v>59</v>
      </c>
      <c r="H760" s="3" t="s">
        <v>58</v>
      </c>
      <c r="I760" s="3" t="s">
        <v>58</v>
      </c>
      <c r="J760" s="3" t="s">
        <v>60</v>
      </c>
      <c r="K760" s="2" t="s">
        <v>10011</v>
      </c>
      <c r="L760" s="2" t="s">
        <v>10012</v>
      </c>
      <c r="M760" s="3" t="s">
        <v>419</v>
      </c>
      <c r="O760" s="3" t="s">
        <v>65</v>
      </c>
      <c r="P760" s="3" t="s">
        <v>529</v>
      </c>
      <c r="R760" s="3" t="s">
        <v>67</v>
      </c>
      <c r="S760" s="4">
        <v>1</v>
      </c>
      <c r="T760" s="4">
        <v>1</v>
      </c>
      <c r="U760" s="5" t="s">
        <v>10013</v>
      </c>
      <c r="V760" s="5" t="s">
        <v>10013</v>
      </c>
      <c r="W760" s="5" t="s">
        <v>10013</v>
      </c>
      <c r="X760" s="5" t="s">
        <v>10013</v>
      </c>
      <c r="Y760" s="4">
        <v>296</v>
      </c>
      <c r="Z760" s="4">
        <v>222</v>
      </c>
      <c r="AA760" s="4">
        <v>223</v>
      </c>
      <c r="AB760" s="4">
        <v>2</v>
      </c>
      <c r="AC760" s="4">
        <v>2</v>
      </c>
      <c r="AD760" s="4">
        <v>11</v>
      </c>
      <c r="AE760" s="4">
        <v>11</v>
      </c>
      <c r="AF760" s="4">
        <v>3</v>
      </c>
      <c r="AG760" s="4">
        <v>3</v>
      </c>
      <c r="AH760" s="4">
        <v>5</v>
      </c>
      <c r="AI760" s="4">
        <v>5</v>
      </c>
      <c r="AJ760" s="4">
        <v>6</v>
      </c>
      <c r="AK760" s="4">
        <v>6</v>
      </c>
      <c r="AL760" s="4">
        <v>1</v>
      </c>
      <c r="AM760" s="4">
        <v>1</v>
      </c>
      <c r="AN760" s="4">
        <v>0</v>
      </c>
      <c r="AO760" s="4">
        <v>0</v>
      </c>
      <c r="AP760" s="3" t="s">
        <v>58</v>
      </c>
      <c r="AQ760" s="3" t="s">
        <v>58</v>
      </c>
      <c r="AS760" s="6" t="str">
        <f>HYPERLINK("https://creighton-primo.hosted.exlibrisgroup.com/primo-explore/search?tab=default_tab&amp;search_scope=EVERYTHING&amp;vid=01CRU&amp;lang=en_US&amp;offset=0&amp;query=any,contains,991004792179702656","Catalog Record")</f>
        <v>Catalog Record</v>
      </c>
      <c r="AT760" s="6" t="str">
        <f>HYPERLINK("http://www.worldcat.org/oclc/42733839","WorldCat Record")</f>
        <v>WorldCat Record</v>
      </c>
      <c r="AU760" s="3" t="s">
        <v>10014</v>
      </c>
      <c r="AV760" s="3" t="s">
        <v>10015</v>
      </c>
      <c r="AW760" s="3" t="s">
        <v>10016</v>
      </c>
      <c r="AX760" s="3" t="s">
        <v>10016</v>
      </c>
      <c r="AY760" s="3" t="s">
        <v>10017</v>
      </c>
      <c r="AZ760" s="3" t="s">
        <v>74</v>
      </c>
      <c r="BB760" s="3" t="s">
        <v>10018</v>
      </c>
      <c r="BC760" s="3" t="s">
        <v>10019</v>
      </c>
      <c r="BD760" s="3" t="s">
        <v>10020</v>
      </c>
    </row>
    <row r="761" spans="1:56" ht="45.75" customHeight="1" x14ac:dyDescent="0.25">
      <c r="A761" s="7" t="s">
        <v>58</v>
      </c>
      <c r="B761" s="2" t="s">
        <v>10021</v>
      </c>
      <c r="C761" s="2" t="s">
        <v>10022</v>
      </c>
      <c r="D761" s="2" t="s">
        <v>10023</v>
      </c>
      <c r="F761" s="3" t="s">
        <v>58</v>
      </c>
      <c r="G761" s="3" t="s">
        <v>59</v>
      </c>
      <c r="H761" s="3" t="s">
        <v>58</v>
      </c>
      <c r="I761" s="3" t="s">
        <v>58</v>
      </c>
      <c r="J761" s="3" t="s">
        <v>60</v>
      </c>
      <c r="K761" s="2" t="s">
        <v>10024</v>
      </c>
      <c r="L761" s="2" t="s">
        <v>10025</v>
      </c>
      <c r="M761" s="3" t="s">
        <v>203</v>
      </c>
      <c r="O761" s="3" t="s">
        <v>65</v>
      </c>
      <c r="P761" s="3" t="s">
        <v>84</v>
      </c>
      <c r="Q761" s="2" t="s">
        <v>6505</v>
      </c>
      <c r="R761" s="3" t="s">
        <v>67</v>
      </c>
      <c r="S761" s="4">
        <v>4</v>
      </c>
      <c r="T761" s="4">
        <v>4</v>
      </c>
      <c r="U761" s="5" t="s">
        <v>10026</v>
      </c>
      <c r="V761" s="5" t="s">
        <v>10026</v>
      </c>
      <c r="W761" s="5" t="s">
        <v>10027</v>
      </c>
      <c r="X761" s="5" t="s">
        <v>10027</v>
      </c>
      <c r="Y761" s="4">
        <v>406</v>
      </c>
      <c r="Z761" s="4">
        <v>356</v>
      </c>
      <c r="AA761" s="4">
        <v>786</v>
      </c>
      <c r="AB761" s="4">
        <v>4</v>
      </c>
      <c r="AC761" s="4">
        <v>5</v>
      </c>
      <c r="AD761" s="4">
        <v>24</v>
      </c>
      <c r="AE761" s="4">
        <v>27</v>
      </c>
      <c r="AF761" s="4">
        <v>9</v>
      </c>
      <c r="AG761" s="4">
        <v>10</v>
      </c>
      <c r="AH761" s="4">
        <v>6</v>
      </c>
      <c r="AI761" s="4">
        <v>7</v>
      </c>
      <c r="AJ761" s="4">
        <v>8</v>
      </c>
      <c r="AK761" s="4">
        <v>9</v>
      </c>
      <c r="AL761" s="4">
        <v>3</v>
      </c>
      <c r="AM761" s="4">
        <v>3</v>
      </c>
      <c r="AN761" s="4">
        <v>2</v>
      </c>
      <c r="AO761" s="4">
        <v>2</v>
      </c>
      <c r="AP761" s="3" t="s">
        <v>58</v>
      </c>
      <c r="AQ761" s="3" t="s">
        <v>58</v>
      </c>
      <c r="AS761" s="6" t="str">
        <f>HYPERLINK("https://creighton-primo.hosted.exlibrisgroup.com/primo-explore/search?tab=default_tab&amp;search_scope=EVERYTHING&amp;vid=01CRU&amp;lang=en_US&amp;offset=0&amp;query=any,contains,991003836319702656","Catalog Record")</f>
        <v>Catalog Record</v>
      </c>
      <c r="AT761" s="6" t="str">
        <f>HYPERLINK("http://www.worldcat.org/oclc/48761373","WorldCat Record")</f>
        <v>WorldCat Record</v>
      </c>
      <c r="AU761" s="3" t="s">
        <v>10028</v>
      </c>
      <c r="AV761" s="3" t="s">
        <v>10029</v>
      </c>
      <c r="AW761" s="3" t="s">
        <v>10030</v>
      </c>
      <c r="AX761" s="3" t="s">
        <v>10030</v>
      </c>
      <c r="AY761" s="3" t="s">
        <v>10031</v>
      </c>
      <c r="AZ761" s="3" t="s">
        <v>74</v>
      </c>
      <c r="BB761" s="3" t="s">
        <v>10032</v>
      </c>
      <c r="BC761" s="3" t="s">
        <v>10033</v>
      </c>
      <c r="BD761" s="3" t="s">
        <v>10034</v>
      </c>
    </row>
    <row r="762" spans="1:56" ht="45.75" customHeight="1" x14ac:dyDescent="0.25">
      <c r="A762" s="7" t="s">
        <v>58</v>
      </c>
      <c r="B762" s="2" t="s">
        <v>10035</v>
      </c>
      <c r="C762" s="2" t="s">
        <v>10036</v>
      </c>
      <c r="D762" s="2" t="s">
        <v>10037</v>
      </c>
      <c r="F762" s="3" t="s">
        <v>58</v>
      </c>
      <c r="G762" s="3" t="s">
        <v>59</v>
      </c>
      <c r="H762" s="3" t="s">
        <v>58</v>
      </c>
      <c r="I762" s="3" t="s">
        <v>58</v>
      </c>
      <c r="J762" s="3" t="s">
        <v>60</v>
      </c>
      <c r="L762" s="2" t="s">
        <v>10038</v>
      </c>
      <c r="M762" s="3" t="s">
        <v>203</v>
      </c>
      <c r="O762" s="3" t="s">
        <v>65</v>
      </c>
      <c r="P762" s="3" t="s">
        <v>175</v>
      </c>
      <c r="Q762" s="2" t="s">
        <v>10039</v>
      </c>
      <c r="R762" s="3" t="s">
        <v>67</v>
      </c>
      <c r="S762" s="4">
        <v>1</v>
      </c>
      <c r="T762" s="4">
        <v>1</v>
      </c>
      <c r="U762" s="5" t="s">
        <v>10040</v>
      </c>
      <c r="V762" s="5" t="s">
        <v>10040</v>
      </c>
      <c r="W762" s="5" t="s">
        <v>10041</v>
      </c>
      <c r="X762" s="5" t="s">
        <v>10041</v>
      </c>
      <c r="Y762" s="4">
        <v>354</v>
      </c>
      <c r="Z762" s="4">
        <v>250</v>
      </c>
      <c r="AA762" s="4">
        <v>316</v>
      </c>
      <c r="AB762" s="4">
        <v>2</v>
      </c>
      <c r="AC762" s="4">
        <v>2</v>
      </c>
      <c r="AD762" s="4">
        <v>10</v>
      </c>
      <c r="AE762" s="4">
        <v>11</v>
      </c>
      <c r="AF762" s="4">
        <v>4</v>
      </c>
      <c r="AG762" s="4">
        <v>4</v>
      </c>
      <c r="AH762" s="4">
        <v>3</v>
      </c>
      <c r="AI762" s="4">
        <v>3</v>
      </c>
      <c r="AJ762" s="4">
        <v>5</v>
      </c>
      <c r="AK762" s="4">
        <v>6</v>
      </c>
      <c r="AL762" s="4">
        <v>0</v>
      </c>
      <c r="AM762" s="4">
        <v>0</v>
      </c>
      <c r="AN762" s="4">
        <v>1</v>
      </c>
      <c r="AO762" s="4">
        <v>1</v>
      </c>
      <c r="AP762" s="3" t="s">
        <v>58</v>
      </c>
      <c r="AQ762" s="3" t="s">
        <v>87</v>
      </c>
      <c r="AR762" s="6" t="str">
        <f>HYPERLINK("http://catalog.hathitrust.org/Record/004257607","HathiTrust Record")</f>
        <v>HathiTrust Record</v>
      </c>
      <c r="AS762" s="6" t="str">
        <f>HYPERLINK("https://creighton-primo.hosted.exlibrisgroup.com/primo-explore/search?tab=default_tab&amp;search_scope=EVERYTHING&amp;vid=01CRU&amp;lang=en_US&amp;offset=0&amp;query=any,contains,991004238389702656","Catalog Record")</f>
        <v>Catalog Record</v>
      </c>
      <c r="AT762" s="6" t="str">
        <f>HYPERLINK("http://www.worldcat.org/oclc/50339963","WorldCat Record")</f>
        <v>WorldCat Record</v>
      </c>
      <c r="AU762" s="3" t="s">
        <v>10042</v>
      </c>
      <c r="AV762" s="3" t="s">
        <v>10043</v>
      </c>
      <c r="AW762" s="3" t="s">
        <v>10044</v>
      </c>
      <c r="AX762" s="3" t="s">
        <v>10044</v>
      </c>
      <c r="AY762" s="3" t="s">
        <v>10045</v>
      </c>
      <c r="AZ762" s="3" t="s">
        <v>74</v>
      </c>
      <c r="BB762" s="3" t="s">
        <v>10046</v>
      </c>
      <c r="BC762" s="3" t="s">
        <v>10047</v>
      </c>
      <c r="BD762" s="3" t="s">
        <v>10048</v>
      </c>
    </row>
    <row r="763" spans="1:56" ht="45.75" customHeight="1" x14ac:dyDescent="0.25">
      <c r="A763" s="7" t="s">
        <v>58</v>
      </c>
      <c r="B763" s="2" t="s">
        <v>10049</v>
      </c>
      <c r="C763" s="2" t="s">
        <v>10050</v>
      </c>
      <c r="D763" s="2" t="s">
        <v>10051</v>
      </c>
      <c r="F763" s="3" t="s">
        <v>58</v>
      </c>
      <c r="G763" s="3" t="s">
        <v>59</v>
      </c>
      <c r="H763" s="3" t="s">
        <v>58</v>
      </c>
      <c r="I763" s="3" t="s">
        <v>58</v>
      </c>
      <c r="J763" s="3" t="s">
        <v>60</v>
      </c>
      <c r="K763" s="2" t="s">
        <v>10052</v>
      </c>
      <c r="L763" s="2" t="s">
        <v>10053</v>
      </c>
      <c r="M763" s="3" t="s">
        <v>6241</v>
      </c>
      <c r="O763" s="3" t="s">
        <v>65</v>
      </c>
      <c r="P763" s="3" t="s">
        <v>84</v>
      </c>
      <c r="R763" s="3" t="s">
        <v>67</v>
      </c>
      <c r="S763" s="4">
        <v>3</v>
      </c>
      <c r="T763" s="4">
        <v>3</v>
      </c>
      <c r="U763" s="5" t="s">
        <v>630</v>
      </c>
      <c r="V763" s="5" t="s">
        <v>630</v>
      </c>
      <c r="W763" s="5" t="s">
        <v>10054</v>
      </c>
      <c r="X763" s="5" t="s">
        <v>10054</v>
      </c>
      <c r="Y763" s="4">
        <v>1605</v>
      </c>
      <c r="Z763" s="4">
        <v>1541</v>
      </c>
      <c r="AA763" s="4">
        <v>1584</v>
      </c>
      <c r="AB763" s="4">
        <v>17</v>
      </c>
      <c r="AC763" s="4">
        <v>18</v>
      </c>
      <c r="AD763" s="4">
        <v>45</v>
      </c>
      <c r="AE763" s="4">
        <v>48</v>
      </c>
      <c r="AF763" s="4">
        <v>18</v>
      </c>
      <c r="AG763" s="4">
        <v>19</v>
      </c>
      <c r="AH763" s="4">
        <v>6</v>
      </c>
      <c r="AI763" s="4">
        <v>6</v>
      </c>
      <c r="AJ763" s="4">
        <v>16</v>
      </c>
      <c r="AK763" s="4">
        <v>16</v>
      </c>
      <c r="AL763" s="4">
        <v>7</v>
      </c>
      <c r="AM763" s="4">
        <v>8</v>
      </c>
      <c r="AN763" s="4">
        <v>8</v>
      </c>
      <c r="AO763" s="4">
        <v>9</v>
      </c>
      <c r="AP763" s="3" t="s">
        <v>58</v>
      </c>
      <c r="AQ763" s="3" t="s">
        <v>87</v>
      </c>
      <c r="AR763" s="6" t="str">
        <f>HYPERLINK("http://catalog.hathitrust.org/Record/001120375","HathiTrust Record")</f>
        <v>HathiTrust Record</v>
      </c>
      <c r="AS763" s="6" t="str">
        <f>HYPERLINK("https://creighton-primo.hosted.exlibrisgroup.com/primo-explore/search?tab=default_tab&amp;search_scope=EVERYTHING&amp;vid=01CRU&amp;lang=en_US&amp;offset=0&amp;query=any,contains,991002116219702656","Catalog Record")</f>
        <v>Catalog Record</v>
      </c>
      <c r="AT763" s="6" t="str">
        <f>HYPERLINK("http://www.worldcat.org/oclc/268328","WorldCat Record")</f>
        <v>WorldCat Record</v>
      </c>
      <c r="AU763" s="3" t="s">
        <v>10055</v>
      </c>
      <c r="AV763" s="3" t="s">
        <v>10056</v>
      </c>
      <c r="AW763" s="3" t="s">
        <v>10057</v>
      </c>
      <c r="AX763" s="3" t="s">
        <v>10057</v>
      </c>
      <c r="AY763" s="3" t="s">
        <v>10058</v>
      </c>
      <c r="AZ763" s="3" t="s">
        <v>74</v>
      </c>
      <c r="BC763" s="3" t="s">
        <v>10059</v>
      </c>
      <c r="BD763" s="3" t="s">
        <v>10060</v>
      </c>
    </row>
    <row r="764" spans="1:56" ht="45.75" customHeight="1" x14ac:dyDescent="0.25">
      <c r="A764" s="7" t="s">
        <v>58</v>
      </c>
      <c r="B764" s="2" t="s">
        <v>10061</v>
      </c>
      <c r="C764" s="2" t="s">
        <v>10062</v>
      </c>
      <c r="D764" s="2" t="s">
        <v>10063</v>
      </c>
      <c r="F764" s="3" t="s">
        <v>58</v>
      </c>
      <c r="G764" s="3" t="s">
        <v>59</v>
      </c>
      <c r="H764" s="3" t="s">
        <v>58</v>
      </c>
      <c r="I764" s="3" t="s">
        <v>58</v>
      </c>
      <c r="J764" s="3" t="s">
        <v>60</v>
      </c>
      <c r="K764" s="2" t="s">
        <v>10064</v>
      </c>
      <c r="L764" s="2" t="s">
        <v>10065</v>
      </c>
      <c r="M764" s="3" t="s">
        <v>573</v>
      </c>
      <c r="N764" s="2" t="s">
        <v>543</v>
      </c>
      <c r="O764" s="3" t="s">
        <v>65</v>
      </c>
      <c r="P764" s="3" t="s">
        <v>84</v>
      </c>
      <c r="R764" s="3" t="s">
        <v>67</v>
      </c>
      <c r="S764" s="4">
        <v>2</v>
      </c>
      <c r="T764" s="4">
        <v>2</v>
      </c>
      <c r="U764" s="5" t="s">
        <v>10066</v>
      </c>
      <c r="V764" s="5" t="s">
        <v>10066</v>
      </c>
      <c r="W764" s="5" t="s">
        <v>10066</v>
      </c>
      <c r="X764" s="5" t="s">
        <v>10066</v>
      </c>
      <c r="Y764" s="4">
        <v>1504</v>
      </c>
      <c r="Z764" s="4">
        <v>1453</v>
      </c>
      <c r="AA764" s="4">
        <v>1527</v>
      </c>
      <c r="AB764" s="4">
        <v>24</v>
      </c>
      <c r="AC764" s="4">
        <v>25</v>
      </c>
      <c r="AD764" s="4">
        <v>6</v>
      </c>
      <c r="AE764" s="4">
        <v>6</v>
      </c>
      <c r="AF764" s="4">
        <v>3</v>
      </c>
      <c r="AG764" s="4">
        <v>3</v>
      </c>
      <c r="AH764" s="4">
        <v>0</v>
      </c>
      <c r="AI764" s="4">
        <v>0</v>
      </c>
      <c r="AJ764" s="4">
        <v>1</v>
      </c>
      <c r="AK764" s="4">
        <v>1</v>
      </c>
      <c r="AL764" s="4">
        <v>1</v>
      </c>
      <c r="AM764" s="4">
        <v>1</v>
      </c>
      <c r="AN764" s="4">
        <v>1</v>
      </c>
      <c r="AO764" s="4">
        <v>1</v>
      </c>
      <c r="AP764" s="3" t="s">
        <v>58</v>
      </c>
      <c r="AQ764" s="3" t="s">
        <v>58</v>
      </c>
      <c r="AS764" s="6" t="str">
        <f>HYPERLINK("https://creighton-primo.hosted.exlibrisgroup.com/primo-explore/search?tab=default_tab&amp;search_scope=EVERYTHING&amp;vid=01CRU&amp;lang=en_US&amp;offset=0&amp;query=any,contains,991004201009702656","Catalog Record")</f>
        <v>Catalog Record</v>
      </c>
      <c r="AT764" s="6" t="str">
        <f>HYPERLINK("http://www.worldcat.org/oclc/53221655","WorldCat Record")</f>
        <v>WorldCat Record</v>
      </c>
      <c r="AU764" s="3" t="s">
        <v>10067</v>
      </c>
      <c r="AV764" s="3" t="s">
        <v>10068</v>
      </c>
      <c r="AW764" s="3" t="s">
        <v>10069</v>
      </c>
      <c r="AX764" s="3" t="s">
        <v>10069</v>
      </c>
      <c r="AY764" s="3" t="s">
        <v>10070</v>
      </c>
      <c r="AZ764" s="3" t="s">
        <v>74</v>
      </c>
      <c r="BB764" s="3" t="s">
        <v>10071</v>
      </c>
      <c r="BC764" s="3" t="s">
        <v>10072</v>
      </c>
      <c r="BD764" s="3" t="s">
        <v>10073</v>
      </c>
    </row>
    <row r="765" spans="1:56" ht="45.75" customHeight="1" x14ac:dyDescent="0.25">
      <c r="A765" s="7" t="s">
        <v>58</v>
      </c>
      <c r="B765" s="2" t="s">
        <v>10074</v>
      </c>
      <c r="C765" s="2" t="s">
        <v>10075</v>
      </c>
      <c r="D765" s="2" t="s">
        <v>10076</v>
      </c>
      <c r="F765" s="3" t="s">
        <v>58</v>
      </c>
      <c r="G765" s="3" t="s">
        <v>59</v>
      </c>
      <c r="H765" s="3" t="s">
        <v>58</v>
      </c>
      <c r="I765" s="3" t="s">
        <v>58</v>
      </c>
      <c r="J765" s="3" t="s">
        <v>60</v>
      </c>
      <c r="K765" s="2" t="s">
        <v>10077</v>
      </c>
      <c r="L765" s="2" t="s">
        <v>10078</v>
      </c>
      <c r="M765" s="3" t="s">
        <v>1032</v>
      </c>
      <c r="N765" s="2" t="s">
        <v>4053</v>
      </c>
      <c r="O765" s="3" t="s">
        <v>65</v>
      </c>
      <c r="P765" s="3" t="s">
        <v>84</v>
      </c>
      <c r="R765" s="3" t="s">
        <v>67</v>
      </c>
      <c r="S765" s="4">
        <v>9</v>
      </c>
      <c r="T765" s="4">
        <v>9</v>
      </c>
      <c r="U765" s="5" t="s">
        <v>10079</v>
      </c>
      <c r="V765" s="5" t="s">
        <v>10079</v>
      </c>
      <c r="W765" s="5" t="s">
        <v>10080</v>
      </c>
      <c r="X765" s="5" t="s">
        <v>10080</v>
      </c>
      <c r="Y765" s="4">
        <v>1655</v>
      </c>
      <c r="Z765" s="4">
        <v>1561</v>
      </c>
      <c r="AA765" s="4">
        <v>1738</v>
      </c>
      <c r="AB765" s="4">
        <v>9</v>
      </c>
      <c r="AC765" s="4">
        <v>9</v>
      </c>
      <c r="AD765" s="4">
        <v>35</v>
      </c>
      <c r="AE765" s="4">
        <v>39</v>
      </c>
      <c r="AF765" s="4">
        <v>12</v>
      </c>
      <c r="AG765" s="4">
        <v>13</v>
      </c>
      <c r="AH765" s="4">
        <v>9</v>
      </c>
      <c r="AI765" s="4">
        <v>10</v>
      </c>
      <c r="AJ765" s="4">
        <v>14</v>
      </c>
      <c r="AK765" s="4">
        <v>17</v>
      </c>
      <c r="AL765" s="4">
        <v>6</v>
      </c>
      <c r="AM765" s="4">
        <v>6</v>
      </c>
      <c r="AN765" s="4">
        <v>1</v>
      </c>
      <c r="AO765" s="4">
        <v>1</v>
      </c>
      <c r="AP765" s="3" t="s">
        <v>58</v>
      </c>
      <c r="AQ765" s="3" t="s">
        <v>87</v>
      </c>
      <c r="AR765" s="6" t="str">
        <f>HYPERLINK("http://catalog.hathitrust.org/Record/003183041","HathiTrust Record")</f>
        <v>HathiTrust Record</v>
      </c>
      <c r="AS765" s="6" t="str">
        <f>HYPERLINK("https://creighton-primo.hosted.exlibrisgroup.com/primo-explore/search?tab=default_tab&amp;search_scope=EVERYTHING&amp;vid=01CRU&amp;lang=en_US&amp;offset=0&amp;query=any,contains,991002782289702656","Catalog Record")</f>
        <v>Catalog Record</v>
      </c>
      <c r="AT765" s="6" t="str">
        <f>HYPERLINK("http://www.worldcat.org/oclc/36528149","WorldCat Record")</f>
        <v>WorldCat Record</v>
      </c>
      <c r="AU765" s="3" t="s">
        <v>10081</v>
      </c>
      <c r="AV765" s="3" t="s">
        <v>10082</v>
      </c>
      <c r="AW765" s="3" t="s">
        <v>10083</v>
      </c>
      <c r="AX765" s="3" t="s">
        <v>10083</v>
      </c>
      <c r="AY765" s="3" t="s">
        <v>10084</v>
      </c>
      <c r="AZ765" s="3" t="s">
        <v>74</v>
      </c>
      <c r="BB765" s="3" t="s">
        <v>10085</v>
      </c>
      <c r="BC765" s="3" t="s">
        <v>10086</v>
      </c>
      <c r="BD765" s="3" t="s">
        <v>10087</v>
      </c>
    </row>
    <row r="766" spans="1:56" ht="45.75" customHeight="1" x14ac:dyDescent="0.25">
      <c r="A766" s="7" t="s">
        <v>58</v>
      </c>
      <c r="B766" s="2" t="s">
        <v>10088</v>
      </c>
      <c r="C766" s="2" t="s">
        <v>10089</v>
      </c>
      <c r="D766" s="2" t="s">
        <v>10090</v>
      </c>
      <c r="F766" s="3" t="s">
        <v>58</v>
      </c>
      <c r="G766" s="3" t="s">
        <v>59</v>
      </c>
      <c r="H766" s="3" t="s">
        <v>58</v>
      </c>
      <c r="I766" s="3" t="s">
        <v>58</v>
      </c>
      <c r="J766" s="3" t="s">
        <v>60</v>
      </c>
      <c r="K766" s="2" t="s">
        <v>10091</v>
      </c>
      <c r="L766" s="2" t="s">
        <v>8150</v>
      </c>
      <c r="M766" s="3" t="s">
        <v>573</v>
      </c>
      <c r="N766" s="2" t="s">
        <v>64</v>
      </c>
      <c r="O766" s="3" t="s">
        <v>65</v>
      </c>
      <c r="P766" s="3" t="s">
        <v>772</v>
      </c>
      <c r="R766" s="3" t="s">
        <v>67</v>
      </c>
      <c r="S766" s="4">
        <v>2</v>
      </c>
      <c r="T766" s="4">
        <v>2</v>
      </c>
      <c r="U766" s="5" t="s">
        <v>10092</v>
      </c>
      <c r="V766" s="5" t="s">
        <v>10092</v>
      </c>
      <c r="W766" s="5" t="s">
        <v>10092</v>
      </c>
      <c r="X766" s="5" t="s">
        <v>10092</v>
      </c>
      <c r="Y766" s="4">
        <v>171</v>
      </c>
      <c r="Z766" s="4">
        <v>135</v>
      </c>
      <c r="AA766" s="4">
        <v>527</v>
      </c>
      <c r="AB766" s="4">
        <v>1</v>
      </c>
      <c r="AC766" s="4">
        <v>3</v>
      </c>
      <c r="AD766" s="4">
        <v>10</v>
      </c>
      <c r="AE766" s="4">
        <v>18</v>
      </c>
      <c r="AF766" s="4">
        <v>3</v>
      </c>
      <c r="AG766" s="4">
        <v>7</v>
      </c>
      <c r="AH766" s="4">
        <v>4</v>
      </c>
      <c r="AI766" s="4">
        <v>5</v>
      </c>
      <c r="AJ766" s="4">
        <v>6</v>
      </c>
      <c r="AK766" s="4">
        <v>11</v>
      </c>
      <c r="AL766" s="4">
        <v>0</v>
      </c>
      <c r="AM766" s="4">
        <v>1</v>
      </c>
      <c r="AN766" s="4">
        <v>0</v>
      </c>
      <c r="AO766" s="4">
        <v>0</v>
      </c>
      <c r="AP766" s="3" t="s">
        <v>58</v>
      </c>
      <c r="AQ766" s="3" t="s">
        <v>58</v>
      </c>
      <c r="AS766" s="6" t="str">
        <f>HYPERLINK("https://creighton-primo.hosted.exlibrisgroup.com/primo-explore/search?tab=default_tab&amp;search_scope=EVERYTHING&amp;vid=01CRU&amp;lang=en_US&amp;offset=0&amp;query=any,contains,991004487009702656","Catalog Record")</f>
        <v>Catalog Record</v>
      </c>
      <c r="AT766" s="6" t="str">
        <f>HYPERLINK("http://www.worldcat.org/oclc/51271512","WorldCat Record")</f>
        <v>WorldCat Record</v>
      </c>
      <c r="AU766" s="3" t="s">
        <v>10093</v>
      </c>
      <c r="AV766" s="3" t="s">
        <v>10094</v>
      </c>
      <c r="AW766" s="3" t="s">
        <v>10095</v>
      </c>
      <c r="AX766" s="3" t="s">
        <v>10095</v>
      </c>
      <c r="AY766" s="3" t="s">
        <v>10096</v>
      </c>
      <c r="AZ766" s="3" t="s">
        <v>74</v>
      </c>
      <c r="BB766" s="3" t="s">
        <v>10097</v>
      </c>
      <c r="BC766" s="3" t="s">
        <v>10098</v>
      </c>
      <c r="BD766" s="3" t="s">
        <v>10099</v>
      </c>
    </row>
    <row r="767" spans="1:56" ht="45.75" customHeight="1" x14ac:dyDescent="0.25">
      <c r="A767" s="7" t="s">
        <v>58</v>
      </c>
      <c r="B767" s="2" t="s">
        <v>10100</v>
      </c>
      <c r="C767" s="2" t="s">
        <v>10101</v>
      </c>
      <c r="D767" s="2" t="s">
        <v>10102</v>
      </c>
      <c r="F767" s="3" t="s">
        <v>58</v>
      </c>
      <c r="G767" s="3" t="s">
        <v>59</v>
      </c>
      <c r="H767" s="3" t="s">
        <v>58</v>
      </c>
      <c r="I767" s="3" t="s">
        <v>58</v>
      </c>
      <c r="J767" s="3" t="s">
        <v>60</v>
      </c>
      <c r="K767" s="2" t="s">
        <v>10103</v>
      </c>
      <c r="L767" s="2" t="s">
        <v>10104</v>
      </c>
      <c r="M767" s="3" t="s">
        <v>63</v>
      </c>
      <c r="O767" s="3" t="s">
        <v>65</v>
      </c>
      <c r="P767" s="3" t="s">
        <v>190</v>
      </c>
      <c r="R767" s="3" t="s">
        <v>67</v>
      </c>
      <c r="S767" s="4">
        <v>1</v>
      </c>
      <c r="T767" s="4">
        <v>1</v>
      </c>
      <c r="U767" s="5" t="s">
        <v>10105</v>
      </c>
      <c r="V767" s="5" t="s">
        <v>10105</v>
      </c>
      <c r="W767" s="5" t="s">
        <v>10106</v>
      </c>
      <c r="X767" s="5" t="s">
        <v>10106</v>
      </c>
      <c r="Y767" s="4">
        <v>691</v>
      </c>
      <c r="Z767" s="4">
        <v>603</v>
      </c>
      <c r="AA767" s="4">
        <v>604</v>
      </c>
      <c r="AB767" s="4">
        <v>4</v>
      </c>
      <c r="AC767" s="4">
        <v>4</v>
      </c>
      <c r="AD767" s="4">
        <v>25</v>
      </c>
      <c r="AE767" s="4">
        <v>25</v>
      </c>
      <c r="AF767" s="4">
        <v>13</v>
      </c>
      <c r="AG767" s="4">
        <v>13</v>
      </c>
      <c r="AH767" s="4">
        <v>3</v>
      </c>
      <c r="AI767" s="4">
        <v>3</v>
      </c>
      <c r="AJ767" s="4">
        <v>11</v>
      </c>
      <c r="AK767" s="4">
        <v>11</v>
      </c>
      <c r="AL767" s="4">
        <v>3</v>
      </c>
      <c r="AM767" s="4">
        <v>3</v>
      </c>
      <c r="AN767" s="4">
        <v>1</v>
      </c>
      <c r="AO767" s="4">
        <v>1</v>
      </c>
      <c r="AP767" s="3" t="s">
        <v>58</v>
      </c>
      <c r="AQ767" s="3" t="s">
        <v>58</v>
      </c>
      <c r="AS767" s="6" t="str">
        <f>HYPERLINK("https://creighton-primo.hosted.exlibrisgroup.com/primo-explore/search?tab=default_tab&amp;search_scope=EVERYTHING&amp;vid=01CRU&amp;lang=en_US&amp;offset=0&amp;query=any,contains,991004589779702656","Catalog Record")</f>
        <v>Catalog Record</v>
      </c>
      <c r="AT767" s="6" t="str">
        <f>HYPERLINK("http://www.worldcat.org/oclc/55131511","WorldCat Record")</f>
        <v>WorldCat Record</v>
      </c>
      <c r="AU767" s="3" t="s">
        <v>10107</v>
      </c>
      <c r="AV767" s="3" t="s">
        <v>10108</v>
      </c>
      <c r="AW767" s="3" t="s">
        <v>10109</v>
      </c>
      <c r="AX767" s="3" t="s">
        <v>10109</v>
      </c>
      <c r="AY767" s="3" t="s">
        <v>10110</v>
      </c>
      <c r="AZ767" s="3" t="s">
        <v>74</v>
      </c>
      <c r="BB767" s="3" t="s">
        <v>10111</v>
      </c>
      <c r="BC767" s="3" t="s">
        <v>10112</v>
      </c>
      <c r="BD767" s="3" t="s">
        <v>10113</v>
      </c>
    </row>
    <row r="768" spans="1:56" ht="45.75" customHeight="1" x14ac:dyDescent="0.25">
      <c r="A768" s="7" t="s">
        <v>58</v>
      </c>
      <c r="B768" s="2" t="s">
        <v>10114</v>
      </c>
      <c r="C768" s="2" t="s">
        <v>10115</v>
      </c>
      <c r="D768" s="2" t="s">
        <v>10116</v>
      </c>
      <c r="F768" s="3" t="s">
        <v>58</v>
      </c>
      <c r="G768" s="3" t="s">
        <v>59</v>
      </c>
      <c r="H768" s="3" t="s">
        <v>58</v>
      </c>
      <c r="I768" s="3" t="s">
        <v>87</v>
      </c>
      <c r="J768" s="3" t="s">
        <v>60</v>
      </c>
      <c r="K768" s="2" t="s">
        <v>10117</v>
      </c>
      <c r="L768" s="2" t="s">
        <v>892</v>
      </c>
      <c r="M768" s="3" t="s">
        <v>528</v>
      </c>
      <c r="O768" s="3" t="s">
        <v>65</v>
      </c>
      <c r="P768" s="3" t="s">
        <v>132</v>
      </c>
      <c r="Q768" s="2" t="s">
        <v>10118</v>
      </c>
      <c r="R768" s="3" t="s">
        <v>67</v>
      </c>
      <c r="S768" s="4">
        <v>33</v>
      </c>
      <c r="T768" s="4">
        <v>33</v>
      </c>
      <c r="U768" s="5" t="s">
        <v>10119</v>
      </c>
      <c r="V768" s="5" t="s">
        <v>10119</v>
      </c>
      <c r="W768" s="5" t="s">
        <v>10120</v>
      </c>
      <c r="X768" s="5" t="s">
        <v>10120</v>
      </c>
      <c r="Y768" s="4">
        <v>518</v>
      </c>
      <c r="Z768" s="4">
        <v>417</v>
      </c>
      <c r="AA768" s="4">
        <v>892</v>
      </c>
      <c r="AB768" s="4">
        <v>4</v>
      </c>
      <c r="AC768" s="4">
        <v>7</v>
      </c>
      <c r="AD768" s="4">
        <v>21</v>
      </c>
      <c r="AE768" s="4">
        <v>43</v>
      </c>
      <c r="AF768" s="4">
        <v>4</v>
      </c>
      <c r="AG768" s="4">
        <v>13</v>
      </c>
      <c r="AH768" s="4">
        <v>2</v>
      </c>
      <c r="AI768" s="4">
        <v>6</v>
      </c>
      <c r="AJ768" s="4">
        <v>7</v>
      </c>
      <c r="AK768" s="4">
        <v>15</v>
      </c>
      <c r="AL768" s="4">
        <v>3</v>
      </c>
      <c r="AM768" s="4">
        <v>5</v>
      </c>
      <c r="AN768" s="4">
        <v>8</v>
      </c>
      <c r="AO768" s="4">
        <v>14</v>
      </c>
      <c r="AP768" s="3" t="s">
        <v>58</v>
      </c>
      <c r="AQ768" s="3" t="s">
        <v>87</v>
      </c>
      <c r="AR768" s="6" t="str">
        <f>HYPERLINK("http://catalog.hathitrust.org/Record/002371018","HathiTrust Record")</f>
        <v>HathiTrust Record</v>
      </c>
      <c r="AS768" s="6" t="str">
        <f>HYPERLINK("https://creighton-primo.hosted.exlibrisgroup.com/primo-explore/search?tab=default_tab&amp;search_scope=EVERYTHING&amp;vid=01CRU&amp;lang=en_US&amp;offset=0&amp;query=any,contains,991001720509702656","Catalog Record")</f>
        <v>Catalog Record</v>
      </c>
      <c r="AT768" s="6" t="str">
        <f>HYPERLINK("http://www.worldcat.org/oclc/21763155","WorldCat Record")</f>
        <v>WorldCat Record</v>
      </c>
      <c r="AU768" s="3" t="s">
        <v>10121</v>
      </c>
      <c r="AV768" s="3" t="s">
        <v>10122</v>
      </c>
      <c r="AW768" s="3" t="s">
        <v>10123</v>
      </c>
      <c r="AX768" s="3" t="s">
        <v>10123</v>
      </c>
      <c r="AY768" s="3" t="s">
        <v>10124</v>
      </c>
      <c r="AZ768" s="3" t="s">
        <v>74</v>
      </c>
      <c r="BB768" s="3" t="s">
        <v>10125</v>
      </c>
      <c r="BC768" s="3" t="s">
        <v>10126</v>
      </c>
      <c r="BD768" s="3" t="s">
        <v>10127</v>
      </c>
    </row>
    <row r="769" spans="1:56" ht="45.75" customHeight="1" x14ac:dyDescent="0.25">
      <c r="A769" s="7" t="s">
        <v>58</v>
      </c>
      <c r="B769" s="2" t="s">
        <v>10128</v>
      </c>
      <c r="C769" s="2" t="s">
        <v>10129</v>
      </c>
      <c r="D769" s="2" t="s">
        <v>10130</v>
      </c>
      <c r="F769" s="3" t="s">
        <v>58</v>
      </c>
      <c r="G769" s="3" t="s">
        <v>59</v>
      </c>
      <c r="H769" s="3" t="s">
        <v>58</v>
      </c>
      <c r="I769" s="3" t="s">
        <v>58</v>
      </c>
      <c r="J769" s="3" t="s">
        <v>60</v>
      </c>
      <c r="K769" s="2" t="s">
        <v>10131</v>
      </c>
      <c r="L769" s="2" t="s">
        <v>2439</v>
      </c>
      <c r="M769" s="3" t="s">
        <v>908</v>
      </c>
      <c r="O769" s="3" t="s">
        <v>65</v>
      </c>
      <c r="P769" s="3" t="s">
        <v>84</v>
      </c>
      <c r="R769" s="3" t="s">
        <v>67</v>
      </c>
      <c r="S769" s="4">
        <v>15</v>
      </c>
      <c r="T769" s="4">
        <v>15</v>
      </c>
      <c r="U769" s="5" t="s">
        <v>10132</v>
      </c>
      <c r="V769" s="5" t="s">
        <v>10132</v>
      </c>
      <c r="W769" s="5" t="s">
        <v>5371</v>
      </c>
      <c r="X769" s="5" t="s">
        <v>5371</v>
      </c>
      <c r="Y769" s="4">
        <v>1142</v>
      </c>
      <c r="Z769" s="4">
        <v>1003</v>
      </c>
      <c r="AA769" s="4">
        <v>1073</v>
      </c>
      <c r="AB769" s="4">
        <v>10</v>
      </c>
      <c r="AC769" s="4">
        <v>10</v>
      </c>
      <c r="AD769" s="4">
        <v>40</v>
      </c>
      <c r="AE769" s="4">
        <v>41</v>
      </c>
      <c r="AF769" s="4">
        <v>14</v>
      </c>
      <c r="AG769" s="4">
        <v>14</v>
      </c>
      <c r="AH769" s="4">
        <v>9</v>
      </c>
      <c r="AI769" s="4">
        <v>9</v>
      </c>
      <c r="AJ769" s="4">
        <v>15</v>
      </c>
      <c r="AK769" s="4">
        <v>16</v>
      </c>
      <c r="AL769" s="4">
        <v>7</v>
      </c>
      <c r="AM769" s="4">
        <v>7</v>
      </c>
      <c r="AN769" s="4">
        <v>4</v>
      </c>
      <c r="AO769" s="4">
        <v>4</v>
      </c>
      <c r="AP769" s="3" t="s">
        <v>58</v>
      </c>
      <c r="AQ769" s="3" t="s">
        <v>87</v>
      </c>
      <c r="AR769" s="6" t="str">
        <f>HYPERLINK("http://catalog.hathitrust.org/Record/000017705","HathiTrust Record")</f>
        <v>HathiTrust Record</v>
      </c>
      <c r="AS769" s="6" t="str">
        <f>HYPERLINK("https://creighton-primo.hosted.exlibrisgroup.com/primo-explore/search?tab=default_tab&amp;search_scope=EVERYTHING&amp;vid=01CRU&amp;lang=en_US&amp;offset=0&amp;query=any,contains,991004792849702656","Catalog Record")</f>
        <v>Catalog Record</v>
      </c>
      <c r="AT769" s="6" t="str">
        <f>HYPERLINK("http://www.worldcat.org/oclc/5171855","WorldCat Record")</f>
        <v>WorldCat Record</v>
      </c>
      <c r="AU769" s="3" t="s">
        <v>10133</v>
      </c>
      <c r="AV769" s="3" t="s">
        <v>10134</v>
      </c>
      <c r="AW769" s="3" t="s">
        <v>10135</v>
      </c>
      <c r="AX769" s="3" t="s">
        <v>10135</v>
      </c>
      <c r="AY769" s="3" t="s">
        <v>10136</v>
      </c>
      <c r="AZ769" s="3" t="s">
        <v>74</v>
      </c>
      <c r="BB769" s="3" t="s">
        <v>10137</v>
      </c>
      <c r="BC769" s="3" t="s">
        <v>10138</v>
      </c>
      <c r="BD769" s="3" t="s">
        <v>10139</v>
      </c>
    </row>
    <row r="770" spans="1:56" ht="45.75" customHeight="1" x14ac:dyDescent="0.25">
      <c r="A770" s="7" t="s">
        <v>58</v>
      </c>
      <c r="B770" s="2" t="s">
        <v>10140</v>
      </c>
      <c r="C770" s="2" t="s">
        <v>10141</v>
      </c>
      <c r="D770" s="2" t="s">
        <v>10142</v>
      </c>
      <c r="F770" s="3" t="s">
        <v>58</v>
      </c>
      <c r="G770" s="3" t="s">
        <v>59</v>
      </c>
      <c r="H770" s="3" t="s">
        <v>58</v>
      </c>
      <c r="I770" s="3" t="s">
        <v>58</v>
      </c>
      <c r="J770" s="3" t="s">
        <v>60</v>
      </c>
      <c r="K770" s="2" t="s">
        <v>10143</v>
      </c>
      <c r="L770" s="2" t="s">
        <v>10144</v>
      </c>
      <c r="M770" s="3" t="s">
        <v>63</v>
      </c>
      <c r="O770" s="3" t="s">
        <v>5719</v>
      </c>
      <c r="P770" s="3" t="s">
        <v>6595</v>
      </c>
      <c r="R770" s="3" t="s">
        <v>67</v>
      </c>
      <c r="S770" s="4">
        <v>1</v>
      </c>
      <c r="T770" s="4">
        <v>1</v>
      </c>
      <c r="U770" s="5" t="s">
        <v>6597</v>
      </c>
      <c r="V770" s="5" t="s">
        <v>6597</v>
      </c>
      <c r="W770" s="5" t="s">
        <v>6597</v>
      </c>
      <c r="X770" s="5" t="s">
        <v>6597</v>
      </c>
      <c r="Y770" s="4">
        <v>11</v>
      </c>
      <c r="Z770" s="4">
        <v>3</v>
      </c>
      <c r="AA770" s="4">
        <v>3</v>
      </c>
      <c r="AB770" s="4">
        <v>1</v>
      </c>
      <c r="AC770" s="4">
        <v>1</v>
      </c>
      <c r="AD770" s="4">
        <v>0</v>
      </c>
      <c r="AE770" s="4">
        <v>0</v>
      </c>
      <c r="AF770" s="4">
        <v>0</v>
      </c>
      <c r="AG770" s="4">
        <v>0</v>
      </c>
      <c r="AH770" s="4">
        <v>0</v>
      </c>
      <c r="AI770" s="4">
        <v>0</v>
      </c>
      <c r="AJ770" s="4">
        <v>0</v>
      </c>
      <c r="AK770" s="4">
        <v>0</v>
      </c>
      <c r="AL770" s="4">
        <v>0</v>
      </c>
      <c r="AM770" s="4">
        <v>0</v>
      </c>
      <c r="AN770" s="4">
        <v>0</v>
      </c>
      <c r="AO770" s="4">
        <v>0</v>
      </c>
      <c r="AP770" s="3" t="s">
        <v>58</v>
      </c>
      <c r="AQ770" s="3" t="s">
        <v>58</v>
      </c>
      <c r="AS770" s="6" t="str">
        <f>HYPERLINK("https://creighton-primo.hosted.exlibrisgroup.com/primo-explore/search?tab=default_tab&amp;search_scope=EVERYTHING&amp;vid=01CRU&amp;lang=en_US&amp;offset=0&amp;query=any,contains,991005393109702656","Catalog Record")</f>
        <v>Catalog Record</v>
      </c>
      <c r="AT770" s="6" t="str">
        <f>HYPERLINK("http://www.worldcat.org/oclc/60665652","WorldCat Record")</f>
        <v>WorldCat Record</v>
      </c>
      <c r="AU770" s="3" t="s">
        <v>10145</v>
      </c>
      <c r="AV770" s="3" t="s">
        <v>10146</v>
      </c>
      <c r="AW770" s="3" t="s">
        <v>10147</v>
      </c>
      <c r="AX770" s="3" t="s">
        <v>10147</v>
      </c>
      <c r="AY770" s="3" t="s">
        <v>10148</v>
      </c>
      <c r="AZ770" s="3" t="s">
        <v>74</v>
      </c>
      <c r="BB770" s="3" t="s">
        <v>10149</v>
      </c>
      <c r="BC770" s="3" t="s">
        <v>10150</v>
      </c>
      <c r="BD770" s="3" t="s">
        <v>10151</v>
      </c>
    </row>
    <row r="771" spans="1:56" ht="45.75" customHeight="1" x14ac:dyDescent="0.25">
      <c r="A771" s="7" t="s">
        <v>58</v>
      </c>
      <c r="B771" s="2" t="s">
        <v>10152</v>
      </c>
      <c r="C771" s="2" t="s">
        <v>10153</v>
      </c>
      <c r="D771" s="2" t="s">
        <v>10154</v>
      </c>
      <c r="F771" s="3" t="s">
        <v>58</v>
      </c>
      <c r="G771" s="3" t="s">
        <v>59</v>
      </c>
      <c r="H771" s="3" t="s">
        <v>58</v>
      </c>
      <c r="I771" s="3" t="s">
        <v>58</v>
      </c>
      <c r="J771" s="3" t="s">
        <v>60</v>
      </c>
      <c r="K771" s="2" t="s">
        <v>10155</v>
      </c>
      <c r="L771" s="2" t="s">
        <v>10156</v>
      </c>
      <c r="M771" s="3" t="s">
        <v>528</v>
      </c>
      <c r="O771" s="3" t="s">
        <v>65</v>
      </c>
      <c r="P771" s="3" t="s">
        <v>175</v>
      </c>
      <c r="R771" s="3" t="s">
        <v>67</v>
      </c>
      <c r="S771" s="4">
        <v>36</v>
      </c>
      <c r="T771" s="4">
        <v>36</v>
      </c>
      <c r="U771" s="5" t="s">
        <v>7768</v>
      </c>
      <c r="V771" s="5" t="s">
        <v>7768</v>
      </c>
      <c r="W771" s="5" t="s">
        <v>3022</v>
      </c>
      <c r="X771" s="5" t="s">
        <v>3022</v>
      </c>
      <c r="Y771" s="4">
        <v>533</v>
      </c>
      <c r="Z771" s="4">
        <v>351</v>
      </c>
      <c r="AA771" s="4">
        <v>375</v>
      </c>
      <c r="AB771" s="4">
        <v>2</v>
      </c>
      <c r="AC771" s="4">
        <v>2</v>
      </c>
      <c r="AD771" s="4">
        <v>18</v>
      </c>
      <c r="AE771" s="4">
        <v>18</v>
      </c>
      <c r="AF771" s="4">
        <v>5</v>
      </c>
      <c r="AG771" s="4">
        <v>5</v>
      </c>
      <c r="AH771" s="4">
        <v>3</v>
      </c>
      <c r="AI771" s="4">
        <v>3</v>
      </c>
      <c r="AJ771" s="4">
        <v>9</v>
      </c>
      <c r="AK771" s="4">
        <v>9</v>
      </c>
      <c r="AL771" s="4">
        <v>1</v>
      </c>
      <c r="AM771" s="4">
        <v>1</v>
      </c>
      <c r="AN771" s="4">
        <v>3</v>
      </c>
      <c r="AO771" s="4">
        <v>3</v>
      </c>
      <c r="AP771" s="3" t="s">
        <v>58</v>
      </c>
      <c r="AQ771" s="3" t="s">
        <v>58</v>
      </c>
      <c r="AS771" s="6" t="str">
        <f>HYPERLINK("https://creighton-primo.hosted.exlibrisgroup.com/primo-explore/search?tab=default_tab&amp;search_scope=EVERYTHING&amp;vid=01CRU&amp;lang=en_US&amp;offset=0&amp;query=any,contains,991001621509702656","Catalog Record")</f>
        <v>Catalog Record</v>
      </c>
      <c r="AT771" s="6" t="str">
        <f>HYPERLINK("http://www.worldcat.org/oclc/20825128","WorldCat Record")</f>
        <v>WorldCat Record</v>
      </c>
      <c r="AU771" s="3" t="s">
        <v>10157</v>
      </c>
      <c r="AV771" s="3" t="s">
        <v>10158</v>
      </c>
      <c r="AW771" s="3" t="s">
        <v>10159</v>
      </c>
      <c r="AX771" s="3" t="s">
        <v>10159</v>
      </c>
      <c r="AY771" s="3" t="s">
        <v>10160</v>
      </c>
      <c r="AZ771" s="3" t="s">
        <v>74</v>
      </c>
      <c r="BB771" s="3" t="s">
        <v>10161</v>
      </c>
      <c r="BC771" s="3" t="s">
        <v>10162</v>
      </c>
      <c r="BD771" s="3" t="s">
        <v>10163</v>
      </c>
    </row>
    <row r="772" spans="1:56" ht="45.75" customHeight="1" x14ac:dyDescent="0.25">
      <c r="A772" s="7" t="s">
        <v>58</v>
      </c>
      <c r="B772" s="2" t="s">
        <v>10164</v>
      </c>
      <c r="C772" s="2" t="s">
        <v>10165</v>
      </c>
      <c r="D772" s="2" t="s">
        <v>10166</v>
      </c>
      <c r="F772" s="3" t="s">
        <v>58</v>
      </c>
      <c r="G772" s="3" t="s">
        <v>59</v>
      </c>
      <c r="H772" s="3" t="s">
        <v>58</v>
      </c>
      <c r="I772" s="3" t="s">
        <v>58</v>
      </c>
      <c r="J772" s="3" t="s">
        <v>60</v>
      </c>
      <c r="L772" s="2" t="s">
        <v>10167</v>
      </c>
      <c r="M772" s="3" t="s">
        <v>1032</v>
      </c>
      <c r="O772" s="3" t="s">
        <v>65</v>
      </c>
      <c r="P772" s="3" t="s">
        <v>132</v>
      </c>
      <c r="R772" s="3" t="s">
        <v>67</v>
      </c>
      <c r="S772" s="4">
        <v>12</v>
      </c>
      <c r="T772" s="4">
        <v>12</v>
      </c>
      <c r="U772" s="5" t="s">
        <v>7768</v>
      </c>
      <c r="V772" s="5" t="s">
        <v>7768</v>
      </c>
      <c r="W772" s="5" t="s">
        <v>10168</v>
      </c>
      <c r="X772" s="5" t="s">
        <v>10168</v>
      </c>
      <c r="Y772" s="4">
        <v>357</v>
      </c>
      <c r="Z772" s="4">
        <v>272</v>
      </c>
      <c r="AA772" s="4">
        <v>359</v>
      </c>
      <c r="AB772" s="4">
        <v>2</v>
      </c>
      <c r="AC772" s="4">
        <v>2</v>
      </c>
      <c r="AD772" s="4">
        <v>18</v>
      </c>
      <c r="AE772" s="4">
        <v>22</v>
      </c>
      <c r="AF772" s="4">
        <v>7</v>
      </c>
      <c r="AG772" s="4">
        <v>7</v>
      </c>
      <c r="AH772" s="4">
        <v>3</v>
      </c>
      <c r="AI772" s="4">
        <v>6</v>
      </c>
      <c r="AJ772" s="4">
        <v>8</v>
      </c>
      <c r="AK772" s="4">
        <v>9</v>
      </c>
      <c r="AL772" s="4">
        <v>1</v>
      </c>
      <c r="AM772" s="4">
        <v>1</v>
      </c>
      <c r="AN772" s="4">
        <v>3</v>
      </c>
      <c r="AO772" s="4">
        <v>3</v>
      </c>
      <c r="AP772" s="3" t="s">
        <v>58</v>
      </c>
      <c r="AQ772" s="3" t="s">
        <v>87</v>
      </c>
      <c r="AR772" s="6" t="str">
        <f>HYPERLINK("http://catalog.hathitrust.org/Record/004054276","HathiTrust Record")</f>
        <v>HathiTrust Record</v>
      </c>
      <c r="AS772" s="6" t="str">
        <f>HYPERLINK("https://creighton-primo.hosted.exlibrisgroup.com/primo-explore/search?tab=default_tab&amp;search_scope=EVERYTHING&amp;vid=01CRU&amp;lang=en_US&amp;offset=0&amp;query=any,contains,991002813929702656","Catalog Record")</f>
        <v>Catalog Record</v>
      </c>
      <c r="AT772" s="6" t="str">
        <f>HYPERLINK("http://www.worldcat.org/oclc/36961093","WorldCat Record")</f>
        <v>WorldCat Record</v>
      </c>
      <c r="AU772" s="3" t="s">
        <v>10169</v>
      </c>
      <c r="AV772" s="3" t="s">
        <v>10170</v>
      </c>
      <c r="AW772" s="3" t="s">
        <v>10171</v>
      </c>
      <c r="AX772" s="3" t="s">
        <v>10171</v>
      </c>
      <c r="AY772" s="3" t="s">
        <v>10172</v>
      </c>
      <c r="AZ772" s="3" t="s">
        <v>74</v>
      </c>
      <c r="BB772" s="3" t="s">
        <v>10173</v>
      </c>
      <c r="BC772" s="3" t="s">
        <v>10174</v>
      </c>
      <c r="BD772" s="3" t="s">
        <v>10175</v>
      </c>
    </row>
    <row r="773" spans="1:56" ht="45.75" customHeight="1" x14ac:dyDescent="0.25">
      <c r="A773" s="7" t="s">
        <v>58</v>
      </c>
      <c r="B773" s="2" t="s">
        <v>10176</v>
      </c>
      <c r="C773" s="2" t="s">
        <v>10177</v>
      </c>
      <c r="D773" s="2" t="s">
        <v>10178</v>
      </c>
      <c r="F773" s="3" t="s">
        <v>58</v>
      </c>
      <c r="G773" s="3" t="s">
        <v>59</v>
      </c>
      <c r="H773" s="3" t="s">
        <v>58</v>
      </c>
      <c r="I773" s="3" t="s">
        <v>58</v>
      </c>
      <c r="J773" s="3" t="s">
        <v>60</v>
      </c>
      <c r="K773" s="2" t="s">
        <v>10179</v>
      </c>
      <c r="L773" s="2" t="s">
        <v>10180</v>
      </c>
      <c r="M773" s="3" t="s">
        <v>713</v>
      </c>
      <c r="O773" s="3" t="s">
        <v>65</v>
      </c>
      <c r="P773" s="3" t="s">
        <v>132</v>
      </c>
      <c r="Q773" s="2" t="s">
        <v>10181</v>
      </c>
      <c r="R773" s="3" t="s">
        <v>67</v>
      </c>
      <c r="S773" s="4">
        <v>16</v>
      </c>
      <c r="T773" s="4">
        <v>16</v>
      </c>
      <c r="U773" s="5" t="s">
        <v>10132</v>
      </c>
      <c r="V773" s="5" t="s">
        <v>10132</v>
      </c>
      <c r="W773" s="5" t="s">
        <v>5371</v>
      </c>
      <c r="X773" s="5" t="s">
        <v>5371</v>
      </c>
      <c r="Y773" s="4">
        <v>712</v>
      </c>
      <c r="Z773" s="4">
        <v>589</v>
      </c>
      <c r="AA773" s="4">
        <v>595</v>
      </c>
      <c r="AB773" s="4">
        <v>3</v>
      </c>
      <c r="AC773" s="4">
        <v>3</v>
      </c>
      <c r="AD773" s="4">
        <v>29</v>
      </c>
      <c r="AE773" s="4">
        <v>29</v>
      </c>
      <c r="AF773" s="4">
        <v>11</v>
      </c>
      <c r="AG773" s="4">
        <v>11</v>
      </c>
      <c r="AH773" s="4">
        <v>5</v>
      </c>
      <c r="AI773" s="4">
        <v>5</v>
      </c>
      <c r="AJ773" s="4">
        <v>15</v>
      </c>
      <c r="AK773" s="4">
        <v>15</v>
      </c>
      <c r="AL773" s="4">
        <v>2</v>
      </c>
      <c r="AM773" s="4">
        <v>2</v>
      </c>
      <c r="AN773" s="4">
        <v>3</v>
      </c>
      <c r="AO773" s="4">
        <v>3</v>
      </c>
      <c r="AP773" s="3" t="s">
        <v>58</v>
      </c>
      <c r="AQ773" s="3" t="s">
        <v>87</v>
      </c>
      <c r="AR773" s="6" t="str">
        <f>HYPERLINK("http://catalog.hathitrust.org/Record/000222763","HathiTrust Record")</f>
        <v>HathiTrust Record</v>
      </c>
      <c r="AS773" s="6" t="str">
        <f>HYPERLINK("https://creighton-primo.hosted.exlibrisgroup.com/primo-explore/search?tab=default_tab&amp;search_scope=EVERYTHING&amp;vid=01CRU&amp;lang=en_US&amp;offset=0&amp;query=any,contains,991005141179702656","Catalog Record")</f>
        <v>Catalog Record</v>
      </c>
      <c r="AT773" s="6" t="str">
        <f>HYPERLINK("http://www.worldcat.org/oclc/7614467","WorldCat Record")</f>
        <v>WorldCat Record</v>
      </c>
      <c r="AU773" s="3" t="s">
        <v>10182</v>
      </c>
      <c r="AV773" s="3" t="s">
        <v>10183</v>
      </c>
      <c r="AW773" s="3" t="s">
        <v>10184</v>
      </c>
      <c r="AX773" s="3" t="s">
        <v>10184</v>
      </c>
      <c r="AY773" s="3" t="s">
        <v>10185</v>
      </c>
      <c r="AZ773" s="3" t="s">
        <v>74</v>
      </c>
      <c r="BB773" s="3" t="s">
        <v>10186</v>
      </c>
      <c r="BC773" s="3" t="s">
        <v>10187</v>
      </c>
      <c r="BD773" s="3" t="s">
        <v>10188</v>
      </c>
    </row>
    <row r="774" spans="1:56" ht="45.75" customHeight="1" x14ac:dyDescent="0.25">
      <c r="A774" s="7" t="s">
        <v>58</v>
      </c>
      <c r="B774" s="2" t="s">
        <v>10189</v>
      </c>
      <c r="C774" s="2" t="s">
        <v>10190</v>
      </c>
      <c r="D774" s="2" t="s">
        <v>10191</v>
      </c>
      <c r="F774" s="3" t="s">
        <v>58</v>
      </c>
      <c r="G774" s="3" t="s">
        <v>59</v>
      </c>
      <c r="H774" s="3" t="s">
        <v>58</v>
      </c>
      <c r="I774" s="3" t="s">
        <v>58</v>
      </c>
      <c r="J774" s="3" t="s">
        <v>60</v>
      </c>
      <c r="L774" s="2" t="s">
        <v>376</v>
      </c>
      <c r="M774" s="3" t="s">
        <v>248</v>
      </c>
      <c r="O774" s="3" t="s">
        <v>65</v>
      </c>
      <c r="P774" s="3" t="s">
        <v>175</v>
      </c>
      <c r="Q774" s="2" t="s">
        <v>10192</v>
      </c>
      <c r="R774" s="3" t="s">
        <v>67</v>
      </c>
      <c r="S774" s="4">
        <v>2</v>
      </c>
      <c r="T774" s="4">
        <v>2</v>
      </c>
      <c r="U774" s="5" t="s">
        <v>10193</v>
      </c>
      <c r="V774" s="5" t="s">
        <v>10193</v>
      </c>
      <c r="W774" s="5" t="s">
        <v>377</v>
      </c>
      <c r="X774" s="5" t="s">
        <v>377</v>
      </c>
      <c r="Y774" s="4">
        <v>312</v>
      </c>
      <c r="Z774" s="4">
        <v>244</v>
      </c>
      <c r="AA774" s="4">
        <v>327</v>
      </c>
      <c r="AB774" s="4">
        <v>2</v>
      </c>
      <c r="AC774" s="4">
        <v>4</v>
      </c>
      <c r="AD774" s="4">
        <v>16</v>
      </c>
      <c r="AE774" s="4">
        <v>21</v>
      </c>
      <c r="AF774" s="4">
        <v>5</v>
      </c>
      <c r="AG774" s="4">
        <v>6</v>
      </c>
      <c r="AH774" s="4">
        <v>4</v>
      </c>
      <c r="AI774" s="4">
        <v>6</v>
      </c>
      <c r="AJ774" s="4">
        <v>6</v>
      </c>
      <c r="AK774" s="4">
        <v>7</v>
      </c>
      <c r="AL774" s="4">
        <v>1</v>
      </c>
      <c r="AM774" s="4">
        <v>3</v>
      </c>
      <c r="AN774" s="4">
        <v>3</v>
      </c>
      <c r="AO774" s="4">
        <v>3</v>
      </c>
      <c r="AP774" s="3" t="s">
        <v>58</v>
      </c>
      <c r="AQ774" s="3" t="s">
        <v>87</v>
      </c>
      <c r="AR774" s="6" t="str">
        <f>HYPERLINK("http://catalog.hathitrust.org/Record/005406879","HathiTrust Record")</f>
        <v>HathiTrust Record</v>
      </c>
      <c r="AS774" s="6" t="str">
        <f>HYPERLINK("https://creighton-primo.hosted.exlibrisgroup.com/primo-explore/search?tab=default_tab&amp;search_scope=EVERYTHING&amp;vid=01CRU&amp;lang=en_US&amp;offset=0&amp;query=any,contains,991005061349702656","Catalog Record")</f>
        <v>Catalog Record</v>
      </c>
      <c r="AT774" s="6" t="str">
        <f>HYPERLINK("http://www.worldcat.org/oclc/65978492","WorldCat Record")</f>
        <v>WorldCat Record</v>
      </c>
      <c r="AU774" s="3" t="s">
        <v>10194</v>
      </c>
      <c r="AV774" s="3" t="s">
        <v>10195</v>
      </c>
      <c r="AW774" s="3" t="s">
        <v>10196</v>
      </c>
      <c r="AX774" s="3" t="s">
        <v>10196</v>
      </c>
      <c r="AY774" s="3" t="s">
        <v>10197</v>
      </c>
      <c r="AZ774" s="3" t="s">
        <v>74</v>
      </c>
      <c r="BB774" s="3" t="s">
        <v>10198</v>
      </c>
      <c r="BC774" s="3" t="s">
        <v>10199</v>
      </c>
      <c r="BD774" s="3" t="s">
        <v>10200</v>
      </c>
    </row>
    <row r="775" spans="1:56" ht="45.75" customHeight="1" x14ac:dyDescent="0.25">
      <c r="A775" s="7" t="s">
        <v>58</v>
      </c>
      <c r="B775" s="2" t="s">
        <v>10201</v>
      </c>
      <c r="C775" s="2" t="s">
        <v>10202</v>
      </c>
      <c r="D775" s="2" t="s">
        <v>10203</v>
      </c>
      <c r="F775" s="3" t="s">
        <v>58</v>
      </c>
      <c r="G775" s="3" t="s">
        <v>59</v>
      </c>
      <c r="H775" s="3" t="s">
        <v>58</v>
      </c>
      <c r="I775" s="3" t="s">
        <v>58</v>
      </c>
      <c r="J775" s="3" t="s">
        <v>60</v>
      </c>
      <c r="K775" s="2" t="s">
        <v>10204</v>
      </c>
      <c r="L775" s="2" t="s">
        <v>1017</v>
      </c>
      <c r="M775" s="3" t="s">
        <v>557</v>
      </c>
      <c r="O775" s="3" t="s">
        <v>65</v>
      </c>
      <c r="P775" s="3" t="s">
        <v>84</v>
      </c>
      <c r="R775" s="3" t="s">
        <v>67</v>
      </c>
      <c r="S775" s="4">
        <v>2</v>
      </c>
      <c r="T775" s="4">
        <v>2</v>
      </c>
      <c r="U775" s="5" t="s">
        <v>10205</v>
      </c>
      <c r="V775" s="5" t="s">
        <v>10205</v>
      </c>
      <c r="W775" s="5" t="s">
        <v>10119</v>
      </c>
      <c r="X775" s="5" t="s">
        <v>10119</v>
      </c>
      <c r="Y775" s="4">
        <v>361</v>
      </c>
      <c r="Z775" s="4">
        <v>296</v>
      </c>
      <c r="AA775" s="4">
        <v>313</v>
      </c>
      <c r="AB775" s="4">
        <v>3</v>
      </c>
      <c r="AC775" s="4">
        <v>3</v>
      </c>
      <c r="AD775" s="4">
        <v>12</v>
      </c>
      <c r="AE775" s="4">
        <v>12</v>
      </c>
      <c r="AF775" s="4">
        <v>5</v>
      </c>
      <c r="AG775" s="4">
        <v>5</v>
      </c>
      <c r="AH775" s="4">
        <v>1</v>
      </c>
      <c r="AI775" s="4">
        <v>1</v>
      </c>
      <c r="AJ775" s="4">
        <v>6</v>
      </c>
      <c r="AK775" s="4">
        <v>6</v>
      </c>
      <c r="AL775" s="4">
        <v>2</v>
      </c>
      <c r="AM775" s="4">
        <v>2</v>
      </c>
      <c r="AN775" s="4">
        <v>0</v>
      </c>
      <c r="AO775" s="4">
        <v>0</v>
      </c>
      <c r="AP775" s="3" t="s">
        <v>58</v>
      </c>
      <c r="AQ775" s="3" t="s">
        <v>58</v>
      </c>
      <c r="AS775" s="6" t="str">
        <f>HYPERLINK("https://creighton-primo.hosted.exlibrisgroup.com/primo-explore/search?tab=default_tab&amp;search_scope=EVERYTHING&amp;vid=01CRU&amp;lang=en_US&amp;offset=0&amp;query=any,contains,991004424349702656","Catalog Record")</f>
        <v>Catalog Record</v>
      </c>
      <c r="AT775" s="6" t="str">
        <f>HYPERLINK("http://www.worldcat.org/oclc/26973873","WorldCat Record")</f>
        <v>WorldCat Record</v>
      </c>
      <c r="AU775" s="3" t="s">
        <v>10206</v>
      </c>
      <c r="AV775" s="3" t="s">
        <v>10207</v>
      </c>
      <c r="AW775" s="3" t="s">
        <v>10208</v>
      </c>
      <c r="AX775" s="3" t="s">
        <v>10208</v>
      </c>
      <c r="AY775" s="3" t="s">
        <v>10209</v>
      </c>
      <c r="AZ775" s="3" t="s">
        <v>74</v>
      </c>
      <c r="BB775" s="3" t="s">
        <v>10210</v>
      </c>
      <c r="BC775" s="3" t="s">
        <v>10211</v>
      </c>
      <c r="BD775" s="3" t="s">
        <v>10212</v>
      </c>
    </row>
    <row r="776" spans="1:56" ht="45.75" customHeight="1" x14ac:dyDescent="0.25">
      <c r="A776" s="7" t="s">
        <v>58</v>
      </c>
      <c r="B776" s="2" t="s">
        <v>10213</v>
      </c>
      <c r="C776" s="2" t="s">
        <v>10214</v>
      </c>
      <c r="D776" s="2" t="s">
        <v>10215</v>
      </c>
      <c r="F776" s="3" t="s">
        <v>58</v>
      </c>
      <c r="G776" s="3" t="s">
        <v>59</v>
      </c>
      <c r="H776" s="3" t="s">
        <v>58</v>
      </c>
      <c r="I776" s="3" t="s">
        <v>58</v>
      </c>
      <c r="J776" s="3" t="s">
        <v>60</v>
      </c>
      <c r="K776" s="2" t="s">
        <v>10216</v>
      </c>
      <c r="L776" s="2" t="s">
        <v>10217</v>
      </c>
      <c r="M776" s="3" t="s">
        <v>937</v>
      </c>
      <c r="O776" s="3" t="s">
        <v>65</v>
      </c>
      <c r="P776" s="3" t="s">
        <v>336</v>
      </c>
      <c r="R776" s="3" t="s">
        <v>67</v>
      </c>
      <c r="S776" s="4">
        <v>16</v>
      </c>
      <c r="T776" s="4">
        <v>16</v>
      </c>
      <c r="U776" s="5" t="s">
        <v>6094</v>
      </c>
      <c r="V776" s="5" t="s">
        <v>6094</v>
      </c>
      <c r="W776" s="5" t="s">
        <v>5890</v>
      </c>
      <c r="X776" s="5" t="s">
        <v>5890</v>
      </c>
      <c r="Y776" s="4">
        <v>606</v>
      </c>
      <c r="Z776" s="4">
        <v>564</v>
      </c>
      <c r="AA776" s="4">
        <v>593</v>
      </c>
      <c r="AB776" s="4">
        <v>6</v>
      </c>
      <c r="AC776" s="4">
        <v>7</v>
      </c>
      <c r="AD776" s="4">
        <v>20</v>
      </c>
      <c r="AE776" s="4">
        <v>22</v>
      </c>
      <c r="AF776" s="4">
        <v>9</v>
      </c>
      <c r="AG776" s="4">
        <v>10</v>
      </c>
      <c r="AH776" s="4">
        <v>4</v>
      </c>
      <c r="AI776" s="4">
        <v>4</v>
      </c>
      <c r="AJ776" s="4">
        <v>7</v>
      </c>
      <c r="AK776" s="4">
        <v>8</v>
      </c>
      <c r="AL776" s="4">
        <v>4</v>
      </c>
      <c r="AM776" s="4">
        <v>5</v>
      </c>
      <c r="AN776" s="4">
        <v>1</v>
      </c>
      <c r="AO776" s="4">
        <v>1</v>
      </c>
      <c r="AP776" s="3" t="s">
        <v>58</v>
      </c>
      <c r="AQ776" s="3" t="s">
        <v>58</v>
      </c>
      <c r="AS776" s="6" t="str">
        <f>HYPERLINK("https://creighton-primo.hosted.exlibrisgroup.com/primo-explore/search?tab=default_tab&amp;search_scope=EVERYTHING&amp;vid=01CRU&amp;lang=en_US&amp;offset=0&amp;query=any,contains,991004313499702656","Catalog Record")</f>
        <v>Catalog Record</v>
      </c>
      <c r="AT776" s="6" t="str">
        <f>HYPERLINK("http://www.worldcat.org/oclc/3002278","WorldCat Record")</f>
        <v>WorldCat Record</v>
      </c>
      <c r="AU776" s="3" t="s">
        <v>10218</v>
      </c>
      <c r="AV776" s="3" t="s">
        <v>10219</v>
      </c>
      <c r="AW776" s="3" t="s">
        <v>10220</v>
      </c>
      <c r="AX776" s="3" t="s">
        <v>10220</v>
      </c>
      <c r="AY776" s="3" t="s">
        <v>10221</v>
      </c>
      <c r="AZ776" s="3" t="s">
        <v>74</v>
      </c>
      <c r="BB776" s="3" t="s">
        <v>10222</v>
      </c>
      <c r="BC776" s="3" t="s">
        <v>10223</v>
      </c>
      <c r="BD776" s="3" t="s">
        <v>10224</v>
      </c>
    </row>
    <row r="777" spans="1:56" ht="45.75" customHeight="1" x14ac:dyDescent="0.25">
      <c r="A777" s="7" t="s">
        <v>58</v>
      </c>
      <c r="B777" s="2" t="s">
        <v>10225</v>
      </c>
      <c r="C777" s="2" t="s">
        <v>10226</v>
      </c>
      <c r="D777" s="2" t="s">
        <v>10227</v>
      </c>
      <c r="F777" s="3" t="s">
        <v>58</v>
      </c>
      <c r="G777" s="3" t="s">
        <v>59</v>
      </c>
      <c r="H777" s="3" t="s">
        <v>58</v>
      </c>
      <c r="I777" s="3" t="s">
        <v>58</v>
      </c>
      <c r="J777" s="3" t="s">
        <v>60</v>
      </c>
      <c r="K777" s="2" t="s">
        <v>10228</v>
      </c>
      <c r="L777" s="2" t="s">
        <v>10229</v>
      </c>
      <c r="M777" s="3" t="s">
        <v>742</v>
      </c>
      <c r="N777" s="2" t="s">
        <v>543</v>
      </c>
      <c r="O777" s="3" t="s">
        <v>65</v>
      </c>
      <c r="P777" s="3" t="s">
        <v>84</v>
      </c>
      <c r="R777" s="3" t="s">
        <v>67</v>
      </c>
      <c r="S777" s="4">
        <v>17</v>
      </c>
      <c r="T777" s="4">
        <v>17</v>
      </c>
      <c r="U777" s="5" t="s">
        <v>420</v>
      </c>
      <c r="V777" s="5" t="s">
        <v>420</v>
      </c>
      <c r="W777" s="5" t="s">
        <v>10230</v>
      </c>
      <c r="X777" s="5" t="s">
        <v>10230</v>
      </c>
      <c r="Y777" s="4">
        <v>1146</v>
      </c>
      <c r="Z777" s="4">
        <v>1072</v>
      </c>
      <c r="AA777" s="4">
        <v>1250</v>
      </c>
      <c r="AB777" s="4">
        <v>6</v>
      </c>
      <c r="AC777" s="4">
        <v>7</v>
      </c>
      <c r="AD777" s="4">
        <v>32</v>
      </c>
      <c r="AE777" s="4">
        <v>36</v>
      </c>
      <c r="AF777" s="4">
        <v>9</v>
      </c>
      <c r="AG777" s="4">
        <v>9</v>
      </c>
      <c r="AH777" s="4">
        <v>8</v>
      </c>
      <c r="AI777" s="4">
        <v>8</v>
      </c>
      <c r="AJ777" s="4">
        <v>10</v>
      </c>
      <c r="AK777" s="4">
        <v>13</v>
      </c>
      <c r="AL777" s="4">
        <v>4</v>
      </c>
      <c r="AM777" s="4">
        <v>4</v>
      </c>
      <c r="AN777" s="4">
        <v>8</v>
      </c>
      <c r="AO777" s="4">
        <v>9</v>
      </c>
      <c r="AP777" s="3" t="s">
        <v>58</v>
      </c>
      <c r="AQ777" s="3" t="s">
        <v>58</v>
      </c>
      <c r="AS777" s="6" t="str">
        <f>HYPERLINK("https://creighton-primo.hosted.exlibrisgroup.com/primo-explore/search?tab=default_tab&amp;search_scope=EVERYTHING&amp;vid=01CRU&amp;lang=en_US&amp;offset=0&amp;query=any,contains,991001503009702656","Catalog Record")</f>
        <v>Catalog Record</v>
      </c>
      <c r="AT777" s="6" t="str">
        <f>HYPERLINK("http://www.worldcat.org/oclc/19814520","WorldCat Record")</f>
        <v>WorldCat Record</v>
      </c>
      <c r="AU777" s="3" t="s">
        <v>10231</v>
      </c>
      <c r="AV777" s="3" t="s">
        <v>10232</v>
      </c>
      <c r="AW777" s="3" t="s">
        <v>10233</v>
      </c>
      <c r="AX777" s="3" t="s">
        <v>10233</v>
      </c>
      <c r="AY777" s="3" t="s">
        <v>10234</v>
      </c>
      <c r="AZ777" s="3" t="s">
        <v>74</v>
      </c>
      <c r="BB777" s="3" t="s">
        <v>10235</v>
      </c>
      <c r="BC777" s="3" t="s">
        <v>10236</v>
      </c>
      <c r="BD777" s="3" t="s">
        <v>10237</v>
      </c>
    </row>
    <row r="778" spans="1:56" ht="45.75" customHeight="1" x14ac:dyDescent="0.25">
      <c r="A778" s="7" t="s">
        <v>58</v>
      </c>
      <c r="B778" s="2" t="s">
        <v>10238</v>
      </c>
      <c r="C778" s="2" t="s">
        <v>10239</v>
      </c>
      <c r="D778" s="2" t="s">
        <v>10240</v>
      </c>
      <c r="F778" s="3" t="s">
        <v>58</v>
      </c>
      <c r="G778" s="3" t="s">
        <v>59</v>
      </c>
      <c r="H778" s="3" t="s">
        <v>58</v>
      </c>
      <c r="I778" s="3" t="s">
        <v>58</v>
      </c>
      <c r="J778" s="3" t="s">
        <v>60</v>
      </c>
      <c r="K778" s="2" t="s">
        <v>10241</v>
      </c>
      <c r="L778" s="2" t="s">
        <v>10242</v>
      </c>
      <c r="M778" s="3" t="s">
        <v>528</v>
      </c>
      <c r="O778" s="3" t="s">
        <v>65</v>
      </c>
      <c r="P778" s="3" t="s">
        <v>101</v>
      </c>
      <c r="R778" s="3" t="s">
        <v>67</v>
      </c>
      <c r="S778" s="4">
        <v>19</v>
      </c>
      <c r="T778" s="4">
        <v>19</v>
      </c>
      <c r="U778" s="5" t="s">
        <v>10243</v>
      </c>
      <c r="V778" s="5" t="s">
        <v>10243</v>
      </c>
      <c r="W778" s="5" t="s">
        <v>7353</v>
      </c>
      <c r="X778" s="5" t="s">
        <v>7353</v>
      </c>
      <c r="Y778" s="4">
        <v>449</v>
      </c>
      <c r="Z778" s="4">
        <v>335</v>
      </c>
      <c r="AA778" s="4">
        <v>391</v>
      </c>
      <c r="AB778" s="4">
        <v>5</v>
      </c>
      <c r="AC778" s="4">
        <v>5</v>
      </c>
      <c r="AD778" s="4">
        <v>20</v>
      </c>
      <c r="AE778" s="4">
        <v>25</v>
      </c>
      <c r="AF778" s="4">
        <v>4</v>
      </c>
      <c r="AG778" s="4">
        <v>9</v>
      </c>
      <c r="AH778" s="4">
        <v>4</v>
      </c>
      <c r="AI778" s="4">
        <v>5</v>
      </c>
      <c r="AJ778" s="4">
        <v>11</v>
      </c>
      <c r="AK778" s="4">
        <v>12</v>
      </c>
      <c r="AL778" s="4">
        <v>4</v>
      </c>
      <c r="AM778" s="4">
        <v>4</v>
      </c>
      <c r="AN778" s="4">
        <v>3</v>
      </c>
      <c r="AO778" s="4">
        <v>3</v>
      </c>
      <c r="AP778" s="3" t="s">
        <v>58</v>
      </c>
      <c r="AQ778" s="3" t="s">
        <v>58</v>
      </c>
      <c r="AS778" s="6" t="str">
        <f>HYPERLINK("https://creighton-primo.hosted.exlibrisgroup.com/primo-explore/search?tab=default_tab&amp;search_scope=EVERYTHING&amp;vid=01CRU&amp;lang=en_US&amp;offset=0&amp;query=any,contains,991001715349702656","Catalog Record")</f>
        <v>Catalog Record</v>
      </c>
      <c r="AT778" s="6" t="str">
        <f>HYPERLINK("http://www.worldcat.org/oclc/27816008","WorldCat Record")</f>
        <v>WorldCat Record</v>
      </c>
      <c r="AU778" s="3" t="s">
        <v>10244</v>
      </c>
      <c r="AV778" s="3" t="s">
        <v>10245</v>
      </c>
      <c r="AW778" s="3" t="s">
        <v>10246</v>
      </c>
      <c r="AX778" s="3" t="s">
        <v>10246</v>
      </c>
      <c r="AY778" s="3" t="s">
        <v>10247</v>
      </c>
      <c r="AZ778" s="3" t="s">
        <v>74</v>
      </c>
      <c r="BB778" s="3" t="s">
        <v>10248</v>
      </c>
      <c r="BC778" s="3" t="s">
        <v>10249</v>
      </c>
      <c r="BD778" s="3" t="s">
        <v>10250</v>
      </c>
    </row>
    <row r="779" spans="1:56" ht="45.75" customHeight="1" x14ac:dyDescent="0.25">
      <c r="A779" s="7" t="s">
        <v>58</v>
      </c>
      <c r="B779" s="2" t="s">
        <v>10251</v>
      </c>
      <c r="C779" s="2" t="s">
        <v>10252</v>
      </c>
      <c r="D779" s="2" t="s">
        <v>10253</v>
      </c>
      <c r="F779" s="3" t="s">
        <v>58</v>
      </c>
      <c r="G779" s="3" t="s">
        <v>59</v>
      </c>
      <c r="H779" s="3" t="s">
        <v>58</v>
      </c>
      <c r="I779" s="3" t="s">
        <v>58</v>
      </c>
      <c r="J779" s="3" t="s">
        <v>60</v>
      </c>
      <c r="K779" s="2" t="s">
        <v>10254</v>
      </c>
      <c r="L779" s="2" t="s">
        <v>10255</v>
      </c>
      <c r="M779" s="3" t="s">
        <v>220</v>
      </c>
      <c r="O779" s="3" t="s">
        <v>65</v>
      </c>
      <c r="P779" s="3" t="s">
        <v>84</v>
      </c>
      <c r="R779" s="3" t="s">
        <v>67</v>
      </c>
      <c r="S779" s="4">
        <v>7</v>
      </c>
      <c r="T779" s="4">
        <v>7</v>
      </c>
      <c r="U779" s="5" t="s">
        <v>10256</v>
      </c>
      <c r="V779" s="5" t="s">
        <v>10256</v>
      </c>
      <c r="W779" s="5" t="s">
        <v>10257</v>
      </c>
      <c r="X779" s="5" t="s">
        <v>10257</v>
      </c>
      <c r="Y779" s="4">
        <v>92</v>
      </c>
      <c r="Z779" s="4">
        <v>78</v>
      </c>
      <c r="AA779" s="4">
        <v>79</v>
      </c>
      <c r="AB779" s="4">
        <v>1</v>
      </c>
      <c r="AC779" s="4">
        <v>1</v>
      </c>
      <c r="AD779" s="4">
        <v>0</v>
      </c>
      <c r="AE779" s="4">
        <v>0</v>
      </c>
      <c r="AF779" s="4">
        <v>0</v>
      </c>
      <c r="AG779" s="4">
        <v>0</v>
      </c>
      <c r="AH779" s="4">
        <v>0</v>
      </c>
      <c r="AI779" s="4">
        <v>0</v>
      </c>
      <c r="AJ779" s="4">
        <v>0</v>
      </c>
      <c r="AK779" s="4">
        <v>0</v>
      </c>
      <c r="AL779" s="4">
        <v>0</v>
      </c>
      <c r="AM779" s="4">
        <v>0</v>
      </c>
      <c r="AN779" s="4">
        <v>0</v>
      </c>
      <c r="AO779" s="4">
        <v>0</v>
      </c>
      <c r="AP779" s="3" t="s">
        <v>58</v>
      </c>
      <c r="AQ779" s="3" t="s">
        <v>58</v>
      </c>
      <c r="AS779" s="6" t="str">
        <f>HYPERLINK("https://creighton-primo.hosted.exlibrisgroup.com/primo-explore/search?tab=default_tab&amp;search_scope=EVERYTHING&amp;vid=01CRU&amp;lang=en_US&amp;offset=0&amp;query=any,contains,991003026449702656","Catalog Record")</f>
        <v>Catalog Record</v>
      </c>
      <c r="AT779" s="6" t="str">
        <f>HYPERLINK("http://www.worldcat.org/oclc/41347095","WorldCat Record")</f>
        <v>WorldCat Record</v>
      </c>
      <c r="AU779" s="3" t="s">
        <v>10258</v>
      </c>
      <c r="AV779" s="3" t="s">
        <v>10259</v>
      </c>
      <c r="AW779" s="3" t="s">
        <v>10260</v>
      </c>
      <c r="AX779" s="3" t="s">
        <v>10260</v>
      </c>
      <c r="AY779" s="3" t="s">
        <v>10261</v>
      </c>
      <c r="AZ779" s="3" t="s">
        <v>74</v>
      </c>
      <c r="BB779" s="3" t="s">
        <v>10262</v>
      </c>
      <c r="BC779" s="3" t="s">
        <v>10263</v>
      </c>
      <c r="BD779" s="3" t="s">
        <v>10264</v>
      </c>
    </row>
    <row r="780" spans="1:56" ht="45.75" customHeight="1" x14ac:dyDescent="0.25">
      <c r="A780" s="7" t="s">
        <v>58</v>
      </c>
      <c r="B780" s="2" t="s">
        <v>10265</v>
      </c>
      <c r="C780" s="2" t="s">
        <v>10266</v>
      </c>
      <c r="D780" s="2" t="s">
        <v>10267</v>
      </c>
      <c r="F780" s="3" t="s">
        <v>58</v>
      </c>
      <c r="G780" s="3" t="s">
        <v>59</v>
      </c>
      <c r="H780" s="3" t="s">
        <v>58</v>
      </c>
      <c r="I780" s="3" t="s">
        <v>58</v>
      </c>
      <c r="J780" s="3" t="s">
        <v>60</v>
      </c>
      <c r="K780" s="2" t="s">
        <v>10268</v>
      </c>
      <c r="L780" s="2" t="s">
        <v>10269</v>
      </c>
      <c r="M780" s="3" t="s">
        <v>147</v>
      </c>
      <c r="O780" s="3" t="s">
        <v>65</v>
      </c>
      <c r="P780" s="3" t="s">
        <v>84</v>
      </c>
      <c r="R780" s="3" t="s">
        <v>67</v>
      </c>
      <c r="S780" s="4">
        <v>1</v>
      </c>
      <c r="T780" s="4">
        <v>1</v>
      </c>
      <c r="U780" s="5" t="s">
        <v>10270</v>
      </c>
      <c r="V780" s="5" t="s">
        <v>10270</v>
      </c>
      <c r="W780" s="5" t="s">
        <v>10270</v>
      </c>
      <c r="X780" s="5" t="s">
        <v>10270</v>
      </c>
      <c r="Y780" s="4">
        <v>1059</v>
      </c>
      <c r="Z780" s="4">
        <v>997</v>
      </c>
      <c r="AA780" s="4">
        <v>1161</v>
      </c>
      <c r="AB780" s="4">
        <v>8</v>
      </c>
      <c r="AC780" s="4">
        <v>16</v>
      </c>
      <c r="AD780" s="4">
        <v>7</v>
      </c>
      <c r="AE780" s="4">
        <v>9</v>
      </c>
      <c r="AF780" s="4">
        <v>1</v>
      </c>
      <c r="AG780" s="4">
        <v>2</v>
      </c>
      <c r="AH780" s="4">
        <v>2</v>
      </c>
      <c r="AI780" s="4">
        <v>2</v>
      </c>
      <c r="AJ780" s="4">
        <v>3</v>
      </c>
      <c r="AK780" s="4">
        <v>3</v>
      </c>
      <c r="AL780" s="4">
        <v>2</v>
      </c>
      <c r="AM780" s="4">
        <v>3</v>
      </c>
      <c r="AN780" s="4">
        <v>1</v>
      </c>
      <c r="AO780" s="4">
        <v>1</v>
      </c>
      <c r="AP780" s="3" t="s">
        <v>58</v>
      </c>
      <c r="AQ780" s="3" t="s">
        <v>87</v>
      </c>
      <c r="AR780" s="6" t="str">
        <f>HYPERLINK("http://catalog.hathitrust.org/Record/009927359","HathiTrust Record")</f>
        <v>HathiTrust Record</v>
      </c>
      <c r="AS780" s="6" t="str">
        <f>HYPERLINK("https://creighton-primo.hosted.exlibrisgroup.com/primo-explore/search?tab=default_tab&amp;search_scope=EVERYTHING&amp;vid=01CRU&amp;lang=en_US&amp;offset=0&amp;query=any,contains,991004406369702656","Catalog Record")</f>
        <v>Catalog Record</v>
      </c>
      <c r="AT780" s="6" t="str">
        <f>HYPERLINK("http://www.worldcat.org/oclc/53330882","WorldCat Record")</f>
        <v>WorldCat Record</v>
      </c>
      <c r="AU780" s="3" t="s">
        <v>10271</v>
      </c>
      <c r="AV780" s="3" t="s">
        <v>10272</v>
      </c>
      <c r="AW780" s="3" t="s">
        <v>10273</v>
      </c>
      <c r="AX780" s="3" t="s">
        <v>10273</v>
      </c>
      <c r="AY780" s="3" t="s">
        <v>10274</v>
      </c>
      <c r="AZ780" s="3" t="s">
        <v>74</v>
      </c>
      <c r="BB780" s="3" t="s">
        <v>10275</v>
      </c>
      <c r="BC780" s="3" t="s">
        <v>10276</v>
      </c>
      <c r="BD780" s="3" t="s">
        <v>10277</v>
      </c>
    </row>
    <row r="781" spans="1:56" ht="45.75" customHeight="1" x14ac:dyDescent="0.25">
      <c r="A781" s="7" t="s">
        <v>58</v>
      </c>
      <c r="B781" s="2" t="s">
        <v>10278</v>
      </c>
      <c r="C781" s="2" t="s">
        <v>10279</v>
      </c>
      <c r="D781" s="2" t="s">
        <v>10280</v>
      </c>
      <c r="F781" s="3" t="s">
        <v>58</v>
      </c>
      <c r="G781" s="3" t="s">
        <v>59</v>
      </c>
      <c r="H781" s="3" t="s">
        <v>58</v>
      </c>
      <c r="I781" s="3" t="s">
        <v>58</v>
      </c>
      <c r="J781" s="3" t="s">
        <v>60</v>
      </c>
      <c r="L781" s="2" t="s">
        <v>10281</v>
      </c>
      <c r="M781" s="3" t="s">
        <v>147</v>
      </c>
      <c r="O781" s="3" t="s">
        <v>65</v>
      </c>
      <c r="P781" s="3" t="s">
        <v>363</v>
      </c>
      <c r="R781" s="3" t="s">
        <v>67</v>
      </c>
      <c r="S781" s="4">
        <v>2</v>
      </c>
      <c r="T781" s="4">
        <v>2</v>
      </c>
      <c r="U781" s="5" t="s">
        <v>10282</v>
      </c>
      <c r="V781" s="5" t="s">
        <v>10282</v>
      </c>
      <c r="W781" s="5" t="s">
        <v>10282</v>
      </c>
      <c r="X781" s="5" t="s">
        <v>10282</v>
      </c>
      <c r="Y781" s="4">
        <v>77</v>
      </c>
      <c r="Z781" s="4">
        <v>67</v>
      </c>
      <c r="AA781" s="4">
        <v>69</v>
      </c>
      <c r="AB781" s="4">
        <v>1</v>
      </c>
      <c r="AC781" s="4">
        <v>1</v>
      </c>
      <c r="AD781" s="4">
        <v>3</v>
      </c>
      <c r="AE781" s="4">
        <v>3</v>
      </c>
      <c r="AF781" s="4">
        <v>1</v>
      </c>
      <c r="AG781" s="4">
        <v>1</v>
      </c>
      <c r="AH781" s="4">
        <v>2</v>
      </c>
      <c r="AI781" s="4">
        <v>2</v>
      </c>
      <c r="AJ781" s="4">
        <v>2</v>
      </c>
      <c r="AK781" s="4">
        <v>2</v>
      </c>
      <c r="AL781" s="4">
        <v>0</v>
      </c>
      <c r="AM781" s="4">
        <v>0</v>
      </c>
      <c r="AN781" s="4">
        <v>0</v>
      </c>
      <c r="AO781" s="4">
        <v>0</v>
      </c>
      <c r="AP781" s="3" t="s">
        <v>58</v>
      </c>
      <c r="AQ781" s="3" t="s">
        <v>87</v>
      </c>
      <c r="AR781" s="6" t="str">
        <f>HYPERLINK("http://catalog.hathitrust.org/Record/004720390","HathiTrust Record")</f>
        <v>HathiTrust Record</v>
      </c>
      <c r="AS781" s="6" t="str">
        <f>HYPERLINK("https://creighton-primo.hosted.exlibrisgroup.com/primo-explore/search?tab=default_tab&amp;search_scope=EVERYTHING&amp;vid=01CRU&amp;lang=en_US&amp;offset=0&amp;query=any,contains,991004470179702656","Catalog Record")</f>
        <v>Catalog Record</v>
      </c>
      <c r="AT781" s="6" t="str">
        <f>HYPERLINK("http://www.worldcat.org/oclc/55591785","WorldCat Record")</f>
        <v>WorldCat Record</v>
      </c>
      <c r="AU781" s="3" t="s">
        <v>10283</v>
      </c>
      <c r="AV781" s="3" t="s">
        <v>10284</v>
      </c>
      <c r="AW781" s="3" t="s">
        <v>10285</v>
      </c>
      <c r="AX781" s="3" t="s">
        <v>10285</v>
      </c>
      <c r="AY781" s="3" t="s">
        <v>10286</v>
      </c>
      <c r="AZ781" s="3" t="s">
        <v>74</v>
      </c>
      <c r="BB781" s="3" t="s">
        <v>10287</v>
      </c>
      <c r="BC781" s="3" t="s">
        <v>10288</v>
      </c>
      <c r="BD781" s="3" t="s">
        <v>10289</v>
      </c>
    </row>
    <row r="782" spans="1:56" ht="45.75" customHeight="1" x14ac:dyDescent="0.25">
      <c r="A782" s="7" t="s">
        <v>58</v>
      </c>
      <c r="B782" s="2" t="s">
        <v>10290</v>
      </c>
      <c r="C782" s="2" t="s">
        <v>10291</v>
      </c>
      <c r="D782" s="2" t="s">
        <v>10292</v>
      </c>
      <c r="F782" s="3" t="s">
        <v>58</v>
      </c>
      <c r="G782" s="3" t="s">
        <v>59</v>
      </c>
      <c r="H782" s="3" t="s">
        <v>58</v>
      </c>
      <c r="I782" s="3" t="s">
        <v>58</v>
      </c>
      <c r="J782" s="3" t="s">
        <v>60</v>
      </c>
      <c r="K782" s="2" t="s">
        <v>10293</v>
      </c>
      <c r="L782" s="2" t="s">
        <v>6712</v>
      </c>
      <c r="M782" s="3" t="s">
        <v>147</v>
      </c>
      <c r="O782" s="3" t="s">
        <v>65</v>
      </c>
      <c r="P782" s="3" t="s">
        <v>587</v>
      </c>
      <c r="Q782" s="2" t="s">
        <v>10294</v>
      </c>
      <c r="R782" s="3" t="s">
        <v>67</v>
      </c>
      <c r="S782" s="4">
        <v>1</v>
      </c>
      <c r="T782" s="4">
        <v>1</v>
      </c>
      <c r="U782" s="5" t="s">
        <v>9270</v>
      </c>
      <c r="V782" s="5" t="s">
        <v>9270</v>
      </c>
      <c r="W782" s="5" t="s">
        <v>6714</v>
      </c>
      <c r="X782" s="5" t="s">
        <v>6714</v>
      </c>
      <c r="Y782" s="4">
        <v>473</v>
      </c>
      <c r="Z782" s="4">
        <v>419</v>
      </c>
      <c r="AA782" s="4">
        <v>1322</v>
      </c>
      <c r="AB782" s="4">
        <v>4</v>
      </c>
      <c r="AC782" s="4">
        <v>33</v>
      </c>
      <c r="AD782" s="4">
        <v>21</v>
      </c>
      <c r="AE782" s="4">
        <v>45</v>
      </c>
      <c r="AF782" s="4">
        <v>7</v>
      </c>
      <c r="AG782" s="4">
        <v>15</v>
      </c>
      <c r="AH782" s="4">
        <v>5</v>
      </c>
      <c r="AI782" s="4">
        <v>7</v>
      </c>
      <c r="AJ782" s="4">
        <v>8</v>
      </c>
      <c r="AK782" s="4">
        <v>12</v>
      </c>
      <c r="AL782" s="4">
        <v>3</v>
      </c>
      <c r="AM782" s="4">
        <v>14</v>
      </c>
      <c r="AN782" s="4">
        <v>2</v>
      </c>
      <c r="AO782" s="4">
        <v>3</v>
      </c>
      <c r="AP782" s="3" t="s">
        <v>58</v>
      </c>
      <c r="AQ782" s="3" t="s">
        <v>87</v>
      </c>
      <c r="AR782" s="6" t="str">
        <f>HYPERLINK("http://catalog.hathitrust.org/Record/004768343","HathiTrust Record")</f>
        <v>HathiTrust Record</v>
      </c>
      <c r="AS782" s="6" t="str">
        <f>HYPERLINK("https://creighton-primo.hosted.exlibrisgroup.com/primo-explore/search?tab=default_tab&amp;search_scope=EVERYTHING&amp;vid=01CRU&amp;lang=en_US&amp;offset=0&amp;query=any,contains,991004736709702656","Catalog Record")</f>
        <v>Catalog Record</v>
      </c>
      <c r="AT782" s="6" t="str">
        <f>HYPERLINK("http://www.worldcat.org/oclc/53038453","WorldCat Record")</f>
        <v>WorldCat Record</v>
      </c>
      <c r="AU782" s="3" t="s">
        <v>10295</v>
      </c>
      <c r="AV782" s="3" t="s">
        <v>10296</v>
      </c>
      <c r="AW782" s="3" t="s">
        <v>10297</v>
      </c>
      <c r="AX782" s="3" t="s">
        <v>10297</v>
      </c>
      <c r="AY782" s="3" t="s">
        <v>10298</v>
      </c>
      <c r="AZ782" s="3" t="s">
        <v>74</v>
      </c>
      <c r="BB782" s="3" t="s">
        <v>10299</v>
      </c>
      <c r="BC782" s="3" t="s">
        <v>10300</v>
      </c>
      <c r="BD782" s="3" t="s">
        <v>10301</v>
      </c>
    </row>
    <row r="783" spans="1:56" ht="45.75" customHeight="1" x14ac:dyDescent="0.25">
      <c r="A783" s="7" t="s">
        <v>58</v>
      </c>
      <c r="B783" s="2" t="s">
        <v>10302</v>
      </c>
      <c r="C783" s="2" t="s">
        <v>10303</v>
      </c>
      <c r="D783" s="2" t="s">
        <v>10304</v>
      </c>
      <c r="F783" s="3" t="s">
        <v>58</v>
      </c>
      <c r="G783" s="3" t="s">
        <v>59</v>
      </c>
      <c r="H783" s="3" t="s">
        <v>58</v>
      </c>
      <c r="I783" s="3" t="s">
        <v>58</v>
      </c>
      <c r="J783" s="3" t="s">
        <v>60</v>
      </c>
      <c r="L783" s="2" t="s">
        <v>10305</v>
      </c>
      <c r="M783" s="3" t="s">
        <v>63</v>
      </c>
      <c r="O783" s="3" t="s">
        <v>65</v>
      </c>
      <c r="P783" s="3" t="s">
        <v>772</v>
      </c>
      <c r="R783" s="3" t="s">
        <v>67</v>
      </c>
      <c r="S783" s="4">
        <v>1</v>
      </c>
      <c r="T783" s="4">
        <v>1</v>
      </c>
      <c r="U783" s="5" t="s">
        <v>10306</v>
      </c>
      <c r="V783" s="5" t="s">
        <v>10306</v>
      </c>
      <c r="W783" s="5" t="s">
        <v>10306</v>
      </c>
      <c r="X783" s="5" t="s">
        <v>10306</v>
      </c>
      <c r="Y783" s="4">
        <v>263</v>
      </c>
      <c r="Z783" s="4">
        <v>220</v>
      </c>
      <c r="AA783" s="4">
        <v>240</v>
      </c>
      <c r="AB783" s="4">
        <v>2</v>
      </c>
      <c r="AC783" s="4">
        <v>2</v>
      </c>
      <c r="AD783" s="4">
        <v>11</v>
      </c>
      <c r="AE783" s="4">
        <v>11</v>
      </c>
      <c r="AF783" s="4">
        <v>1</v>
      </c>
      <c r="AG783" s="4">
        <v>1</v>
      </c>
      <c r="AH783" s="4">
        <v>5</v>
      </c>
      <c r="AI783" s="4">
        <v>5</v>
      </c>
      <c r="AJ783" s="4">
        <v>7</v>
      </c>
      <c r="AK783" s="4">
        <v>7</v>
      </c>
      <c r="AL783" s="4">
        <v>1</v>
      </c>
      <c r="AM783" s="4">
        <v>1</v>
      </c>
      <c r="AN783" s="4">
        <v>0</v>
      </c>
      <c r="AO783" s="4">
        <v>0</v>
      </c>
      <c r="AP783" s="3" t="s">
        <v>58</v>
      </c>
      <c r="AQ783" s="3" t="s">
        <v>87</v>
      </c>
      <c r="AR783" s="6" t="str">
        <f>HYPERLINK("http://catalog.hathitrust.org/Record/005082552","HathiTrust Record")</f>
        <v>HathiTrust Record</v>
      </c>
      <c r="AS783" s="6" t="str">
        <f>HYPERLINK("https://creighton-primo.hosted.exlibrisgroup.com/primo-explore/search?tab=default_tab&amp;search_scope=EVERYTHING&amp;vid=01CRU&amp;lang=en_US&amp;offset=0&amp;query=any,contains,991004689319702656","Catalog Record")</f>
        <v>Catalog Record</v>
      </c>
      <c r="AT783" s="6" t="str">
        <f>HYPERLINK("http://www.worldcat.org/oclc/60028964","WorldCat Record")</f>
        <v>WorldCat Record</v>
      </c>
      <c r="AU783" s="3" t="s">
        <v>10307</v>
      </c>
      <c r="AV783" s="3" t="s">
        <v>10308</v>
      </c>
      <c r="AW783" s="3" t="s">
        <v>10309</v>
      </c>
      <c r="AX783" s="3" t="s">
        <v>10309</v>
      </c>
      <c r="AY783" s="3" t="s">
        <v>10310</v>
      </c>
      <c r="AZ783" s="3" t="s">
        <v>74</v>
      </c>
      <c r="BB783" s="3" t="s">
        <v>10311</v>
      </c>
      <c r="BC783" s="3" t="s">
        <v>10312</v>
      </c>
      <c r="BD783" s="3" t="s">
        <v>10313</v>
      </c>
    </row>
    <row r="784" spans="1:56" ht="45.75" customHeight="1" x14ac:dyDescent="0.25">
      <c r="A784" s="7" t="s">
        <v>58</v>
      </c>
      <c r="B784" s="2" t="s">
        <v>10314</v>
      </c>
      <c r="C784" s="2" t="s">
        <v>10315</v>
      </c>
      <c r="D784" s="2" t="s">
        <v>10316</v>
      </c>
      <c r="F784" s="3" t="s">
        <v>58</v>
      </c>
      <c r="G784" s="3" t="s">
        <v>59</v>
      </c>
      <c r="H784" s="3" t="s">
        <v>58</v>
      </c>
      <c r="I784" s="3" t="s">
        <v>58</v>
      </c>
      <c r="J784" s="3" t="s">
        <v>60</v>
      </c>
      <c r="K784" s="2" t="s">
        <v>10317</v>
      </c>
      <c r="L784" s="2" t="s">
        <v>10318</v>
      </c>
      <c r="M784" s="3" t="s">
        <v>307</v>
      </c>
      <c r="O784" s="3" t="s">
        <v>65</v>
      </c>
      <c r="P784" s="3" t="s">
        <v>84</v>
      </c>
      <c r="R784" s="3" t="s">
        <v>67</v>
      </c>
      <c r="S784" s="4">
        <v>8</v>
      </c>
      <c r="T784" s="4">
        <v>8</v>
      </c>
      <c r="U784" s="5" t="s">
        <v>10319</v>
      </c>
      <c r="V784" s="5" t="s">
        <v>10319</v>
      </c>
      <c r="W784" s="5" t="s">
        <v>10320</v>
      </c>
      <c r="X784" s="5" t="s">
        <v>10320</v>
      </c>
      <c r="Y784" s="4">
        <v>1334</v>
      </c>
      <c r="Z784" s="4">
        <v>1236</v>
      </c>
      <c r="AA784" s="4">
        <v>1255</v>
      </c>
      <c r="AB784" s="4">
        <v>6</v>
      </c>
      <c r="AC784" s="4">
        <v>6</v>
      </c>
      <c r="AD784" s="4">
        <v>34</v>
      </c>
      <c r="AE784" s="4">
        <v>34</v>
      </c>
      <c r="AF784" s="4">
        <v>14</v>
      </c>
      <c r="AG784" s="4">
        <v>14</v>
      </c>
      <c r="AH784" s="4">
        <v>5</v>
      </c>
      <c r="AI784" s="4">
        <v>5</v>
      </c>
      <c r="AJ784" s="4">
        <v>14</v>
      </c>
      <c r="AK784" s="4">
        <v>14</v>
      </c>
      <c r="AL784" s="4">
        <v>4</v>
      </c>
      <c r="AM784" s="4">
        <v>4</v>
      </c>
      <c r="AN784" s="4">
        <v>4</v>
      </c>
      <c r="AO784" s="4">
        <v>4</v>
      </c>
      <c r="AP784" s="3" t="s">
        <v>58</v>
      </c>
      <c r="AQ784" s="3" t="s">
        <v>87</v>
      </c>
      <c r="AR784" s="6" t="str">
        <f>HYPERLINK("http://catalog.hathitrust.org/Record/003012089","HathiTrust Record")</f>
        <v>HathiTrust Record</v>
      </c>
      <c r="AS784" s="6" t="str">
        <f>HYPERLINK("https://creighton-primo.hosted.exlibrisgroup.com/primo-explore/search?tab=default_tab&amp;search_scope=EVERYTHING&amp;vid=01CRU&amp;lang=en_US&amp;offset=0&amp;query=any,contains,991002509199702656","Catalog Record")</f>
        <v>Catalog Record</v>
      </c>
      <c r="AT784" s="6" t="str">
        <f>HYPERLINK("http://www.worldcat.org/oclc/32626430","WorldCat Record")</f>
        <v>WorldCat Record</v>
      </c>
      <c r="AU784" s="3" t="s">
        <v>10321</v>
      </c>
      <c r="AV784" s="3" t="s">
        <v>10322</v>
      </c>
      <c r="AW784" s="3" t="s">
        <v>10323</v>
      </c>
      <c r="AX784" s="3" t="s">
        <v>10323</v>
      </c>
      <c r="AY784" s="3" t="s">
        <v>10324</v>
      </c>
      <c r="AZ784" s="3" t="s">
        <v>74</v>
      </c>
      <c r="BB784" s="3" t="s">
        <v>10325</v>
      </c>
      <c r="BC784" s="3" t="s">
        <v>10326</v>
      </c>
      <c r="BD784" s="3" t="s">
        <v>10327</v>
      </c>
    </row>
    <row r="785" spans="1:56" ht="45.75" customHeight="1" x14ac:dyDescent="0.25">
      <c r="A785" s="7" t="s">
        <v>58</v>
      </c>
      <c r="B785" s="2" t="s">
        <v>10328</v>
      </c>
      <c r="C785" s="2" t="s">
        <v>10329</v>
      </c>
      <c r="D785" s="2" t="s">
        <v>10330</v>
      </c>
      <c r="F785" s="3" t="s">
        <v>58</v>
      </c>
      <c r="G785" s="3" t="s">
        <v>59</v>
      </c>
      <c r="H785" s="3" t="s">
        <v>58</v>
      </c>
      <c r="I785" s="3" t="s">
        <v>58</v>
      </c>
      <c r="J785" s="3" t="s">
        <v>60</v>
      </c>
      <c r="L785" s="2" t="s">
        <v>10331</v>
      </c>
      <c r="M785" s="3" t="s">
        <v>1032</v>
      </c>
      <c r="O785" s="3" t="s">
        <v>65</v>
      </c>
      <c r="P785" s="3" t="s">
        <v>772</v>
      </c>
      <c r="R785" s="3" t="s">
        <v>67</v>
      </c>
      <c r="S785" s="4">
        <v>9</v>
      </c>
      <c r="T785" s="4">
        <v>9</v>
      </c>
      <c r="U785" s="5" t="s">
        <v>10332</v>
      </c>
      <c r="V785" s="5" t="s">
        <v>10332</v>
      </c>
      <c r="W785" s="5" t="s">
        <v>10333</v>
      </c>
      <c r="X785" s="5" t="s">
        <v>10333</v>
      </c>
      <c r="Y785" s="4">
        <v>296</v>
      </c>
      <c r="Z785" s="4">
        <v>249</v>
      </c>
      <c r="AA785" s="4">
        <v>251</v>
      </c>
      <c r="AB785" s="4">
        <v>3</v>
      </c>
      <c r="AC785" s="4">
        <v>3</v>
      </c>
      <c r="AD785" s="4">
        <v>13</v>
      </c>
      <c r="AE785" s="4">
        <v>13</v>
      </c>
      <c r="AF785" s="4">
        <v>1</v>
      </c>
      <c r="AG785" s="4">
        <v>1</v>
      </c>
      <c r="AH785" s="4">
        <v>6</v>
      </c>
      <c r="AI785" s="4">
        <v>6</v>
      </c>
      <c r="AJ785" s="4">
        <v>4</v>
      </c>
      <c r="AK785" s="4">
        <v>4</v>
      </c>
      <c r="AL785" s="4">
        <v>2</v>
      </c>
      <c r="AM785" s="4">
        <v>2</v>
      </c>
      <c r="AN785" s="4">
        <v>3</v>
      </c>
      <c r="AO785" s="4">
        <v>3</v>
      </c>
      <c r="AP785" s="3" t="s">
        <v>58</v>
      </c>
      <c r="AQ785" s="3" t="s">
        <v>87</v>
      </c>
      <c r="AR785" s="6" t="str">
        <f>HYPERLINK("http://catalog.hathitrust.org/Record/003974288","HathiTrust Record")</f>
        <v>HathiTrust Record</v>
      </c>
      <c r="AS785" s="6" t="str">
        <f>HYPERLINK("https://creighton-primo.hosted.exlibrisgroup.com/primo-explore/search?tab=default_tab&amp;search_scope=EVERYTHING&amp;vid=01CRU&amp;lang=en_US&amp;offset=0&amp;query=any,contains,991002837199702656","Catalog Record")</f>
        <v>Catalog Record</v>
      </c>
      <c r="AT785" s="6" t="str">
        <f>HYPERLINK("http://www.worldcat.org/oclc/37368711","WorldCat Record")</f>
        <v>WorldCat Record</v>
      </c>
      <c r="AU785" s="3" t="s">
        <v>10334</v>
      </c>
      <c r="AV785" s="3" t="s">
        <v>10335</v>
      </c>
      <c r="AW785" s="3" t="s">
        <v>10336</v>
      </c>
      <c r="AX785" s="3" t="s">
        <v>10336</v>
      </c>
      <c r="AY785" s="3" t="s">
        <v>10337</v>
      </c>
      <c r="AZ785" s="3" t="s">
        <v>74</v>
      </c>
      <c r="BB785" s="3" t="s">
        <v>10338</v>
      </c>
      <c r="BC785" s="3" t="s">
        <v>10339</v>
      </c>
      <c r="BD785" s="3" t="s">
        <v>10340</v>
      </c>
    </row>
    <row r="786" spans="1:56" ht="45.75" customHeight="1" x14ac:dyDescent="0.25">
      <c r="A786" s="7" t="s">
        <v>58</v>
      </c>
      <c r="B786" s="2" t="s">
        <v>10341</v>
      </c>
      <c r="C786" s="2" t="s">
        <v>10342</v>
      </c>
      <c r="D786" s="2" t="s">
        <v>10343</v>
      </c>
      <c r="F786" s="3" t="s">
        <v>58</v>
      </c>
      <c r="G786" s="3" t="s">
        <v>59</v>
      </c>
      <c r="H786" s="3" t="s">
        <v>58</v>
      </c>
      <c r="I786" s="3" t="s">
        <v>58</v>
      </c>
      <c r="J786" s="3" t="s">
        <v>60</v>
      </c>
      <c r="K786" s="2" t="s">
        <v>10344</v>
      </c>
      <c r="L786" s="2" t="s">
        <v>10345</v>
      </c>
      <c r="M786" s="3" t="s">
        <v>116</v>
      </c>
      <c r="O786" s="3" t="s">
        <v>65</v>
      </c>
      <c r="P786" s="3" t="s">
        <v>84</v>
      </c>
      <c r="Q786" s="2" t="s">
        <v>10346</v>
      </c>
      <c r="R786" s="3" t="s">
        <v>67</v>
      </c>
      <c r="S786" s="4">
        <v>12</v>
      </c>
      <c r="T786" s="4">
        <v>12</v>
      </c>
      <c r="U786" s="5" t="s">
        <v>10256</v>
      </c>
      <c r="V786" s="5" t="s">
        <v>10256</v>
      </c>
      <c r="W786" s="5" t="s">
        <v>10347</v>
      </c>
      <c r="X786" s="5" t="s">
        <v>10347</v>
      </c>
      <c r="Y786" s="4">
        <v>737</v>
      </c>
      <c r="Z786" s="4">
        <v>689</v>
      </c>
      <c r="AA786" s="4">
        <v>695</v>
      </c>
      <c r="AB786" s="4">
        <v>6</v>
      </c>
      <c r="AC786" s="4">
        <v>6</v>
      </c>
      <c r="AD786" s="4">
        <v>39</v>
      </c>
      <c r="AE786" s="4">
        <v>39</v>
      </c>
      <c r="AF786" s="4">
        <v>13</v>
      </c>
      <c r="AG786" s="4">
        <v>13</v>
      </c>
      <c r="AH786" s="4">
        <v>7</v>
      </c>
      <c r="AI786" s="4">
        <v>7</v>
      </c>
      <c r="AJ786" s="4">
        <v>18</v>
      </c>
      <c r="AK786" s="4">
        <v>18</v>
      </c>
      <c r="AL786" s="4">
        <v>5</v>
      </c>
      <c r="AM786" s="4">
        <v>5</v>
      </c>
      <c r="AN786" s="4">
        <v>6</v>
      </c>
      <c r="AO786" s="4">
        <v>6</v>
      </c>
      <c r="AP786" s="3" t="s">
        <v>58</v>
      </c>
      <c r="AQ786" s="3" t="s">
        <v>58</v>
      </c>
      <c r="AS786" s="6" t="str">
        <f>HYPERLINK("https://creighton-primo.hosted.exlibrisgroup.com/primo-explore/search?tab=default_tab&amp;search_scope=EVERYTHING&amp;vid=01CRU&amp;lang=en_US&amp;offset=0&amp;query=any,contains,991002923309702656","Catalog Record")</f>
        <v>Catalog Record</v>
      </c>
      <c r="AT786" s="6" t="str">
        <f>HYPERLINK("http://www.worldcat.org/oclc/38853984","WorldCat Record")</f>
        <v>WorldCat Record</v>
      </c>
      <c r="AU786" s="3" t="s">
        <v>10348</v>
      </c>
      <c r="AV786" s="3" t="s">
        <v>10349</v>
      </c>
      <c r="AW786" s="3" t="s">
        <v>10350</v>
      </c>
      <c r="AX786" s="3" t="s">
        <v>10350</v>
      </c>
      <c r="AY786" s="3" t="s">
        <v>10351</v>
      </c>
      <c r="AZ786" s="3" t="s">
        <v>74</v>
      </c>
      <c r="BB786" s="3" t="s">
        <v>10352</v>
      </c>
      <c r="BC786" s="3" t="s">
        <v>10353</v>
      </c>
      <c r="BD786" s="3" t="s">
        <v>10354</v>
      </c>
    </row>
    <row r="787" spans="1:56" ht="45.75" customHeight="1" x14ac:dyDescent="0.25">
      <c r="A787" s="7" t="s">
        <v>58</v>
      </c>
      <c r="B787" s="2" t="s">
        <v>10355</v>
      </c>
      <c r="C787" s="2" t="s">
        <v>10356</v>
      </c>
      <c r="D787" s="2" t="s">
        <v>10357</v>
      </c>
      <c r="F787" s="3" t="s">
        <v>58</v>
      </c>
      <c r="G787" s="3" t="s">
        <v>59</v>
      </c>
      <c r="H787" s="3" t="s">
        <v>58</v>
      </c>
      <c r="I787" s="3" t="s">
        <v>58</v>
      </c>
      <c r="J787" s="3" t="s">
        <v>60</v>
      </c>
      <c r="K787" s="2" t="s">
        <v>10358</v>
      </c>
      <c r="L787" s="2" t="s">
        <v>10359</v>
      </c>
      <c r="M787" s="3" t="s">
        <v>116</v>
      </c>
      <c r="O787" s="3" t="s">
        <v>65</v>
      </c>
      <c r="P787" s="3" t="s">
        <v>84</v>
      </c>
      <c r="R787" s="3" t="s">
        <v>67</v>
      </c>
      <c r="S787" s="4">
        <v>11</v>
      </c>
      <c r="T787" s="4">
        <v>11</v>
      </c>
      <c r="U787" s="5" t="s">
        <v>10360</v>
      </c>
      <c r="V787" s="5" t="s">
        <v>10360</v>
      </c>
      <c r="W787" s="5" t="s">
        <v>10361</v>
      </c>
      <c r="X787" s="5" t="s">
        <v>10361</v>
      </c>
      <c r="Y787" s="4">
        <v>928</v>
      </c>
      <c r="Z787" s="4">
        <v>844</v>
      </c>
      <c r="AA787" s="4">
        <v>890</v>
      </c>
      <c r="AB787" s="4">
        <v>9</v>
      </c>
      <c r="AC787" s="4">
        <v>9</v>
      </c>
      <c r="AD787" s="4">
        <v>22</v>
      </c>
      <c r="AE787" s="4">
        <v>23</v>
      </c>
      <c r="AF787" s="4">
        <v>9</v>
      </c>
      <c r="AG787" s="4">
        <v>9</v>
      </c>
      <c r="AH787" s="4">
        <v>3</v>
      </c>
      <c r="AI787" s="4">
        <v>3</v>
      </c>
      <c r="AJ787" s="4">
        <v>11</v>
      </c>
      <c r="AK787" s="4">
        <v>12</v>
      </c>
      <c r="AL787" s="4">
        <v>6</v>
      </c>
      <c r="AM787" s="4">
        <v>6</v>
      </c>
      <c r="AN787" s="4">
        <v>0</v>
      </c>
      <c r="AO787" s="4">
        <v>0</v>
      </c>
      <c r="AP787" s="3" t="s">
        <v>58</v>
      </c>
      <c r="AQ787" s="3" t="s">
        <v>87</v>
      </c>
      <c r="AR787" s="6" t="str">
        <f>HYPERLINK("http://catalog.hathitrust.org/Record/003963120","HathiTrust Record")</f>
        <v>HathiTrust Record</v>
      </c>
      <c r="AS787" s="6" t="str">
        <f>HYPERLINK("https://creighton-primo.hosted.exlibrisgroup.com/primo-explore/search?tab=default_tab&amp;search_scope=EVERYTHING&amp;vid=01CRU&amp;lang=en_US&amp;offset=0&amp;query=any,contains,991003268889702656","Catalog Record")</f>
        <v>Catalog Record</v>
      </c>
      <c r="AT787" s="6" t="str">
        <f>HYPERLINK("http://www.worldcat.org/oclc/37748396","WorldCat Record")</f>
        <v>WorldCat Record</v>
      </c>
      <c r="AU787" s="3" t="s">
        <v>10362</v>
      </c>
      <c r="AV787" s="3" t="s">
        <v>10363</v>
      </c>
      <c r="AW787" s="3" t="s">
        <v>10364</v>
      </c>
      <c r="AX787" s="3" t="s">
        <v>10364</v>
      </c>
      <c r="AY787" s="3" t="s">
        <v>10365</v>
      </c>
      <c r="AZ787" s="3" t="s">
        <v>74</v>
      </c>
      <c r="BB787" s="3" t="s">
        <v>10366</v>
      </c>
      <c r="BC787" s="3" t="s">
        <v>10367</v>
      </c>
      <c r="BD787" s="3" t="s">
        <v>10368</v>
      </c>
    </row>
    <row r="788" spans="1:56" ht="45.75" customHeight="1" x14ac:dyDescent="0.25">
      <c r="A788" s="7" t="s">
        <v>58</v>
      </c>
      <c r="B788" s="2" t="s">
        <v>10369</v>
      </c>
      <c r="C788" s="2" t="s">
        <v>10370</v>
      </c>
      <c r="D788" s="2" t="s">
        <v>10371</v>
      </c>
      <c r="F788" s="3" t="s">
        <v>58</v>
      </c>
      <c r="G788" s="3" t="s">
        <v>59</v>
      </c>
      <c r="H788" s="3" t="s">
        <v>58</v>
      </c>
      <c r="I788" s="3" t="s">
        <v>58</v>
      </c>
      <c r="J788" s="3" t="s">
        <v>60</v>
      </c>
      <c r="K788" s="2" t="s">
        <v>10372</v>
      </c>
      <c r="L788" s="2" t="s">
        <v>10373</v>
      </c>
      <c r="M788" s="3" t="s">
        <v>557</v>
      </c>
      <c r="N788" s="2" t="s">
        <v>10374</v>
      </c>
      <c r="O788" s="3" t="s">
        <v>65</v>
      </c>
      <c r="P788" s="3" t="s">
        <v>132</v>
      </c>
      <c r="R788" s="3" t="s">
        <v>67</v>
      </c>
      <c r="S788" s="4">
        <v>14</v>
      </c>
      <c r="T788" s="4">
        <v>14</v>
      </c>
      <c r="U788" s="5" t="s">
        <v>10360</v>
      </c>
      <c r="V788" s="5" t="s">
        <v>10360</v>
      </c>
      <c r="W788" s="5" t="s">
        <v>10375</v>
      </c>
      <c r="X788" s="5" t="s">
        <v>10375</v>
      </c>
      <c r="Y788" s="4">
        <v>124</v>
      </c>
      <c r="Z788" s="4">
        <v>111</v>
      </c>
      <c r="AA788" s="4">
        <v>116</v>
      </c>
      <c r="AB788" s="4">
        <v>2</v>
      </c>
      <c r="AC788" s="4">
        <v>2</v>
      </c>
      <c r="AD788" s="4">
        <v>2</v>
      </c>
      <c r="AE788" s="4">
        <v>2</v>
      </c>
      <c r="AF788" s="4">
        <v>0</v>
      </c>
      <c r="AG788" s="4">
        <v>0</v>
      </c>
      <c r="AH788" s="4">
        <v>0</v>
      </c>
      <c r="AI788" s="4">
        <v>0</v>
      </c>
      <c r="AJ788" s="4">
        <v>1</v>
      </c>
      <c r="AK788" s="4">
        <v>1</v>
      </c>
      <c r="AL788" s="4">
        <v>1</v>
      </c>
      <c r="AM788" s="4">
        <v>1</v>
      </c>
      <c r="AN788" s="4">
        <v>0</v>
      </c>
      <c r="AO788" s="4">
        <v>0</v>
      </c>
      <c r="AP788" s="3" t="s">
        <v>58</v>
      </c>
      <c r="AQ788" s="3" t="s">
        <v>58</v>
      </c>
      <c r="AS788" s="6" t="str">
        <f>HYPERLINK("https://creighton-primo.hosted.exlibrisgroup.com/primo-explore/search?tab=default_tab&amp;search_scope=EVERYTHING&amp;vid=01CRU&amp;lang=en_US&amp;offset=0&amp;query=any,contains,991002177949702656","Catalog Record")</f>
        <v>Catalog Record</v>
      </c>
      <c r="AT788" s="6" t="str">
        <f>HYPERLINK("http://www.worldcat.org/oclc/28027285","WorldCat Record")</f>
        <v>WorldCat Record</v>
      </c>
      <c r="AU788" s="3" t="s">
        <v>10376</v>
      </c>
      <c r="AV788" s="3" t="s">
        <v>10377</v>
      </c>
      <c r="AW788" s="3" t="s">
        <v>10378</v>
      </c>
      <c r="AX788" s="3" t="s">
        <v>10378</v>
      </c>
      <c r="AY788" s="3" t="s">
        <v>10379</v>
      </c>
      <c r="AZ788" s="3" t="s">
        <v>74</v>
      </c>
      <c r="BB788" s="3" t="s">
        <v>10380</v>
      </c>
      <c r="BC788" s="3" t="s">
        <v>10381</v>
      </c>
      <c r="BD788" s="3" t="s">
        <v>10382</v>
      </c>
    </row>
    <row r="789" spans="1:56" ht="45.75" customHeight="1" x14ac:dyDescent="0.25">
      <c r="A789" s="7" t="s">
        <v>58</v>
      </c>
      <c r="B789" s="2" t="s">
        <v>10383</v>
      </c>
      <c r="C789" s="2" t="s">
        <v>10384</v>
      </c>
      <c r="D789" s="2" t="s">
        <v>10385</v>
      </c>
      <c r="F789" s="3" t="s">
        <v>58</v>
      </c>
      <c r="G789" s="3" t="s">
        <v>59</v>
      </c>
      <c r="H789" s="3" t="s">
        <v>58</v>
      </c>
      <c r="I789" s="3" t="s">
        <v>58</v>
      </c>
      <c r="J789" s="3" t="s">
        <v>60</v>
      </c>
      <c r="K789" s="2" t="s">
        <v>10386</v>
      </c>
      <c r="L789" s="2" t="s">
        <v>10387</v>
      </c>
      <c r="M789" s="3" t="s">
        <v>290</v>
      </c>
      <c r="O789" s="3" t="s">
        <v>65</v>
      </c>
      <c r="P789" s="3" t="s">
        <v>84</v>
      </c>
      <c r="R789" s="3" t="s">
        <v>67</v>
      </c>
      <c r="S789" s="4">
        <v>2</v>
      </c>
      <c r="T789" s="4">
        <v>2</v>
      </c>
      <c r="U789" s="5" t="s">
        <v>10388</v>
      </c>
      <c r="V789" s="5" t="s">
        <v>10388</v>
      </c>
      <c r="W789" s="5" t="s">
        <v>10389</v>
      </c>
      <c r="X789" s="5" t="s">
        <v>10389</v>
      </c>
      <c r="Y789" s="4">
        <v>383</v>
      </c>
      <c r="Z789" s="4">
        <v>309</v>
      </c>
      <c r="AA789" s="4">
        <v>579</v>
      </c>
      <c r="AB789" s="4">
        <v>2</v>
      </c>
      <c r="AC789" s="4">
        <v>4</v>
      </c>
      <c r="AD789" s="4">
        <v>14</v>
      </c>
      <c r="AE789" s="4">
        <v>26</v>
      </c>
      <c r="AF789" s="4">
        <v>4</v>
      </c>
      <c r="AG789" s="4">
        <v>11</v>
      </c>
      <c r="AH789" s="4">
        <v>4</v>
      </c>
      <c r="AI789" s="4">
        <v>5</v>
      </c>
      <c r="AJ789" s="4">
        <v>9</v>
      </c>
      <c r="AK789" s="4">
        <v>12</v>
      </c>
      <c r="AL789" s="4">
        <v>1</v>
      </c>
      <c r="AM789" s="4">
        <v>3</v>
      </c>
      <c r="AN789" s="4">
        <v>1</v>
      </c>
      <c r="AO789" s="4">
        <v>1</v>
      </c>
      <c r="AP789" s="3" t="s">
        <v>58</v>
      </c>
      <c r="AQ789" s="3" t="s">
        <v>58</v>
      </c>
      <c r="AS789" s="6" t="str">
        <f>HYPERLINK("https://creighton-primo.hosted.exlibrisgroup.com/primo-explore/search?tab=default_tab&amp;search_scope=EVERYTHING&amp;vid=01CRU&amp;lang=en_US&amp;offset=0&amp;query=any,contains,991003599669702656","Catalog Record")</f>
        <v>Catalog Record</v>
      </c>
      <c r="AT789" s="6" t="str">
        <f>HYPERLINK("http://www.worldcat.org/oclc/45209135","WorldCat Record")</f>
        <v>WorldCat Record</v>
      </c>
      <c r="AU789" s="3" t="s">
        <v>10390</v>
      </c>
      <c r="AV789" s="3" t="s">
        <v>10391</v>
      </c>
      <c r="AW789" s="3" t="s">
        <v>10392</v>
      </c>
      <c r="AX789" s="3" t="s">
        <v>10392</v>
      </c>
      <c r="AY789" s="3" t="s">
        <v>10393</v>
      </c>
      <c r="AZ789" s="3" t="s">
        <v>74</v>
      </c>
      <c r="BB789" s="3" t="s">
        <v>10394</v>
      </c>
      <c r="BC789" s="3" t="s">
        <v>10395</v>
      </c>
      <c r="BD789" s="3" t="s">
        <v>10396</v>
      </c>
    </row>
    <row r="790" spans="1:56" ht="45.75" customHeight="1" x14ac:dyDescent="0.25">
      <c r="A790" s="7" t="s">
        <v>58</v>
      </c>
      <c r="B790" s="2" t="s">
        <v>10397</v>
      </c>
      <c r="C790" s="2" t="s">
        <v>10398</v>
      </c>
      <c r="D790" s="2" t="s">
        <v>10399</v>
      </c>
      <c r="F790" s="3" t="s">
        <v>58</v>
      </c>
      <c r="G790" s="3" t="s">
        <v>59</v>
      </c>
      <c r="H790" s="3" t="s">
        <v>58</v>
      </c>
      <c r="I790" s="3" t="s">
        <v>58</v>
      </c>
      <c r="J790" s="3" t="s">
        <v>60</v>
      </c>
      <c r="K790" s="2" t="s">
        <v>10400</v>
      </c>
      <c r="L790" s="2" t="s">
        <v>10401</v>
      </c>
      <c r="M790" s="3" t="s">
        <v>867</v>
      </c>
      <c r="O790" s="3" t="s">
        <v>65</v>
      </c>
      <c r="P790" s="3" t="s">
        <v>84</v>
      </c>
      <c r="R790" s="3" t="s">
        <v>67</v>
      </c>
      <c r="S790" s="4">
        <v>26</v>
      </c>
      <c r="T790" s="4">
        <v>26</v>
      </c>
      <c r="U790" s="5" t="s">
        <v>10193</v>
      </c>
      <c r="V790" s="5" t="s">
        <v>10193</v>
      </c>
      <c r="W790" s="5" t="s">
        <v>2775</v>
      </c>
      <c r="X790" s="5" t="s">
        <v>2775</v>
      </c>
      <c r="Y790" s="4">
        <v>513</v>
      </c>
      <c r="Z790" s="4">
        <v>429</v>
      </c>
      <c r="AA790" s="4">
        <v>431</v>
      </c>
      <c r="AB790" s="4">
        <v>6</v>
      </c>
      <c r="AC790" s="4">
        <v>6</v>
      </c>
      <c r="AD790" s="4">
        <v>22</v>
      </c>
      <c r="AE790" s="4">
        <v>22</v>
      </c>
      <c r="AF790" s="4">
        <v>4</v>
      </c>
      <c r="AG790" s="4">
        <v>4</v>
      </c>
      <c r="AH790" s="4">
        <v>6</v>
      </c>
      <c r="AI790" s="4">
        <v>6</v>
      </c>
      <c r="AJ790" s="4">
        <v>10</v>
      </c>
      <c r="AK790" s="4">
        <v>10</v>
      </c>
      <c r="AL790" s="4">
        <v>5</v>
      </c>
      <c r="AM790" s="4">
        <v>5</v>
      </c>
      <c r="AN790" s="4">
        <v>2</v>
      </c>
      <c r="AO790" s="4">
        <v>2</v>
      </c>
      <c r="AP790" s="3" t="s">
        <v>58</v>
      </c>
      <c r="AQ790" s="3" t="s">
        <v>87</v>
      </c>
      <c r="AR790" s="6" t="str">
        <f>HYPERLINK("http://catalog.hathitrust.org/Record/002570594","HathiTrust Record")</f>
        <v>HathiTrust Record</v>
      </c>
      <c r="AS790" s="6" t="str">
        <f>HYPERLINK("https://creighton-primo.hosted.exlibrisgroup.com/primo-explore/search?tab=default_tab&amp;search_scope=EVERYTHING&amp;vid=01CRU&amp;lang=en_US&amp;offset=0&amp;query=any,contains,991002034579702656","Catalog Record")</f>
        <v>Catalog Record</v>
      </c>
      <c r="AT790" s="6" t="str">
        <f>HYPERLINK("http://www.worldcat.org/oclc/25915024","WorldCat Record")</f>
        <v>WorldCat Record</v>
      </c>
      <c r="AU790" s="3" t="s">
        <v>10402</v>
      </c>
      <c r="AV790" s="3" t="s">
        <v>10403</v>
      </c>
      <c r="AW790" s="3" t="s">
        <v>10404</v>
      </c>
      <c r="AX790" s="3" t="s">
        <v>10404</v>
      </c>
      <c r="AY790" s="3" t="s">
        <v>10405</v>
      </c>
      <c r="AZ790" s="3" t="s">
        <v>74</v>
      </c>
      <c r="BB790" s="3" t="s">
        <v>10406</v>
      </c>
      <c r="BC790" s="3" t="s">
        <v>10407</v>
      </c>
      <c r="BD790" s="3" t="s">
        <v>10408</v>
      </c>
    </row>
    <row r="791" spans="1:56" ht="45.75" customHeight="1" x14ac:dyDescent="0.25">
      <c r="A791" s="7" t="s">
        <v>58</v>
      </c>
      <c r="B791" s="2" t="s">
        <v>10409</v>
      </c>
      <c r="C791" s="2" t="s">
        <v>10410</v>
      </c>
      <c r="D791" s="2" t="s">
        <v>10411</v>
      </c>
      <c r="F791" s="3" t="s">
        <v>58</v>
      </c>
      <c r="G791" s="3" t="s">
        <v>59</v>
      </c>
      <c r="H791" s="3" t="s">
        <v>87</v>
      </c>
      <c r="I791" s="3" t="s">
        <v>87</v>
      </c>
      <c r="J791" s="3" t="s">
        <v>60</v>
      </c>
      <c r="K791" s="2" t="s">
        <v>10412</v>
      </c>
      <c r="L791" s="2" t="s">
        <v>10413</v>
      </c>
      <c r="M791" s="3" t="s">
        <v>1500</v>
      </c>
      <c r="N791" s="2" t="s">
        <v>543</v>
      </c>
      <c r="O791" s="3" t="s">
        <v>65</v>
      </c>
      <c r="P791" s="3" t="s">
        <v>84</v>
      </c>
      <c r="R791" s="3" t="s">
        <v>67</v>
      </c>
      <c r="S791" s="4">
        <v>16</v>
      </c>
      <c r="T791" s="4">
        <v>24</v>
      </c>
      <c r="U791" s="5" t="s">
        <v>9961</v>
      </c>
      <c r="V791" s="5" t="s">
        <v>9961</v>
      </c>
      <c r="W791" s="5" t="s">
        <v>10414</v>
      </c>
      <c r="X791" s="5" t="s">
        <v>10414</v>
      </c>
      <c r="Y791" s="4">
        <v>1430</v>
      </c>
      <c r="Z791" s="4">
        <v>1325</v>
      </c>
      <c r="AA791" s="4">
        <v>1722</v>
      </c>
      <c r="AB791" s="4">
        <v>9</v>
      </c>
      <c r="AC791" s="4">
        <v>13</v>
      </c>
      <c r="AD791" s="4">
        <v>37</v>
      </c>
      <c r="AE791" s="4">
        <v>46</v>
      </c>
      <c r="AF791" s="4">
        <v>16</v>
      </c>
      <c r="AG791" s="4">
        <v>17</v>
      </c>
      <c r="AH791" s="4">
        <v>8</v>
      </c>
      <c r="AI791" s="4">
        <v>10</v>
      </c>
      <c r="AJ791" s="4">
        <v>18</v>
      </c>
      <c r="AK791" s="4">
        <v>21</v>
      </c>
      <c r="AL791" s="4">
        <v>4</v>
      </c>
      <c r="AM791" s="4">
        <v>7</v>
      </c>
      <c r="AN791" s="4">
        <v>0</v>
      </c>
      <c r="AO791" s="4">
        <v>2</v>
      </c>
      <c r="AP791" s="3" t="s">
        <v>58</v>
      </c>
      <c r="AQ791" s="3" t="s">
        <v>58</v>
      </c>
      <c r="AS791" s="6" t="str">
        <f>HYPERLINK("https://creighton-primo.hosted.exlibrisgroup.com/primo-explore/search?tab=default_tab&amp;search_scope=EVERYTHING&amp;vid=01CRU&amp;lang=en_US&amp;offset=0&amp;query=any,contains,991001757569702656","Catalog Record")</f>
        <v>Catalog Record</v>
      </c>
      <c r="AT791" s="6" t="str">
        <f>HYPERLINK("http://www.worldcat.org/oclc/5725780","WorldCat Record")</f>
        <v>WorldCat Record</v>
      </c>
      <c r="AU791" s="3" t="s">
        <v>10415</v>
      </c>
      <c r="AV791" s="3" t="s">
        <v>10416</v>
      </c>
      <c r="AW791" s="3" t="s">
        <v>10417</v>
      </c>
      <c r="AX791" s="3" t="s">
        <v>10417</v>
      </c>
      <c r="AY791" s="3" t="s">
        <v>10418</v>
      </c>
      <c r="AZ791" s="3" t="s">
        <v>74</v>
      </c>
      <c r="BB791" s="3" t="s">
        <v>10419</v>
      </c>
      <c r="BC791" s="3" t="s">
        <v>10420</v>
      </c>
      <c r="BD791" s="3" t="s">
        <v>10421</v>
      </c>
    </row>
    <row r="792" spans="1:56" ht="45.75" customHeight="1" x14ac:dyDescent="0.25">
      <c r="A792" s="7" t="s">
        <v>58</v>
      </c>
      <c r="B792" s="2" t="s">
        <v>10422</v>
      </c>
      <c r="C792" s="2" t="s">
        <v>10423</v>
      </c>
      <c r="D792" s="2" t="s">
        <v>10424</v>
      </c>
      <c r="F792" s="3" t="s">
        <v>58</v>
      </c>
      <c r="G792" s="3" t="s">
        <v>59</v>
      </c>
      <c r="H792" s="3" t="s">
        <v>58</v>
      </c>
      <c r="I792" s="3" t="s">
        <v>58</v>
      </c>
      <c r="J792" s="3" t="s">
        <v>60</v>
      </c>
      <c r="K792" s="2" t="s">
        <v>10425</v>
      </c>
      <c r="L792" s="2" t="s">
        <v>10426</v>
      </c>
      <c r="M792" s="3" t="s">
        <v>162</v>
      </c>
      <c r="O792" s="3" t="s">
        <v>65</v>
      </c>
      <c r="P792" s="3" t="s">
        <v>1340</v>
      </c>
      <c r="R792" s="3" t="s">
        <v>67</v>
      </c>
      <c r="S792" s="4">
        <v>1</v>
      </c>
      <c r="T792" s="4">
        <v>1</v>
      </c>
      <c r="U792" s="5" t="s">
        <v>10427</v>
      </c>
      <c r="V792" s="5" t="s">
        <v>10427</v>
      </c>
      <c r="W792" s="5" t="s">
        <v>10427</v>
      </c>
      <c r="X792" s="5" t="s">
        <v>10427</v>
      </c>
      <c r="Y792" s="4">
        <v>30</v>
      </c>
      <c r="Z792" s="4">
        <v>20</v>
      </c>
      <c r="AA792" s="4">
        <v>20</v>
      </c>
      <c r="AB792" s="4">
        <v>1</v>
      </c>
      <c r="AC792" s="4">
        <v>1</v>
      </c>
      <c r="AD792" s="4">
        <v>0</v>
      </c>
      <c r="AE792" s="4">
        <v>0</v>
      </c>
      <c r="AF792" s="4">
        <v>0</v>
      </c>
      <c r="AG792" s="4">
        <v>0</v>
      </c>
      <c r="AH792" s="4">
        <v>0</v>
      </c>
      <c r="AI792" s="4">
        <v>0</v>
      </c>
      <c r="AJ792" s="4">
        <v>0</v>
      </c>
      <c r="AK792" s="4">
        <v>0</v>
      </c>
      <c r="AL792" s="4">
        <v>0</v>
      </c>
      <c r="AM792" s="4">
        <v>0</v>
      </c>
      <c r="AN792" s="4">
        <v>0</v>
      </c>
      <c r="AO792" s="4">
        <v>0</v>
      </c>
      <c r="AP792" s="3" t="s">
        <v>58</v>
      </c>
      <c r="AQ792" s="3" t="s">
        <v>58</v>
      </c>
      <c r="AS792" s="6" t="str">
        <f>HYPERLINK("https://creighton-primo.hosted.exlibrisgroup.com/primo-explore/search?tab=default_tab&amp;search_scope=EVERYTHING&amp;vid=01CRU&amp;lang=en_US&amp;offset=0&amp;query=any,contains,991005300809702656","Catalog Record")</f>
        <v>Catalog Record</v>
      </c>
      <c r="AT792" s="6" t="str">
        <f>HYPERLINK("http://www.worldcat.org/oclc/239844226","WorldCat Record")</f>
        <v>WorldCat Record</v>
      </c>
      <c r="AU792" s="3" t="s">
        <v>10428</v>
      </c>
      <c r="AV792" s="3" t="s">
        <v>10429</v>
      </c>
      <c r="AW792" s="3" t="s">
        <v>10430</v>
      </c>
      <c r="AX792" s="3" t="s">
        <v>10430</v>
      </c>
      <c r="AY792" s="3" t="s">
        <v>10431</v>
      </c>
      <c r="AZ792" s="3" t="s">
        <v>74</v>
      </c>
      <c r="BB792" s="3" t="s">
        <v>10432</v>
      </c>
      <c r="BC792" s="3" t="s">
        <v>10433</v>
      </c>
      <c r="BD792" s="3" t="s">
        <v>10434</v>
      </c>
    </row>
    <row r="793" spans="1:56" ht="45.75" customHeight="1" x14ac:dyDescent="0.25">
      <c r="A793" s="7" t="s">
        <v>58</v>
      </c>
      <c r="B793" s="2" t="s">
        <v>10435</v>
      </c>
      <c r="C793" s="2" t="s">
        <v>10436</v>
      </c>
      <c r="D793" s="2" t="s">
        <v>10437</v>
      </c>
      <c r="F793" s="3" t="s">
        <v>58</v>
      </c>
      <c r="G793" s="3" t="s">
        <v>59</v>
      </c>
      <c r="H793" s="3" t="s">
        <v>58</v>
      </c>
      <c r="I793" s="3" t="s">
        <v>58</v>
      </c>
      <c r="J793" s="3" t="s">
        <v>60</v>
      </c>
      <c r="K793" s="2" t="s">
        <v>10438</v>
      </c>
      <c r="L793" s="2" t="s">
        <v>10439</v>
      </c>
      <c r="M793" s="3" t="s">
        <v>63</v>
      </c>
      <c r="O793" s="3" t="s">
        <v>5719</v>
      </c>
      <c r="P793" s="3" t="s">
        <v>6595</v>
      </c>
      <c r="R793" s="3" t="s">
        <v>67</v>
      </c>
      <c r="S793" s="4">
        <v>1</v>
      </c>
      <c r="T793" s="4">
        <v>1</v>
      </c>
      <c r="U793" s="5" t="s">
        <v>6597</v>
      </c>
      <c r="V793" s="5" t="s">
        <v>6597</v>
      </c>
      <c r="W793" s="5" t="s">
        <v>6597</v>
      </c>
      <c r="X793" s="5" t="s">
        <v>6597</v>
      </c>
      <c r="Y793" s="4">
        <v>3</v>
      </c>
      <c r="Z793" s="4">
        <v>2</v>
      </c>
      <c r="AA793" s="4">
        <v>2</v>
      </c>
      <c r="AB793" s="4">
        <v>1</v>
      </c>
      <c r="AC793" s="4">
        <v>1</v>
      </c>
      <c r="AD793" s="4">
        <v>0</v>
      </c>
      <c r="AE793" s="4">
        <v>0</v>
      </c>
      <c r="AF793" s="4">
        <v>0</v>
      </c>
      <c r="AG793" s="4">
        <v>0</v>
      </c>
      <c r="AH793" s="4">
        <v>0</v>
      </c>
      <c r="AI793" s="4">
        <v>0</v>
      </c>
      <c r="AJ793" s="4">
        <v>0</v>
      </c>
      <c r="AK793" s="4">
        <v>0</v>
      </c>
      <c r="AL793" s="4">
        <v>0</v>
      </c>
      <c r="AM793" s="4">
        <v>0</v>
      </c>
      <c r="AN793" s="4">
        <v>0</v>
      </c>
      <c r="AO793" s="4">
        <v>0</v>
      </c>
      <c r="AP793" s="3" t="s">
        <v>58</v>
      </c>
      <c r="AQ793" s="3" t="s">
        <v>58</v>
      </c>
      <c r="AS793" s="6" t="str">
        <f>HYPERLINK("https://creighton-primo.hosted.exlibrisgroup.com/primo-explore/search?tab=default_tab&amp;search_scope=EVERYTHING&amp;vid=01CRU&amp;lang=en_US&amp;offset=0&amp;query=any,contains,991005392909702656","Catalog Record")</f>
        <v>Catalog Record</v>
      </c>
      <c r="AT793" s="6" t="str">
        <f>HYPERLINK("http://www.worldcat.org/oclc/60740314","WorldCat Record")</f>
        <v>WorldCat Record</v>
      </c>
      <c r="AU793" s="3" t="s">
        <v>10440</v>
      </c>
      <c r="AV793" s="3" t="s">
        <v>10441</v>
      </c>
      <c r="AW793" s="3" t="s">
        <v>10442</v>
      </c>
      <c r="AX793" s="3" t="s">
        <v>10442</v>
      </c>
      <c r="AY793" s="3" t="s">
        <v>10443</v>
      </c>
      <c r="AZ793" s="3" t="s">
        <v>74</v>
      </c>
      <c r="BB793" s="3" t="s">
        <v>10444</v>
      </c>
      <c r="BC793" s="3" t="s">
        <v>10445</v>
      </c>
      <c r="BD793" s="3" t="s">
        <v>10446</v>
      </c>
    </row>
    <row r="794" spans="1:56" ht="45.75" customHeight="1" x14ac:dyDescent="0.25">
      <c r="A794" s="7" t="s">
        <v>58</v>
      </c>
      <c r="B794" s="2" t="s">
        <v>10447</v>
      </c>
      <c r="C794" s="2" t="s">
        <v>10448</v>
      </c>
      <c r="D794" s="2" t="s">
        <v>10449</v>
      </c>
      <c r="F794" s="3" t="s">
        <v>58</v>
      </c>
      <c r="G794" s="3" t="s">
        <v>59</v>
      </c>
      <c r="H794" s="3" t="s">
        <v>58</v>
      </c>
      <c r="I794" s="3" t="s">
        <v>58</v>
      </c>
      <c r="J794" s="3" t="s">
        <v>60</v>
      </c>
      <c r="K794" s="2" t="s">
        <v>10450</v>
      </c>
      <c r="L794" s="2" t="s">
        <v>10451</v>
      </c>
      <c r="M794" s="3" t="s">
        <v>248</v>
      </c>
      <c r="N794" s="2" t="s">
        <v>10452</v>
      </c>
      <c r="O794" s="3" t="s">
        <v>5719</v>
      </c>
      <c r="P794" s="3" t="s">
        <v>6595</v>
      </c>
      <c r="Q794" s="2" t="s">
        <v>10453</v>
      </c>
      <c r="R794" s="3" t="s">
        <v>67</v>
      </c>
      <c r="S794" s="4">
        <v>1</v>
      </c>
      <c r="T794" s="4">
        <v>1</v>
      </c>
      <c r="U794" s="5" t="s">
        <v>6597</v>
      </c>
      <c r="V794" s="5" t="s">
        <v>6597</v>
      </c>
      <c r="W794" s="5" t="s">
        <v>6597</v>
      </c>
      <c r="X794" s="5" t="s">
        <v>6597</v>
      </c>
      <c r="Y794" s="4">
        <v>2</v>
      </c>
      <c r="Z794" s="4">
        <v>1</v>
      </c>
      <c r="AA794" s="4">
        <v>1</v>
      </c>
      <c r="AB794" s="4">
        <v>1</v>
      </c>
      <c r="AC794" s="4">
        <v>1</v>
      </c>
      <c r="AD794" s="4">
        <v>0</v>
      </c>
      <c r="AE794" s="4">
        <v>0</v>
      </c>
      <c r="AF794" s="4">
        <v>0</v>
      </c>
      <c r="AG794" s="4">
        <v>0</v>
      </c>
      <c r="AH794" s="4">
        <v>0</v>
      </c>
      <c r="AI794" s="4">
        <v>0</v>
      </c>
      <c r="AJ794" s="4">
        <v>0</v>
      </c>
      <c r="AK794" s="4">
        <v>0</v>
      </c>
      <c r="AL794" s="4">
        <v>0</v>
      </c>
      <c r="AM794" s="4">
        <v>0</v>
      </c>
      <c r="AN794" s="4">
        <v>0</v>
      </c>
      <c r="AO794" s="4">
        <v>0</v>
      </c>
      <c r="AP794" s="3" t="s">
        <v>58</v>
      </c>
      <c r="AQ794" s="3" t="s">
        <v>58</v>
      </c>
      <c r="AS794" s="6" t="str">
        <f>HYPERLINK("https://creighton-primo.hosted.exlibrisgroup.com/primo-explore/search?tab=default_tab&amp;search_scope=EVERYTHING&amp;vid=01CRU&amp;lang=en_US&amp;offset=0&amp;query=any,contains,991005392899702656","Catalog Record")</f>
        <v>Catalog Record</v>
      </c>
      <c r="AT794" s="6" t="str">
        <f>HYPERLINK("http://www.worldcat.org/oclc/505389199","WorldCat Record")</f>
        <v>WorldCat Record</v>
      </c>
      <c r="AU794" s="3" t="s">
        <v>10454</v>
      </c>
      <c r="AV794" s="3" t="s">
        <v>10455</v>
      </c>
      <c r="AW794" s="3" t="s">
        <v>10456</v>
      </c>
      <c r="AX794" s="3" t="s">
        <v>10456</v>
      </c>
      <c r="AY794" s="3" t="s">
        <v>10457</v>
      </c>
      <c r="AZ794" s="3" t="s">
        <v>74</v>
      </c>
      <c r="BB794" s="3" t="s">
        <v>10458</v>
      </c>
      <c r="BC794" s="3" t="s">
        <v>10459</v>
      </c>
      <c r="BD794" s="3" t="s">
        <v>10460</v>
      </c>
    </row>
    <row r="795" spans="1:56" ht="45.75" customHeight="1" x14ac:dyDescent="0.25">
      <c r="A795" s="7" t="s">
        <v>58</v>
      </c>
      <c r="B795" s="2" t="s">
        <v>10461</v>
      </c>
      <c r="C795" s="2" t="s">
        <v>10462</v>
      </c>
      <c r="D795" s="2" t="s">
        <v>10463</v>
      </c>
      <c r="F795" s="3" t="s">
        <v>58</v>
      </c>
      <c r="G795" s="3" t="s">
        <v>59</v>
      </c>
      <c r="H795" s="3" t="s">
        <v>87</v>
      </c>
      <c r="I795" s="3" t="s">
        <v>58</v>
      </c>
      <c r="J795" s="3" t="s">
        <v>60</v>
      </c>
      <c r="L795" s="2" t="s">
        <v>10464</v>
      </c>
      <c r="M795" s="3" t="s">
        <v>83</v>
      </c>
      <c r="O795" s="3" t="s">
        <v>65</v>
      </c>
      <c r="P795" s="3" t="s">
        <v>148</v>
      </c>
      <c r="R795" s="3" t="s">
        <v>67</v>
      </c>
      <c r="S795" s="4">
        <v>12</v>
      </c>
      <c r="T795" s="4">
        <v>18</v>
      </c>
      <c r="U795" s="5" t="s">
        <v>10465</v>
      </c>
      <c r="V795" s="5" t="s">
        <v>10465</v>
      </c>
      <c r="W795" s="5" t="s">
        <v>2441</v>
      </c>
      <c r="X795" s="5" t="s">
        <v>2441</v>
      </c>
      <c r="Y795" s="4">
        <v>852</v>
      </c>
      <c r="Z795" s="4">
        <v>754</v>
      </c>
      <c r="AA795" s="4">
        <v>757</v>
      </c>
      <c r="AB795" s="4">
        <v>7</v>
      </c>
      <c r="AC795" s="4">
        <v>7</v>
      </c>
      <c r="AD795" s="4">
        <v>38</v>
      </c>
      <c r="AE795" s="4">
        <v>38</v>
      </c>
      <c r="AF795" s="4">
        <v>13</v>
      </c>
      <c r="AG795" s="4">
        <v>13</v>
      </c>
      <c r="AH795" s="4">
        <v>7</v>
      </c>
      <c r="AI795" s="4">
        <v>7</v>
      </c>
      <c r="AJ795" s="4">
        <v>16</v>
      </c>
      <c r="AK795" s="4">
        <v>16</v>
      </c>
      <c r="AL795" s="4">
        <v>5</v>
      </c>
      <c r="AM795" s="4">
        <v>5</v>
      </c>
      <c r="AN795" s="4">
        <v>5</v>
      </c>
      <c r="AO795" s="4">
        <v>5</v>
      </c>
      <c r="AP795" s="3" t="s">
        <v>58</v>
      </c>
      <c r="AQ795" s="3" t="s">
        <v>87</v>
      </c>
      <c r="AR795" s="6" t="str">
        <f>HYPERLINK("http://catalog.hathitrust.org/Record/000590050","HathiTrust Record")</f>
        <v>HathiTrust Record</v>
      </c>
      <c r="AS795" s="6" t="str">
        <f>HYPERLINK("https://creighton-primo.hosted.exlibrisgroup.com/primo-explore/search?tab=default_tab&amp;search_scope=EVERYTHING&amp;vid=01CRU&amp;lang=en_US&amp;offset=0&amp;query=any,contains,991001782909702656","Catalog Record")</f>
        <v>Catalog Record</v>
      </c>
      <c r="AT795" s="6" t="str">
        <f>HYPERLINK("http://www.worldcat.org/oclc/13701426","WorldCat Record")</f>
        <v>WorldCat Record</v>
      </c>
      <c r="AU795" s="3" t="s">
        <v>10466</v>
      </c>
      <c r="AV795" s="3" t="s">
        <v>10467</v>
      </c>
      <c r="AW795" s="3" t="s">
        <v>10468</v>
      </c>
      <c r="AX795" s="3" t="s">
        <v>10468</v>
      </c>
      <c r="AY795" s="3" t="s">
        <v>10469</v>
      </c>
      <c r="AZ795" s="3" t="s">
        <v>74</v>
      </c>
      <c r="BB795" s="3" t="s">
        <v>10470</v>
      </c>
      <c r="BC795" s="3" t="s">
        <v>10471</v>
      </c>
      <c r="BD795" s="3" t="s">
        <v>10472</v>
      </c>
    </row>
    <row r="796" spans="1:56" ht="45.75" customHeight="1" x14ac:dyDescent="0.25">
      <c r="A796" s="7" t="s">
        <v>58</v>
      </c>
      <c r="B796" s="2" t="s">
        <v>10473</v>
      </c>
      <c r="C796" s="2" t="s">
        <v>10474</v>
      </c>
      <c r="D796" s="2" t="s">
        <v>10475</v>
      </c>
      <c r="F796" s="3" t="s">
        <v>58</v>
      </c>
      <c r="G796" s="3" t="s">
        <v>59</v>
      </c>
      <c r="H796" s="3" t="s">
        <v>58</v>
      </c>
      <c r="I796" s="3" t="s">
        <v>58</v>
      </c>
      <c r="J796" s="3" t="s">
        <v>60</v>
      </c>
      <c r="L796" s="2" t="s">
        <v>10476</v>
      </c>
      <c r="M796" s="3" t="s">
        <v>742</v>
      </c>
      <c r="O796" s="3" t="s">
        <v>65</v>
      </c>
      <c r="P796" s="3" t="s">
        <v>84</v>
      </c>
      <c r="R796" s="3" t="s">
        <v>67</v>
      </c>
      <c r="S796" s="4">
        <v>11</v>
      </c>
      <c r="T796" s="4">
        <v>11</v>
      </c>
      <c r="U796" s="5" t="s">
        <v>10477</v>
      </c>
      <c r="V796" s="5" t="s">
        <v>10477</v>
      </c>
      <c r="W796" s="5" t="s">
        <v>10478</v>
      </c>
      <c r="X796" s="5" t="s">
        <v>10478</v>
      </c>
      <c r="Y796" s="4">
        <v>469</v>
      </c>
      <c r="Z796" s="4">
        <v>404</v>
      </c>
      <c r="AA796" s="4">
        <v>413</v>
      </c>
      <c r="AB796" s="4">
        <v>7</v>
      </c>
      <c r="AC796" s="4">
        <v>7</v>
      </c>
      <c r="AD796" s="4">
        <v>24</v>
      </c>
      <c r="AE796" s="4">
        <v>24</v>
      </c>
      <c r="AF796" s="4">
        <v>6</v>
      </c>
      <c r="AG796" s="4">
        <v>6</v>
      </c>
      <c r="AH796" s="4">
        <v>6</v>
      </c>
      <c r="AI796" s="4">
        <v>6</v>
      </c>
      <c r="AJ796" s="4">
        <v>11</v>
      </c>
      <c r="AK796" s="4">
        <v>11</v>
      </c>
      <c r="AL796" s="4">
        <v>6</v>
      </c>
      <c r="AM796" s="4">
        <v>6</v>
      </c>
      <c r="AN796" s="4">
        <v>2</v>
      </c>
      <c r="AO796" s="4">
        <v>2</v>
      </c>
      <c r="AP796" s="3" t="s">
        <v>58</v>
      </c>
      <c r="AQ796" s="3" t="s">
        <v>87</v>
      </c>
      <c r="AR796" s="6" t="str">
        <f>HYPERLINK("http://catalog.hathitrust.org/Record/001822306","HathiTrust Record")</f>
        <v>HathiTrust Record</v>
      </c>
      <c r="AS796" s="6" t="str">
        <f>HYPERLINK("https://creighton-primo.hosted.exlibrisgroup.com/primo-explore/search?tab=default_tab&amp;search_scope=EVERYTHING&amp;vid=01CRU&amp;lang=en_US&amp;offset=0&amp;query=any,contains,991001162349702656","Catalog Record")</f>
        <v>Catalog Record</v>
      </c>
      <c r="AT796" s="6" t="str">
        <f>HYPERLINK("http://www.worldcat.org/oclc/16901090","WorldCat Record")</f>
        <v>WorldCat Record</v>
      </c>
      <c r="AU796" s="3" t="s">
        <v>10479</v>
      </c>
      <c r="AV796" s="3" t="s">
        <v>10480</v>
      </c>
      <c r="AW796" s="3" t="s">
        <v>10481</v>
      </c>
      <c r="AX796" s="3" t="s">
        <v>10481</v>
      </c>
      <c r="AY796" s="3" t="s">
        <v>10482</v>
      </c>
      <c r="AZ796" s="3" t="s">
        <v>74</v>
      </c>
      <c r="BB796" s="3" t="s">
        <v>10483</v>
      </c>
      <c r="BC796" s="3" t="s">
        <v>10484</v>
      </c>
      <c r="BD796" s="3" t="s">
        <v>10485</v>
      </c>
    </row>
    <row r="797" spans="1:56" ht="45.75" customHeight="1" x14ac:dyDescent="0.25">
      <c r="A797" s="7" t="s">
        <v>58</v>
      </c>
      <c r="B797" s="2" t="s">
        <v>10486</v>
      </c>
      <c r="C797" s="2" t="s">
        <v>10487</v>
      </c>
      <c r="D797" s="2" t="s">
        <v>10488</v>
      </c>
      <c r="F797" s="3" t="s">
        <v>58</v>
      </c>
      <c r="G797" s="3" t="s">
        <v>59</v>
      </c>
      <c r="H797" s="3" t="s">
        <v>58</v>
      </c>
      <c r="I797" s="3" t="s">
        <v>58</v>
      </c>
      <c r="J797" s="3" t="s">
        <v>60</v>
      </c>
      <c r="L797" s="2" t="s">
        <v>10489</v>
      </c>
      <c r="M797" s="3" t="s">
        <v>1032</v>
      </c>
      <c r="N797" s="2" t="s">
        <v>64</v>
      </c>
      <c r="O797" s="3" t="s">
        <v>65</v>
      </c>
      <c r="P797" s="3" t="s">
        <v>175</v>
      </c>
      <c r="R797" s="3" t="s">
        <v>67</v>
      </c>
      <c r="S797" s="4">
        <v>1</v>
      </c>
      <c r="T797" s="4">
        <v>1</v>
      </c>
      <c r="U797" s="5" t="s">
        <v>9524</v>
      </c>
      <c r="V797" s="5" t="s">
        <v>9524</v>
      </c>
      <c r="W797" s="5" t="s">
        <v>4934</v>
      </c>
      <c r="X797" s="5" t="s">
        <v>4934</v>
      </c>
      <c r="Y797" s="4">
        <v>355</v>
      </c>
      <c r="Z797" s="4">
        <v>209</v>
      </c>
      <c r="AA797" s="4">
        <v>397</v>
      </c>
      <c r="AB797" s="4">
        <v>1</v>
      </c>
      <c r="AC797" s="4">
        <v>5</v>
      </c>
      <c r="AD797" s="4">
        <v>11</v>
      </c>
      <c r="AE797" s="4">
        <v>22</v>
      </c>
      <c r="AF797" s="4">
        <v>4</v>
      </c>
      <c r="AG797" s="4">
        <v>9</v>
      </c>
      <c r="AH797" s="4">
        <v>2</v>
      </c>
      <c r="AI797" s="4">
        <v>4</v>
      </c>
      <c r="AJ797" s="4">
        <v>8</v>
      </c>
      <c r="AK797" s="4">
        <v>12</v>
      </c>
      <c r="AL797" s="4">
        <v>0</v>
      </c>
      <c r="AM797" s="4">
        <v>3</v>
      </c>
      <c r="AN797" s="4">
        <v>0</v>
      </c>
      <c r="AO797" s="4">
        <v>0</v>
      </c>
      <c r="AP797" s="3" t="s">
        <v>58</v>
      </c>
      <c r="AQ797" s="3" t="s">
        <v>58</v>
      </c>
      <c r="AS797" s="6" t="str">
        <f>HYPERLINK("https://creighton-primo.hosted.exlibrisgroup.com/primo-explore/search?tab=default_tab&amp;search_scope=EVERYTHING&amp;vid=01CRU&amp;lang=en_US&amp;offset=0&amp;query=any,contains,991002843719702656","Catalog Record")</f>
        <v>Catalog Record</v>
      </c>
      <c r="AT797" s="6" t="str">
        <f>HYPERLINK("http://www.worldcat.org/oclc/37460140","WorldCat Record")</f>
        <v>WorldCat Record</v>
      </c>
      <c r="AU797" s="3" t="s">
        <v>10490</v>
      </c>
      <c r="AV797" s="3" t="s">
        <v>10491</v>
      </c>
      <c r="AW797" s="3" t="s">
        <v>10492</v>
      </c>
      <c r="AX797" s="3" t="s">
        <v>10492</v>
      </c>
      <c r="AY797" s="3" t="s">
        <v>10493</v>
      </c>
      <c r="AZ797" s="3" t="s">
        <v>74</v>
      </c>
      <c r="BB797" s="3" t="s">
        <v>10494</v>
      </c>
      <c r="BC797" s="3" t="s">
        <v>10495</v>
      </c>
      <c r="BD797" s="3" t="s">
        <v>10496</v>
      </c>
    </row>
    <row r="798" spans="1:56" ht="45.75" customHeight="1" x14ac:dyDescent="0.25">
      <c r="A798" s="7" t="s">
        <v>58</v>
      </c>
      <c r="B798" s="2" t="s">
        <v>10497</v>
      </c>
      <c r="C798" s="2" t="s">
        <v>10498</v>
      </c>
      <c r="D798" s="2" t="s">
        <v>10499</v>
      </c>
      <c r="F798" s="3" t="s">
        <v>58</v>
      </c>
      <c r="G798" s="3" t="s">
        <v>59</v>
      </c>
      <c r="H798" s="3" t="s">
        <v>58</v>
      </c>
      <c r="I798" s="3" t="s">
        <v>58</v>
      </c>
      <c r="J798" s="3" t="s">
        <v>60</v>
      </c>
      <c r="K798" s="2" t="s">
        <v>10500</v>
      </c>
      <c r="L798" s="2" t="s">
        <v>10501</v>
      </c>
      <c r="M798" s="3" t="s">
        <v>528</v>
      </c>
      <c r="O798" s="3" t="s">
        <v>65</v>
      </c>
      <c r="P798" s="3" t="s">
        <v>190</v>
      </c>
      <c r="R798" s="3" t="s">
        <v>67</v>
      </c>
      <c r="S798" s="4">
        <v>28</v>
      </c>
      <c r="T798" s="4">
        <v>28</v>
      </c>
      <c r="U798" s="5" t="s">
        <v>10502</v>
      </c>
      <c r="V798" s="5" t="s">
        <v>10502</v>
      </c>
      <c r="W798" s="5" t="s">
        <v>10503</v>
      </c>
      <c r="X798" s="5" t="s">
        <v>10503</v>
      </c>
      <c r="Y798" s="4">
        <v>535</v>
      </c>
      <c r="Z798" s="4">
        <v>451</v>
      </c>
      <c r="AA798" s="4">
        <v>491</v>
      </c>
      <c r="AB798" s="4">
        <v>4</v>
      </c>
      <c r="AC798" s="4">
        <v>4</v>
      </c>
      <c r="AD798" s="4">
        <v>26</v>
      </c>
      <c r="AE798" s="4">
        <v>27</v>
      </c>
      <c r="AF798" s="4">
        <v>7</v>
      </c>
      <c r="AG798" s="4">
        <v>8</v>
      </c>
      <c r="AH798" s="4">
        <v>6</v>
      </c>
      <c r="AI798" s="4">
        <v>6</v>
      </c>
      <c r="AJ798" s="4">
        <v>12</v>
      </c>
      <c r="AK798" s="4">
        <v>12</v>
      </c>
      <c r="AL798" s="4">
        <v>3</v>
      </c>
      <c r="AM798" s="4">
        <v>3</v>
      </c>
      <c r="AN798" s="4">
        <v>3</v>
      </c>
      <c r="AO798" s="4">
        <v>3</v>
      </c>
      <c r="AP798" s="3" t="s">
        <v>58</v>
      </c>
      <c r="AQ798" s="3" t="s">
        <v>58</v>
      </c>
      <c r="AS798" s="6" t="str">
        <f>HYPERLINK("https://creighton-primo.hosted.exlibrisgroup.com/primo-explore/search?tab=default_tab&amp;search_scope=EVERYTHING&amp;vid=01CRU&amp;lang=en_US&amp;offset=0&amp;query=any,contains,991001605169702656","Catalog Record")</f>
        <v>Catalog Record</v>
      </c>
      <c r="AT798" s="6" t="str">
        <f>HYPERLINK("http://www.worldcat.org/oclc/20691439","WorldCat Record")</f>
        <v>WorldCat Record</v>
      </c>
      <c r="AU798" s="3" t="s">
        <v>10504</v>
      </c>
      <c r="AV798" s="3" t="s">
        <v>10505</v>
      </c>
      <c r="AW798" s="3" t="s">
        <v>10506</v>
      </c>
      <c r="AX798" s="3" t="s">
        <v>10506</v>
      </c>
      <c r="AY798" s="3" t="s">
        <v>10507</v>
      </c>
      <c r="AZ798" s="3" t="s">
        <v>74</v>
      </c>
      <c r="BB798" s="3" t="s">
        <v>10508</v>
      </c>
      <c r="BC798" s="3" t="s">
        <v>10509</v>
      </c>
      <c r="BD798" s="3" t="s">
        <v>10510</v>
      </c>
    </row>
    <row r="799" spans="1:56" ht="45.75" customHeight="1" x14ac:dyDescent="0.25">
      <c r="A799" s="7" t="s">
        <v>58</v>
      </c>
      <c r="B799" s="2" t="s">
        <v>10511</v>
      </c>
      <c r="C799" s="2" t="s">
        <v>10512</v>
      </c>
      <c r="D799" s="2" t="s">
        <v>10513</v>
      </c>
      <c r="F799" s="3" t="s">
        <v>58</v>
      </c>
      <c r="G799" s="3" t="s">
        <v>59</v>
      </c>
      <c r="H799" s="3" t="s">
        <v>58</v>
      </c>
      <c r="I799" s="3" t="s">
        <v>58</v>
      </c>
      <c r="J799" s="3" t="s">
        <v>60</v>
      </c>
      <c r="K799" s="2" t="s">
        <v>10514</v>
      </c>
      <c r="L799" s="2" t="s">
        <v>10515</v>
      </c>
      <c r="M799" s="3" t="s">
        <v>263</v>
      </c>
      <c r="O799" s="3" t="s">
        <v>65</v>
      </c>
      <c r="P799" s="3" t="s">
        <v>175</v>
      </c>
      <c r="Q799" s="2" t="s">
        <v>10516</v>
      </c>
      <c r="R799" s="3" t="s">
        <v>67</v>
      </c>
      <c r="S799" s="4">
        <v>17</v>
      </c>
      <c r="T799" s="4">
        <v>17</v>
      </c>
      <c r="U799" s="5" t="s">
        <v>10517</v>
      </c>
      <c r="V799" s="5" t="s">
        <v>10517</v>
      </c>
      <c r="W799" s="5" t="s">
        <v>1033</v>
      </c>
      <c r="X799" s="5" t="s">
        <v>1033</v>
      </c>
      <c r="Y799" s="4">
        <v>327</v>
      </c>
      <c r="Z799" s="4">
        <v>211</v>
      </c>
      <c r="AA799" s="4">
        <v>213</v>
      </c>
      <c r="AB799" s="4">
        <v>2</v>
      </c>
      <c r="AC799" s="4">
        <v>2</v>
      </c>
      <c r="AD799" s="4">
        <v>10</v>
      </c>
      <c r="AE799" s="4">
        <v>10</v>
      </c>
      <c r="AF799" s="4">
        <v>4</v>
      </c>
      <c r="AG799" s="4">
        <v>4</v>
      </c>
      <c r="AH799" s="4">
        <v>2</v>
      </c>
      <c r="AI799" s="4">
        <v>2</v>
      </c>
      <c r="AJ799" s="4">
        <v>6</v>
      </c>
      <c r="AK799" s="4">
        <v>6</v>
      </c>
      <c r="AL799" s="4">
        <v>1</v>
      </c>
      <c r="AM799" s="4">
        <v>1</v>
      </c>
      <c r="AN799" s="4">
        <v>0</v>
      </c>
      <c r="AO799" s="4">
        <v>0</v>
      </c>
      <c r="AP799" s="3" t="s">
        <v>58</v>
      </c>
      <c r="AQ799" s="3" t="s">
        <v>87</v>
      </c>
      <c r="AR799" s="6" t="str">
        <f>HYPERLINK("http://catalog.hathitrust.org/Record/003100870","HathiTrust Record")</f>
        <v>HathiTrust Record</v>
      </c>
      <c r="AS799" s="6" t="str">
        <f>HYPERLINK("https://creighton-primo.hosted.exlibrisgroup.com/primo-explore/search?tab=default_tab&amp;search_scope=EVERYTHING&amp;vid=01CRU&amp;lang=en_US&amp;offset=0&amp;query=any,contains,991002652469702656","Catalog Record")</f>
        <v>Catalog Record</v>
      </c>
      <c r="AT799" s="6" t="str">
        <f>HYPERLINK("http://www.worldcat.org/oclc/34690796","WorldCat Record")</f>
        <v>WorldCat Record</v>
      </c>
      <c r="AU799" s="3" t="s">
        <v>10518</v>
      </c>
      <c r="AV799" s="3" t="s">
        <v>10519</v>
      </c>
      <c r="AW799" s="3" t="s">
        <v>10520</v>
      </c>
      <c r="AX799" s="3" t="s">
        <v>10520</v>
      </c>
      <c r="AY799" s="3" t="s">
        <v>10521</v>
      </c>
      <c r="AZ799" s="3" t="s">
        <v>74</v>
      </c>
      <c r="BB799" s="3" t="s">
        <v>10522</v>
      </c>
      <c r="BC799" s="3" t="s">
        <v>10523</v>
      </c>
      <c r="BD799" s="3" t="s">
        <v>10524</v>
      </c>
    </row>
    <row r="800" spans="1:56" ht="45.75" customHeight="1" x14ac:dyDescent="0.25">
      <c r="A800" s="7" t="s">
        <v>58</v>
      </c>
      <c r="B800" s="2" t="s">
        <v>10525</v>
      </c>
      <c r="C800" s="2" t="s">
        <v>10526</v>
      </c>
      <c r="D800" s="2" t="s">
        <v>10527</v>
      </c>
      <c r="F800" s="3" t="s">
        <v>58</v>
      </c>
      <c r="G800" s="3" t="s">
        <v>59</v>
      </c>
      <c r="H800" s="3" t="s">
        <v>58</v>
      </c>
      <c r="I800" s="3" t="s">
        <v>58</v>
      </c>
      <c r="J800" s="3" t="s">
        <v>60</v>
      </c>
      <c r="L800" s="2" t="s">
        <v>10528</v>
      </c>
      <c r="M800" s="3" t="s">
        <v>557</v>
      </c>
      <c r="O800" s="3" t="s">
        <v>65</v>
      </c>
      <c r="P800" s="3" t="s">
        <v>175</v>
      </c>
      <c r="Q800" s="2" t="s">
        <v>10529</v>
      </c>
      <c r="R800" s="3" t="s">
        <v>67</v>
      </c>
      <c r="S800" s="4">
        <v>40</v>
      </c>
      <c r="T800" s="4">
        <v>40</v>
      </c>
      <c r="U800" s="5" t="s">
        <v>10530</v>
      </c>
      <c r="V800" s="5" t="s">
        <v>10530</v>
      </c>
      <c r="W800" s="5" t="s">
        <v>1342</v>
      </c>
      <c r="X800" s="5" t="s">
        <v>1342</v>
      </c>
      <c r="Y800" s="4">
        <v>300</v>
      </c>
      <c r="Z800" s="4">
        <v>144</v>
      </c>
      <c r="AA800" s="4">
        <v>155</v>
      </c>
      <c r="AB800" s="4">
        <v>2</v>
      </c>
      <c r="AC800" s="4">
        <v>2</v>
      </c>
      <c r="AD800" s="4">
        <v>5</v>
      </c>
      <c r="AE800" s="4">
        <v>6</v>
      </c>
      <c r="AF800" s="4">
        <v>0</v>
      </c>
      <c r="AG800" s="4">
        <v>1</v>
      </c>
      <c r="AH800" s="4">
        <v>1</v>
      </c>
      <c r="AI800" s="4">
        <v>1</v>
      </c>
      <c r="AJ800" s="4">
        <v>3</v>
      </c>
      <c r="AK800" s="4">
        <v>4</v>
      </c>
      <c r="AL800" s="4">
        <v>1</v>
      </c>
      <c r="AM800" s="4">
        <v>1</v>
      </c>
      <c r="AN800" s="4">
        <v>0</v>
      </c>
      <c r="AO800" s="4">
        <v>0</v>
      </c>
      <c r="AP800" s="3" t="s">
        <v>58</v>
      </c>
      <c r="AQ800" s="3" t="s">
        <v>87</v>
      </c>
      <c r="AR800" s="6" t="str">
        <f>HYPERLINK("http://catalog.hathitrust.org/Record/002737039","HathiTrust Record")</f>
        <v>HathiTrust Record</v>
      </c>
      <c r="AS800" s="6" t="str">
        <f>HYPERLINK("https://creighton-primo.hosted.exlibrisgroup.com/primo-explore/search?tab=default_tab&amp;search_scope=EVERYTHING&amp;vid=01CRU&amp;lang=en_US&amp;offset=0&amp;query=any,contains,991002235829702656","Catalog Record")</f>
        <v>Catalog Record</v>
      </c>
      <c r="AT800" s="6" t="str">
        <f>HYPERLINK("http://www.worldcat.org/oclc/28620694","WorldCat Record")</f>
        <v>WorldCat Record</v>
      </c>
      <c r="AU800" s="3" t="s">
        <v>10531</v>
      </c>
      <c r="AV800" s="3" t="s">
        <v>10532</v>
      </c>
      <c r="AW800" s="3" t="s">
        <v>10533</v>
      </c>
      <c r="AX800" s="3" t="s">
        <v>10533</v>
      </c>
      <c r="AY800" s="3" t="s">
        <v>10534</v>
      </c>
      <c r="AZ800" s="3" t="s">
        <v>74</v>
      </c>
      <c r="BB800" s="3" t="s">
        <v>10535</v>
      </c>
      <c r="BC800" s="3" t="s">
        <v>10536</v>
      </c>
      <c r="BD800" s="3" t="s">
        <v>10537</v>
      </c>
    </row>
    <row r="801" spans="1:56" ht="45.75" customHeight="1" x14ac:dyDescent="0.25">
      <c r="A801" s="7" t="s">
        <v>58</v>
      </c>
      <c r="B801" s="2" t="s">
        <v>10538</v>
      </c>
      <c r="C801" s="2" t="s">
        <v>10539</v>
      </c>
      <c r="D801" s="2" t="s">
        <v>10540</v>
      </c>
      <c r="F801" s="3" t="s">
        <v>58</v>
      </c>
      <c r="G801" s="3" t="s">
        <v>59</v>
      </c>
      <c r="H801" s="3" t="s">
        <v>58</v>
      </c>
      <c r="I801" s="3" t="s">
        <v>58</v>
      </c>
      <c r="J801" s="3" t="s">
        <v>60</v>
      </c>
      <c r="L801" s="2" t="s">
        <v>10541</v>
      </c>
      <c r="M801" s="3" t="s">
        <v>528</v>
      </c>
      <c r="O801" s="3" t="s">
        <v>65</v>
      </c>
      <c r="P801" s="3" t="s">
        <v>66</v>
      </c>
      <c r="Q801" s="2" t="s">
        <v>10542</v>
      </c>
      <c r="R801" s="3" t="s">
        <v>67</v>
      </c>
      <c r="S801" s="4">
        <v>9</v>
      </c>
      <c r="T801" s="4">
        <v>9</v>
      </c>
      <c r="U801" s="5" t="s">
        <v>4083</v>
      </c>
      <c r="V801" s="5" t="s">
        <v>4083</v>
      </c>
      <c r="W801" s="5" t="s">
        <v>10543</v>
      </c>
      <c r="X801" s="5" t="s">
        <v>10543</v>
      </c>
      <c r="Y801" s="4">
        <v>356</v>
      </c>
      <c r="Z801" s="4">
        <v>338</v>
      </c>
      <c r="AA801" s="4">
        <v>368</v>
      </c>
      <c r="AB801" s="4">
        <v>3</v>
      </c>
      <c r="AC801" s="4">
        <v>3</v>
      </c>
      <c r="AD801" s="4">
        <v>20</v>
      </c>
      <c r="AE801" s="4">
        <v>20</v>
      </c>
      <c r="AF801" s="4">
        <v>4</v>
      </c>
      <c r="AG801" s="4">
        <v>4</v>
      </c>
      <c r="AH801" s="4">
        <v>2</v>
      </c>
      <c r="AI801" s="4">
        <v>2</v>
      </c>
      <c r="AJ801" s="4">
        <v>5</v>
      </c>
      <c r="AK801" s="4">
        <v>5</v>
      </c>
      <c r="AL801" s="4">
        <v>2</v>
      </c>
      <c r="AM801" s="4">
        <v>2</v>
      </c>
      <c r="AN801" s="4">
        <v>9</v>
      </c>
      <c r="AO801" s="4">
        <v>9</v>
      </c>
      <c r="AP801" s="3" t="s">
        <v>58</v>
      </c>
      <c r="AQ801" s="3" t="s">
        <v>87</v>
      </c>
      <c r="AR801" s="6" t="str">
        <f>HYPERLINK("http://catalog.hathitrust.org/Record/002448068","HathiTrust Record")</f>
        <v>HathiTrust Record</v>
      </c>
      <c r="AS801" s="6" t="str">
        <f>HYPERLINK("https://creighton-primo.hosted.exlibrisgroup.com/primo-explore/search?tab=default_tab&amp;search_scope=EVERYTHING&amp;vid=01CRU&amp;lang=en_US&amp;offset=0&amp;query=any,contains,991001724709702656","Catalog Record")</f>
        <v>Catalog Record</v>
      </c>
      <c r="AT801" s="6" t="str">
        <f>HYPERLINK("http://www.worldcat.org/oclc/21874478","WorldCat Record")</f>
        <v>WorldCat Record</v>
      </c>
      <c r="AU801" s="3" t="s">
        <v>10544</v>
      </c>
      <c r="AV801" s="3" t="s">
        <v>10545</v>
      </c>
      <c r="AW801" s="3" t="s">
        <v>10546</v>
      </c>
      <c r="AX801" s="3" t="s">
        <v>10546</v>
      </c>
      <c r="AY801" s="3" t="s">
        <v>10547</v>
      </c>
      <c r="AZ801" s="3" t="s">
        <v>74</v>
      </c>
      <c r="BB801" s="3" t="s">
        <v>10548</v>
      </c>
      <c r="BC801" s="3" t="s">
        <v>10549</v>
      </c>
      <c r="BD801" s="3" t="s">
        <v>10550</v>
      </c>
    </row>
    <row r="802" spans="1:56" ht="45.75" customHeight="1" x14ac:dyDescent="0.25">
      <c r="A802" s="7" t="s">
        <v>58</v>
      </c>
      <c r="B802" s="2" t="s">
        <v>10551</v>
      </c>
      <c r="C802" s="2" t="s">
        <v>10552</v>
      </c>
      <c r="D802" s="2" t="s">
        <v>10553</v>
      </c>
      <c r="F802" s="3" t="s">
        <v>58</v>
      </c>
      <c r="G802" s="3" t="s">
        <v>59</v>
      </c>
      <c r="H802" s="3" t="s">
        <v>58</v>
      </c>
      <c r="I802" s="3" t="s">
        <v>58</v>
      </c>
      <c r="J802" s="3" t="s">
        <v>60</v>
      </c>
      <c r="K802" s="2" t="s">
        <v>5989</v>
      </c>
      <c r="L802" s="2" t="s">
        <v>5595</v>
      </c>
      <c r="M802" s="3" t="s">
        <v>83</v>
      </c>
      <c r="O802" s="3" t="s">
        <v>65</v>
      </c>
      <c r="P802" s="3" t="s">
        <v>84</v>
      </c>
      <c r="Q802" s="2" t="s">
        <v>10554</v>
      </c>
      <c r="R802" s="3" t="s">
        <v>67</v>
      </c>
      <c r="S802" s="4">
        <v>21</v>
      </c>
      <c r="T802" s="4">
        <v>21</v>
      </c>
      <c r="U802" s="5" t="s">
        <v>10502</v>
      </c>
      <c r="V802" s="5" t="s">
        <v>10502</v>
      </c>
      <c r="W802" s="5" t="s">
        <v>10555</v>
      </c>
      <c r="X802" s="5" t="s">
        <v>10555</v>
      </c>
      <c r="Y802" s="4">
        <v>431</v>
      </c>
      <c r="Z802" s="4">
        <v>352</v>
      </c>
      <c r="AA802" s="4">
        <v>370</v>
      </c>
      <c r="AB802" s="4">
        <v>3</v>
      </c>
      <c r="AC802" s="4">
        <v>3</v>
      </c>
      <c r="AD802" s="4">
        <v>13</v>
      </c>
      <c r="AE802" s="4">
        <v>13</v>
      </c>
      <c r="AF802" s="4">
        <v>5</v>
      </c>
      <c r="AG802" s="4">
        <v>5</v>
      </c>
      <c r="AH802" s="4">
        <v>2</v>
      </c>
      <c r="AI802" s="4">
        <v>2</v>
      </c>
      <c r="AJ802" s="4">
        <v>7</v>
      </c>
      <c r="AK802" s="4">
        <v>7</v>
      </c>
      <c r="AL802" s="4">
        <v>2</v>
      </c>
      <c r="AM802" s="4">
        <v>2</v>
      </c>
      <c r="AN802" s="4">
        <v>1</v>
      </c>
      <c r="AO802" s="4">
        <v>1</v>
      </c>
      <c r="AP802" s="3" t="s">
        <v>58</v>
      </c>
      <c r="AQ802" s="3" t="s">
        <v>58</v>
      </c>
      <c r="AS802" s="6" t="str">
        <f>HYPERLINK("https://creighton-primo.hosted.exlibrisgroup.com/primo-explore/search?tab=default_tab&amp;search_scope=EVERYTHING&amp;vid=01CRU&amp;lang=en_US&amp;offset=0&amp;query=any,contains,991000854369702656","Catalog Record")</f>
        <v>Catalog Record</v>
      </c>
      <c r="AT802" s="6" t="str">
        <f>HYPERLINK("http://www.worldcat.org/oclc/13642934","WorldCat Record")</f>
        <v>WorldCat Record</v>
      </c>
      <c r="AU802" s="3" t="s">
        <v>10556</v>
      </c>
      <c r="AV802" s="3" t="s">
        <v>10557</v>
      </c>
      <c r="AW802" s="3" t="s">
        <v>10558</v>
      </c>
      <c r="AX802" s="3" t="s">
        <v>10558</v>
      </c>
      <c r="AY802" s="3" t="s">
        <v>10559</v>
      </c>
      <c r="AZ802" s="3" t="s">
        <v>74</v>
      </c>
      <c r="BB802" s="3" t="s">
        <v>10560</v>
      </c>
      <c r="BC802" s="3" t="s">
        <v>10561</v>
      </c>
      <c r="BD802" s="3" t="s">
        <v>10562</v>
      </c>
    </row>
    <row r="803" spans="1:56" ht="45.75" customHeight="1" x14ac:dyDescent="0.25">
      <c r="A803" s="7" t="s">
        <v>58</v>
      </c>
      <c r="B803" s="2" t="s">
        <v>10563</v>
      </c>
      <c r="C803" s="2" t="s">
        <v>10564</v>
      </c>
      <c r="D803" s="2" t="s">
        <v>10565</v>
      </c>
      <c r="F803" s="3" t="s">
        <v>58</v>
      </c>
      <c r="G803" s="3" t="s">
        <v>59</v>
      </c>
      <c r="H803" s="3" t="s">
        <v>58</v>
      </c>
      <c r="I803" s="3" t="s">
        <v>58</v>
      </c>
      <c r="J803" s="3" t="s">
        <v>60</v>
      </c>
      <c r="K803" s="2" t="s">
        <v>10566</v>
      </c>
      <c r="L803" s="2" t="s">
        <v>10567</v>
      </c>
      <c r="M803" s="3" t="s">
        <v>83</v>
      </c>
      <c r="N803" s="2" t="s">
        <v>543</v>
      </c>
      <c r="O803" s="3" t="s">
        <v>65</v>
      </c>
      <c r="P803" s="3" t="s">
        <v>132</v>
      </c>
      <c r="Q803" s="2" t="s">
        <v>10568</v>
      </c>
      <c r="R803" s="3" t="s">
        <v>67</v>
      </c>
      <c r="S803" s="4">
        <v>29</v>
      </c>
      <c r="T803" s="4">
        <v>29</v>
      </c>
      <c r="U803" s="5" t="s">
        <v>10569</v>
      </c>
      <c r="V803" s="5" t="s">
        <v>10569</v>
      </c>
      <c r="W803" s="5" t="s">
        <v>3588</v>
      </c>
      <c r="X803" s="5" t="s">
        <v>3588</v>
      </c>
      <c r="Y803" s="4">
        <v>994</v>
      </c>
      <c r="Z803" s="4">
        <v>865</v>
      </c>
      <c r="AA803" s="4">
        <v>881</v>
      </c>
      <c r="AB803" s="4">
        <v>8</v>
      </c>
      <c r="AC803" s="4">
        <v>8</v>
      </c>
      <c r="AD803" s="4">
        <v>31</v>
      </c>
      <c r="AE803" s="4">
        <v>31</v>
      </c>
      <c r="AF803" s="4">
        <v>14</v>
      </c>
      <c r="AG803" s="4">
        <v>14</v>
      </c>
      <c r="AH803" s="4">
        <v>5</v>
      </c>
      <c r="AI803" s="4">
        <v>5</v>
      </c>
      <c r="AJ803" s="4">
        <v>13</v>
      </c>
      <c r="AK803" s="4">
        <v>13</v>
      </c>
      <c r="AL803" s="4">
        <v>6</v>
      </c>
      <c r="AM803" s="4">
        <v>6</v>
      </c>
      <c r="AN803" s="4">
        <v>0</v>
      </c>
      <c r="AO803" s="4">
        <v>0</v>
      </c>
      <c r="AP803" s="3" t="s">
        <v>58</v>
      </c>
      <c r="AQ803" s="3" t="s">
        <v>87</v>
      </c>
      <c r="AR803" s="6" t="str">
        <f>HYPERLINK("http://catalog.hathitrust.org/Record/000554982","HathiTrust Record")</f>
        <v>HathiTrust Record</v>
      </c>
      <c r="AS803" s="6" t="str">
        <f>HYPERLINK("https://creighton-primo.hosted.exlibrisgroup.com/primo-explore/search?tab=default_tab&amp;search_scope=EVERYTHING&amp;vid=01CRU&amp;lang=en_US&amp;offset=0&amp;query=any,contains,991000857049702656","Catalog Record")</f>
        <v>Catalog Record</v>
      </c>
      <c r="AT803" s="6" t="str">
        <f>HYPERLINK("http://www.worldcat.org/oclc/13665540","WorldCat Record")</f>
        <v>WorldCat Record</v>
      </c>
      <c r="AU803" s="3" t="s">
        <v>10570</v>
      </c>
      <c r="AV803" s="3" t="s">
        <v>10571</v>
      </c>
      <c r="AW803" s="3" t="s">
        <v>10572</v>
      </c>
      <c r="AX803" s="3" t="s">
        <v>10572</v>
      </c>
      <c r="AY803" s="3" t="s">
        <v>10573</v>
      </c>
      <c r="AZ803" s="3" t="s">
        <v>74</v>
      </c>
      <c r="BB803" s="3" t="s">
        <v>10574</v>
      </c>
      <c r="BC803" s="3" t="s">
        <v>10575</v>
      </c>
      <c r="BD803" s="3" t="s">
        <v>10576</v>
      </c>
    </row>
    <row r="804" spans="1:56" ht="45.75" customHeight="1" x14ac:dyDescent="0.25">
      <c r="A804" s="7" t="s">
        <v>58</v>
      </c>
      <c r="B804" s="2" t="s">
        <v>10577</v>
      </c>
      <c r="C804" s="2" t="s">
        <v>10578</v>
      </c>
      <c r="D804" s="2" t="s">
        <v>10579</v>
      </c>
      <c r="F804" s="3" t="s">
        <v>58</v>
      </c>
      <c r="G804" s="3" t="s">
        <v>59</v>
      </c>
      <c r="H804" s="3" t="s">
        <v>58</v>
      </c>
      <c r="I804" s="3" t="s">
        <v>58</v>
      </c>
      <c r="J804" s="3" t="s">
        <v>60</v>
      </c>
      <c r="K804" s="2" t="s">
        <v>10580</v>
      </c>
      <c r="L804" s="2" t="s">
        <v>10581</v>
      </c>
      <c r="M804" s="3" t="s">
        <v>1058</v>
      </c>
      <c r="O804" s="3" t="s">
        <v>65</v>
      </c>
      <c r="P804" s="3" t="s">
        <v>190</v>
      </c>
      <c r="R804" s="3" t="s">
        <v>67</v>
      </c>
      <c r="S804" s="4">
        <v>15</v>
      </c>
      <c r="T804" s="4">
        <v>15</v>
      </c>
      <c r="U804" s="5" t="s">
        <v>10582</v>
      </c>
      <c r="V804" s="5" t="s">
        <v>10582</v>
      </c>
      <c r="W804" s="5" t="s">
        <v>6978</v>
      </c>
      <c r="X804" s="5" t="s">
        <v>6978</v>
      </c>
      <c r="Y804" s="4">
        <v>198</v>
      </c>
      <c r="Z804" s="4">
        <v>168</v>
      </c>
      <c r="AA804" s="4">
        <v>322</v>
      </c>
      <c r="AB804" s="4">
        <v>3</v>
      </c>
      <c r="AC804" s="4">
        <v>4</v>
      </c>
      <c r="AD804" s="4">
        <v>8</v>
      </c>
      <c r="AE804" s="4">
        <v>17</v>
      </c>
      <c r="AF804" s="4">
        <v>3</v>
      </c>
      <c r="AG804" s="4">
        <v>4</v>
      </c>
      <c r="AH804" s="4">
        <v>1</v>
      </c>
      <c r="AI804" s="4">
        <v>3</v>
      </c>
      <c r="AJ804" s="4">
        <v>5</v>
      </c>
      <c r="AK804" s="4">
        <v>9</v>
      </c>
      <c r="AL804" s="4">
        <v>2</v>
      </c>
      <c r="AM804" s="4">
        <v>3</v>
      </c>
      <c r="AN804" s="4">
        <v>0</v>
      </c>
      <c r="AO804" s="4">
        <v>2</v>
      </c>
      <c r="AP804" s="3" t="s">
        <v>58</v>
      </c>
      <c r="AQ804" s="3" t="s">
        <v>87</v>
      </c>
      <c r="AR804" s="6" t="str">
        <f>HYPERLINK("http://catalog.hathitrust.org/Record/002704308","HathiTrust Record")</f>
        <v>HathiTrust Record</v>
      </c>
      <c r="AS804" s="6" t="str">
        <f>HYPERLINK("https://creighton-primo.hosted.exlibrisgroup.com/primo-explore/search?tab=default_tab&amp;search_scope=EVERYTHING&amp;vid=01CRU&amp;lang=en_US&amp;offset=0&amp;query=any,contains,991001438029702656","Catalog Record")</f>
        <v>Catalog Record</v>
      </c>
      <c r="AT804" s="6" t="str">
        <f>HYPERLINK("http://www.worldcat.org/oclc/19210471","WorldCat Record")</f>
        <v>WorldCat Record</v>
      </c>
      <c r="AU804" s="3" t="s">
        <v>10583</v>
      </c>
      <c r="AV804" s="3" t="s">
        <v>10584</v>
      </c>
      <c r="AW804" s="3" t="s">
        <v>10585</v>
      </c>
      <c r="AX804" s="3" t="s">
        <v>10585</v>
      </c>
      <c r="AY804" s="3" t="s">
        <v>10586</v>
      </c>
      <c r="AZ804" s="3" t="s">
        <v>74</v>
      </c>
      <c r="BB804" s="3" t="s">
        <v>10587</v>
      </c>
      <c r="BC804" s="3" t="s">
        <v>10588</v>
      </c>
      <c r="BD804" s="3" t="s">
        <v>10589</v>
      </c>
    </row>
    <row r="805" spans="1:56" ht="45.75" customHeight="1" x14ac:dyDescent="0.25">
      <c r="A805" s="7" t="s">
        <v>58</v>
      </c>
      <c r="B805" s="2" t="s">
        <v>10590</v>
      </c>
      <c r="C805" s="2" t="s">
        <v>10591</v>
      </c>
      <c r="D805" s="2" t="s">
        <v>10592</v>
      </c>
      <c r="F805" s="3" t="s">
        <v>58</v>
      </c>
      <c r="G805" s="3" t="s">
        <v>59</v>
      </c>
      <c r="H805" s="3" t="s">
        <v>58</v>
      </c>
      <c r="I805" s="3" t="s">
        <v>58</v>
      </c>
      <c r="J805" s="3" t="s">
        <v>60</v>
      </c>
      <c r="K805" s="2" t="s">
        <v>10593</v>
      </c>
      <c r="L805" s="2" t="s">
        <v>10594</v>
      </c>
      <c r="M805" s="3" t="s">
        <v>1088</v>
      </c>
      <c r="O805" s="3" t="s">
        <v>65</v>
      </c>
      <c r="P805" s="3" t="s">
        <v>190</v>
      </c>
      <c r="R805" s="3" t="s">
        <v>67</v>
      </c>
      <c r="S805" s="4">
        <v>22</v>
      </c>
      <c r="T805" s="4">
        <v>22</v>
      </c>
      <c r="U805" s="5" t="s">
        <v>3409</v>
      </c>
      <c r="V805" s="5" t="s">
        <v>3409</v>
      </c>
      <c r="W805" s="5" t="s">
        <v>3588</v>
      </c>
      <c r="X805" s="5" t="s">
        <v>3588</v>
      </c>
      <c r="Y805" s="4">
        <v>395</v>
      </c>
      <c r="Z805" s="4">
        <v>326</v>
      </c>
      <c r="AA805" s="4">
        <v>328</v>
      </c>
      <c r="AB805" s="4">
        <v>3</v>
      </c>
      <c r="AC805" s="4">
        <v>3</v>
      </c>
      <c r="AD805" s="4">
        <v>14</v>
      </c>
      <c r="AE805" s="4">
        <v>14</v>
      </c>
      <c r="AF805" s="4">
        <v>3</v>
      </c>
      <c r="AG805" s="4">
        <v>3</v>
      </c>
      <c r="AH805" s="4">
        <v>2</v>
      </c>
      <c r="AI805" s="4">
        <v>2</v>
      </c>
      <c r="AJ805" s="4">
        <v>9</v>
      </c>
      <c r="AK805" s="4">
        <v>9</v>
      </c>
      <c r="AL805" s="4">
        <v>2</v>
      </c>
      <c r="AM805" s="4">
        <v>2</v>
      </c>
      <c r="AN805" s="4">
        <v>0</v>
      </c>
      <c r="AO805" s="4">
        <v>0</v>
      </c>
      <c r="AP805" s="3" t="s">
        <v>58</v>
      </c>
      <c r="AQ805" s="3" t="s">
        <v>87</v>
      </c>
      <c r="AR805" s="6" t="str">
        <f>HYPERLINK("http://catalog.hathitrust.org/Record/000657756","HathiTrust Record")</f>
        <v>HathiTrust Record</v>
      </c>
      <c r="AS805" s="6" t="str">
        <f>HYPERLINK("https://creighton-primo.hosted.exlibrisgroup.com/primo-explore/search?tab=default_tab&amp;search_scope=EVERYTHING&amp;vid=01CRU&amp;lang=en_US&amp;offset=0&amp;query=any,contains,991000772189702656","Catalog Record")</f>
        <v>Catalog Record</v>
      </c>
      <c r="AT805" s="6" t="str">
        <f>HYPERLINK("http://www.worldcat.org/oclc/13029636","WorldCat Record")</f>
        <v>WorldCat Record</v>
      </c>
      <c r="AU805" s="3" t="s">
        <v>10595</v>
      </c>
      <c r="AV805" s="3" t="s">
        <v>10596</v>
      </c>
      <c r="AW805" s="3" t="s">
        <v>10597</v>
      </c>
      <c r="AX805" s="3" t="s">
        <v>10597</v>
      </c>
      <c r="AY805" s="3" t="s">
        <v>10598</v>
      </c>
      <c r="AZ805" s="3" t="s">
        <v>74</v>
      </c>
      <c r="BB805" s="3" t="s">
        <v>10599</v>
      </c>
      <c r="BC805" s="3" t="s">
        <v>10600</v>
      </c>
      <c r="BD805" s="3" t="s">
        <v>10601</v>
      </c>
    </row>
    <row r="806" spans="1:56" ht="45.75" customHeight="1" x14ac:dyDescent="0.25">
      <c r="A806" s="7" t="s">
        <v>58</v>
      </c>
      <c r="B806" s="2" t="s">
        <v>10602</v>
      </c>
      <c r="C806" s="2" t="s">
        <v>10603</v>
      </c>
      <c r="D806" s="2" t="s">
        <v>10604</v>
      </c>
      <c r="F806" s="3" t="s">
        <v>58</v>
      </c>
      <c r="G806" s="3" t="s">
        <v>59</v>
      </c>
      <c r="H806" s="3" t="s">
        <v>58</v>
      </c>
      <c r="I806" s="3" t="s">
        <v>58</v>
      </c>
      <c r="J806" s="3" t="s">
        <v>60</v>
      </c>
      <c r="K806" s="2" t="s">
        <v>10605</v>
      </c>
      <c r="L806" s="2" t="s">
        <v>10606</v>
      </c>
      <c r="M806" s="3" t="s">
        <v>528</v>
      </c>
      <c r="O806" s="3" t="s">
        <v>65</v>
      </c>
      <c r="P806" s="3" t="s">
        <v>8794</v>
      </c>
      <c r="Q806" s="2" t="s">
        <v>10607</v>
      </c>
      <c r="R806" s="3" t="s">
        <v>67</v>
      </c>
      <c r="S806" s="4">
        <v>22</v>
      </c>
      <c r="T806" s="4">
        <v>22</v>
      </c>
      <c r="U806" s="5" t="s">
        <v>10608</v>
      </c>
      <c r="V806" s="5" t="s">
        <v>10608</v>
      </c>
      <c r="W806" s="5" t="s">
        <v>10609</v>
      </c>
      <c r="X806" s="5" t="s">
        <v>10609</v>
      </c>
      <c r="Y806" s="4">
        <v>363</v>
      </c>
      <c r="Z806" s="4">
        <v>336</v>
      </c>
      <c r="AA806" s="4">
        <v>343</v>
      </c>
      <c r="AB806" s="4">
        <v>2</v>
      </c>
      <c r="AC806" s="4">
        <v>2</v>
      </c>
      <c r="AD806" s="4">
        <v>10</v>
      </c>
      <c r="AE806" s="4">
        <v>10</v>
      </c>
      <c r="AF806" s="4">
        <v>2</v>
      </c>
      <c r="AG806" s="4">
        <v>2</v>
      </c>
      <c r="AH806" s="4">
        <v>3</v>
      </c>
      <c r="AI806" s="4">
        <v>3</v>
      </c>
      <c r="AJ806" s="4">
        <v>5</v>
      </c>
      <c r="AK806" s="4">
        <v>5</v>
      </c>
      <c r="AL806" s="4">
        <v>1</v>
      </c>
      <c r="AM806" s="4">
        <v>1</v>
      </c>
      <c r="AN806" s="4">
        <v>1</v>
      </c>
      <c r="AO806" s="4">
        <v>1</v>
      </c>
      <c r="AP806" s="3" t="s">
        <v>58</v>
      </c>
      <c r="AQ806" s="3" t="s">
        <v>87</v>
      </c>
      <c r="AR806" s="6" t="str">
        <f>HYPERLINK("http://catalog.hathitrust.org/Record/002487481","HathiTrust Record")</f>
        <v>HathiTrust Record</v>
      </c>
      <c r="AS806" s="6" t="str">
        <f>HYPERLINK("https://creighton-primo.hosted.exlibrisgroup.com/primo-explore/search?tab=default_tab&amp;search_scope=EVERYTHING&amp;vid=01CRU&amp;lang=en_US&amp;offset=0&amp;query=any,contains,991001780219702656","Catalog Record")</f>
        <v>Catalog Record</v>
      </c>
      <c r="AT806" s="6" t="str">
        <f>HYPERLINK("http://www.worldcat.org/oclc/22452471","WorldCat Record")</f>
        <v>WorldCat Record</v>
      </c>
      <c r="AU806" s="3" t="s">
        <v>10610</v>
      </c>
      <c r="AV806" s="3" t="s">
        <v>10611</v>
      </c>
      <c r="AW806" s="3" t="s">
        <v>10612</v>
      </c>
      <c r="AX806" s="3" t="s">
        <v>10612</v>
      </c>
      <c r="AY806" s="3" t="s">
        <v>10613</v>
      </c>
      <c r="AZ806" s="3" t="s">
        <v>74</v>
      </c>
      <c r="BB806" s="3" t="s">
        <v>10614</v>
      </c>
      <c r="BC806" s="3" t="s">
        <v>10615</v>
      </c>
      <c r="BD806" s="3" t="s">
        <v>10616</v>
      </c>
    </row>
    <row r="807" spans="1:56" ht="45.75" customHeight="1" x14ac:dyDescent="0.25">
      <c r="A807" s="7" t="s">
        <v>58</v>
      </c>
      <c r="B807" s="2" t="s">
        <v>10617</v>
      </c>
      <c r="C807" s="2" t="s">
        <v>10618</v>
      </c>
      <c r="D807" s="2" t="s">
        <v>10619</v>
      </c>
      <c r="F807" s="3" t="s">
        <v>58</v>
      </c>
      <c r="G807" s="3" t="s">
        <v>59</v>
      </c>
      <c r="H807" s="3" t="s">
        <v>58</v>
      </c>
      <c r="I807" s="3" t="s">
        <v>58</v>
      </c>
      <c r="J807" s="3" t="s">
        <v>60</v>
      </c>
      <c r="K807" s="2" t="s">
        <v>10620</v>
      </c>
      <c r="L807" s="2" t="s">
        <v>10621</v>
      </c>
      <c r="M807" s="3" t="s">
        <v>1209</v>
      </c>
      <c r="O807" s="3" t="s">
        <v>65</v>
      </c>
      <c r="P807" s="3" t="s">
        <v>8794</v>
      </c>
      <c r="R807" s="3" t="s">
        <v>67</v>
      </c>
      <c r="S807" s="4">
        <v>17</v>
      </c>
      <c r="T807" s="4">
        <v>17</v>
      </c>
      <c r="U807" s="5" t="s">
        <v>10622</v>
      </c>
      <c r="V807" s="5" t="s">
        <v>10622</v>
      </c>
      <c r="W807" s="5" t="s">
        <v>10555</v>
      </c>
      <c r="X807" s="5" t="s">
        <v>10555</v>
      </c>
      <c r="Y807" s="4">
        <v>63</v>
      </c>
      <c r="Z807" s="4">
        <v>61</v>
      </c>
      <c r="AA807" s="4">
        <v>123</v>
      </c>
      <c r="AB807" s="4">
        <v>1</v>
      </c>
      <c r="AC807" s="4">
        <v>2</v>
      </c>
      <c r="AD807" s="4">
        <v>1</v>
      </c>
      <c r="AE807" s="4">
        <v>4</v>
      </c>
      <c r="AF807" s="4">
        <v>0</v>
      </c>
      <c r="AG807" s="4">
        <v>1</v>
      </c>
      <c r="AH807" s="4">
        <v>1</v>
      </c>
      <c r="AI807" s="4">
        <v>1</v>
      </c>
      <c r="AJ807" s="4">
        <v>1</v>
      </c>
      <c r="AK807" s="4">
        <v>2</v>
      </c>
      <c r="AL807" s="4">
        <v>0</v>
      </c>
      <c r="AM807" s="4">
        <v>1</v>
      </c>
      <c r="AN807" s="4">
        <v>0</v>
      </c>
      <c r="AO807" s="4">
        <v>0</v>
      </c>
      <c r="AP807" s="3" t="s">
        <v>58</v>
      </c>
      <c r="AQ807" s="3" t="s">
        <v>58</v>
      </c>
      <c r="AS807" s="6" t="str">
        <f>HYPERLINK("https://creighton-primo.hosted.exlibrisgroup.com/primo-explore/search?tab=default_tab&amp;search_scope=EVERYTHING&amp;vid=01CRU&amp;lang=en_US&amp;offset=0&amp;query=any,contains,991001406659702656","Catalog Record")</f>
        <v>Catalog Record</v>
      </c>
      <c r="AT807" s="6" t="str">
        <f>HYPERLINK("http://www.worldcat.org/oclc/18845418","WorldCat Record")</f>
        <v>WorldCat Record</v>
      </c>
      <c r="AU807" s="3" t="s">
        <v>10623</v>
      </c>
      <c r="AV807" s="3" t="s">
        <v>10624</v>
      </c>
      <c r="AW807" s="3" t="s">
        <v>10625</v>
      </c>
      <c r="AX807" s="3" t="s">
        <v>10625</v>
      </c>
      <c r="AY807" s="3" t="s">
        <v>10626</v>
      </c>
      <c r="AZ807" s="3" t="s">
        <v>74</v>
      </c>
      <c r="BC807" s="3" t="s">
        <v>10627</v>
      </c>
      <c r="BD807" s="3" t="s">
        <v>10628</v>
      </c>
    </row>
    <row r="808" spans="1:56" ht="45.75" customHeight="1" x14ac:dyDescent="0.25">
      <c r="A808" s="7" t="s">
        <v>58</v>
      </c>
      <c r="B808" s="2" t="s">
        <v>10629</v>
      </c>
      <c r="C808" s="2" t="s">
        <v>10630</v>
      </c>
      <c r="D808" s="2" t="s">
        <v>10631</v>
      </c>
      <c r="F808" s="3" t="s">
        <v>58</v>
      </c>
      <c r="G808" s="3" t="s">
        <v>59</v>
      </c>
      <c r="H808" s="3" t="s">
        <v>58</v>
      </c>
      <c r="I808" s="3" t="s">
        <v>58</v>
      </c>
      <c r="J808" s="3" t="s">
        <v>60</v>
      </c>
      <c r="K808" s="2" t="s">
        <v>10632</v>
      </c>
      <c r="L808" s="2" t="s">
        <v>10633</v>
      </c>
      <c r="M808" s="3" t="s">
        <v>1209</v>
      </c>
      <c r="N808" s="2" t="s">
        <v>64</v>
      </c>
      <c r="O808" s="3" t="s">
        <v>65</v>
      </c>
      <c r="P808" s="3" t="s">
        <v>66</v>
      </c>
      <c r="Q808" s="2" t="s">
        <v>10634</v>
      </c>
      <c r="R808" s="3" t="s">
        <v>67</v>
      </c>
      <c r="S808" s="4">
        <v>13</v>
      </c>
      <c r="T808" s="4">
        <v>13</v>
      </c>
      <c r="U808" s="5" t="s">
        <v>8743</v>
      </c>
      <c r="V808" s="5" t="s">
        <v>8743</v>
      </c>
      <c r="W808" s="5" t="s">
        <v>10555</v>
      </c>
      <c r="X808" s="5" t="s">
        <v>10555</v>
      </c>
      <c r="Y808" s="4">
        <v>458</v>
      </c>
      <c r="Z808" s="4">
        <v>438</v>
      </c>
      <c r="AA808" s="4">
        <v>647</v>
      </c>
      <c r="AB808" s="4">
        <v>4</v>
      </c>
      <c r="AC808" s="4">
        <v>6</v>
      </c>
      <c r="AD808" s="4">
        <v>11</v>
      </c>
      <c r="AE808" s="4">
        <v>19</v>
      </c>
      <c r="AF808" s="4">
        <v>5</v>
      </c>
      <c r="AG808" s="4">
        <v>8</v>
      </c>
      <c r="AH808" s="4">
        <v>2</v>
      </c>
      <c r="AI808" s="4">
        <v>3</v>
      </c>
      <c r="AJ808" s="4">
        <v>6</v>
      </c>
      <c r="AK808" s="4">
        <v>8</v>
      </c>
      <c r="AL808" s="4">
        <v>3</v>
      </c>
      <c r="AM808" s="4">
        <v>5</v>
      </c>
      <c r="AN808" s="4">
        <v>0</v>
      </c>
      <c r="AO808" s="4">
        <v>1</v>
      </c>
      <c r="AP808" s="3" t="s">
        <v>58</v>
      </c>
      <c r="AQ808" s="3" t="s">
        <v>58</v>
      </c>
      <c r="AS808" s="6" t="str">
        <f>HYPERLINK("https://creighton-primo.hosted.exlibrisgroup.com/primo-explore/search?tab=default_tab&amp;search_scope=EVERYTHING&amp;vid=01CRU&amp;lang=en_US&amp;offset=0&amp;query=any,contains,991000976499702656","Catalog Record")</f>
        <v>Catalog Record</v>
      </c>
      <c r="AT808" s="6" t="str">
        <f>HYPERLINK("http://www.worldcat.org/oclc/15016312","WorldCat Record")</f>
        <v>WorldCat Record</v>
      </c>
      <c r="AU808" s="3" t="s">
        <v>10635</v>
      </c>
      <c r="AV808" s="3" t="s">
        <v>10636</v>
      </c>
      <c r="AW808" s="3" t="s">
        <v>10637</v>
      </c>
      <c r="AX808" s="3" t="s">
        <v>10637</v>
      </c>
      <c r="AY808" s="3" t="s">
        <v>10638</v>
      </c>
      <c r="AZ808" s="3" t="s">
        <v>74</v>
      </c>
      <c r="BB808" s="3" t="s">
        <v>10639</v>
      </c>
      <c r="BC808" s="3" t="s">
        <v>10640</v>
      </c>
      <c r="BD808" s="3" t="s">
        <v>10641</v>
      </c>
    </row>
    <row r="809" spans="1:56" ht="45.75" customHeight="1" x14ac:dyDescent="0.25">
      <c r="A809" s="7" t="s">
        <v>58</v>
      </c>
      <c r="B809" s="2" t="s">
        <v>10642</v>
      </c>
      <c r="C809" s="2" t="s">
        <v>10643</v>
      </c>
      <c r="D809" s="2" t="s">
        <v>10644</v>
      </c>
      <c r="F809" s="3" t="s">
        <v>58</v>
      </c>
      <c r="G809" s="3" t="s">
        <v>59</v>
      </c>
      <c r="H809" s="3" t="s">
        <v>58</v>
      </c>
      <c r="I809" s="3" t="s">
        <v>58</v>
      </c>
      <c r="J809" s="3" t="s">
        <v>60</v>
      </c>
      <c r="K809" s="2" t="s">
        <v>10645</v>
      </c>
      <c r="L809" s="2" t="s">
        <v>10646</v>
      </c>
      <c r="M809" s="3" t="s">
        <v>867</v>
      </c>
      <c r="N809" s="2" t="s">
        <v>685</v>
      </c>
      <c r="O809" s="3" t="s">
        <v>65</v>
      </c>
      <c r="P809" s="3" t="s">
        <v>84</v>
      </c>
      <c r="R809" s="3" t="s">
        <v>67</v>
      </c>
      <c r="S809" s="4">
        <v>25</v>
      </c>
      <c r="T809" s="4">
        <v>25</v>
      </c>
      <c r="U809" s="5" t="s">
        <v>10582</v>
      </c>
      <c r="V809" s="5" t="s">
        <v>10582</v>
      </c>
      <c r="W809" s="5" t="s">
        <v>7808</v>
      </c>
      <c r="X809" s="5" t="s">
        <v>7808</v>
      </c>
      <c r="Y809" s="4">
        <v>364</v>
      </c>
      <c r="Z809" s="4">
        <v>344</v>
      </c>
      <c r="AA809" s="4">
        <v>915</v>
      </c>
      <c r="AB809" s="4">
        <v>5</v>
      </c>
      <c r="AC809" s="4">
        <v>10</v>
      </c>
      <c r="AD809" s="4">
        <v>1</v>
      </c>
      <c r="AE809" s="4">
        <v>8</v>
      </c>
      <c r="AF809" s="4">
        <v>0</v>
      </c>
      <c r="AG809" s="4">
        <v>1</v>
      </c>
      <c r="AH809" s="4">
        <v>1</v>
      </c>
      <c r="AI809" s="4">
        <v>2</v>
      </c>
      <c r="AJ809" s="4">
        <v>0</v>
      </c>
      <c r="AK809" s="4">
        <v>3</v>
      </c>
      <c r="AL809" s="4">
        <v>0</v>
      </c>
      <c r="AM809" s="4">
        <v>0</v>
      </c>
      <c r="AN809" s="4">
        <v>0</v>
      </c>
      <c r="AO809" s="4">
        <v>3</v>
      </c>
      <c r="AP809" s="3" t="s">
        <v>58</v>
      </c>
      <c r="AQ809" s="3" t="s">
        <v>58</v>
      </c>
      <c r="AS809" s="6" t="str">
        <f>HYPERLINK("https://creighton-primo.hosted.exlibrisgroup.com/primo-explore/search?tab=default_tab&amp;search_scope=EVERYTHING&amp;vid=01CRU&amp;lang=en_US&amp;offset=0&amp;query=any,contains,991002040039702656","Catalog Record")</f>
        <v>Catalog Record</v>
      </c>
      <c r="AT809" s="6" t="str">
        <f>HYPERLINK("http://www.worldcat.org/oclc/26014711","WorldCat Record")</f>
        <v>WorldCat Record</v>
      </c>
      <c r="AU809" s="3" t="s">
        <v>10647</v>
      </c>
      <c r="AV809" s="3" t="s">
        <v>10648</v>
      </c>
      <c r="AW809" s="3" t="s">
        <v>10649</v>
      </c>
      <c r="AX809" s="3" t="s">
        <v>10649</v>
      </c>
      <c r="AY809" s="3" t="s">
        <v>10650</v>
      </c>
      <c r="AZ809" s="3" t="s">
        <v>74</v>
      </c>
      <c r="BB809" s="3" t="s">
        <v>10651</v>
      </c>
      <c r="BC809" s="3" t="s">
        <v>10652</v>
      </c>
      <c r="BD809" s="3" t="s">
        <v>10653</v>
      </c>
    </row>
    <row r="810" spans="1:56" ht="45.75" customHeight="1" x14ac:dyDescent="0.25">
      <c r="A810" s="7" t="s">
        <v>58</v>
      </c>
      <c r="B810" s="2" t="s">
        <v>10654</v>
      </c>
      <c r="C810" s="2" t="s">
        <v>10655</v>
      </c>
      <c r="D810" s="2" t="s">
        <v>10656</v>
      </c>
      <c r="F810" s="3" t="s">
        <v>58</v>
      </c>
      <c r="G810" s="3" t="s">
        <v>59</v>
      </c>
      <c r="H810" s="3" t="s">
        <v>58</v>
      </c>
      <c r="I810" s="3" t="s">
        <v>58</v>
      </c>
      <c r="J810" s="3" t="s">
        <v>60</v>
      </c>
      <c r="K810" s="2" t="s">
        <v>10657</v>
      </c>
      <c r="L810" s="2" t="s">
        <v>10658</v>
      </c>
      <c r="M810" s="3" t="s">
        <v>629</v>
      </c>
      <c r="O810" s="3" t="s">
        <v>65</v>
      </c>
      <c r="P810" s="3" t="s">
        <v>84</v>
      </c>
      <c r="R810" s="3" t="s">
        <v>67</v>
      </c>
      <c r="S810" s="4">
        <v>10</v>
      </c>
      <c r="T810" s="4">
        <v>10</v>
      </c>
      <c r="U810" s="5" t="s">
        <v>10502</v>
      </c>
      <c r="V810" s="5" t="s">
        <v>10502</v>
      </c>
      <c r="W810" s="5" t="s">
        <v>10659</v>
      </c>
      <c r="X810" s="5" t="s">
        <v>10659</v>
      </c>
      <c r="Y810" s="4">
        <v>708</v>
      </c>
      <c r="Z810" s="4">
        <v>620</v>
      </c>
      <c r="AA810" s="4">
        <v>625</v>
      </c>
      <c r="AB810" s="4">
        <v>6</v>
      </c>
      <c r="AC810" s="4">
        <v>6</v>
      </c>
      <c r="AD810" s="4">
        <v>34</v>
      </c>
      <c r="AE810" s="4">
        <v>34</v>
      </c>
      <c r="AF810" s="4">
        <v>10</v>
      </c>
      <c r="AG810" s="4">
        <v>10</v>
      </c>
      <c r="AH810" s="4">
        <v>8</v>
      </c>
      <c r="AI810" s="4">
        <v>8</v>
      </c>
      <c r="AJ810" s="4">
        <v>16</v>
      </c>
      <c r="AK810" s="4">
        <v>16</v>
      </c>
      <c r="AL810" s="4">
        <v>5</v>
      </c>
      <c r="AM810" s="4">
        <v>5</v>
      </c>
      <c r="AN810" s="4">
        <v>1</v>
      </c>
      <c r="AO810" s="4">
        <v>1</v>
      </c>
      <c r="AP810" s="3" t="s">
        <v>58</v>
      </c>
      <c r="AQ810" s="3" t="s">
        <v>58</v>
      </c>
      <c r="AS810" s="6" t="str">
        <f>HYPERLINK("https://creighton-primo.hosted.exlibrisgroup.com/primo-explore/search?tab=default_tab&amp;search_scope=EVERYTHING&amp;vid=01CRU&amp;lang=en_US&amp;offset=0&amp;query=any,contains,991002254979702656","Catalog Record")</f>
        <v>Catalog Record</v>
      </c>
      <c r="AT810" s="6" t="str">
        <f>HYPERLINK("http://www.worldcat.org/oclc/29220219","WorldCat Record")</f>
        <v>WorldCat Record</v>
      </c>
      <c r="AU810" s="3" t="s">
        <v>10660</v>
      </c>
      <c r="AV810" s="3" t="s">
        <v>10661</v>
      </c>
      <c r="AW810" s="3" t="s">
        <v>10662</v>
      </c>
      <c r="AX810" s="3" t="s">
        <v>10662</v>
      </c>
      <c r="AY810" s="3" t="s">
        <v>10663</v>
      </c>
      <c r="AZ810" s="3" t="s">
        <v>74</v>
      </c>
      <c r="BB810" s="3" t="s">
        <v>10664</v>
      </c>
      <c r="BC810" s="3" t="s">
        <v>10665</v>
      </c>
      <c r="BD810" s="3" t="s">
        <v>10666</v>
      </c>
    </row>
    <row r="811" spans="1:56" ht="45.75" customHeight="1" x14ac:dyDescent="0.25">
      <c r="A811" s="7" t="s">
        <v>58</v>
      </c>
      <c r="B811" s="2" t="s">
        <v>10667</v>
      </c>
      <c r="C811" s="2" t="s">
        <v>10668</v>
      </c>
      <c r="D811" s="2" t="s">
        <v>10669</v>
      </c>
      <c r="F811" s="3" t="s">
        <v>58</v>
      </c>
      <c r="G811" s="3" t="s">
        <v>59</v>
      </c>
      <c r="H811" s="3" t="s">
        <v>58</v>
      </c>
      <c r="I811" s="3" t="s">
        <v>58</v>
      </c>
      <c r="J811" s="3" t="s">
        <v>60</v>
      </c>
      <c r="L811" s="2" t="s">
        <v>10670</v>
      </c>
      <c r="M811" s="3" t="s">
        <v>629</v>
      </c>
      <c r="O811" s="3" t="s">
        <v>65</v>
      </c>
      <c r="P811" s="3" t="s">
        <v>84</v>
      </c>
      <c r="R811" s="3" t="s">
        <v>67</v>
      </c>
      <c r="S811" s="4">
        <v>28</v>
      </c>
      <c r="T811" s="4">
        <v>28</v>
      </c>
      <c r="U811" s="5" t="s">
        <v>10671</v>
      </c>
      <c r="V811" s="5" t="s">
        <v>10671</v>
      </c>
      <c r="W811" s="5" t="s">
        <v>10672</v>
      </c>
      <c r="X811" s="5" t="s">
        <v>10672</v>
      </c>
      <c r="Y811" s="4">
        <v>382</v>
      </c>
      <c r="Z811" s="4">
        <v>331</v>
      </c>
      <c r="AA811" s="4">
        <v>336</v>
      </c>
      <c r="AB811" s="4">
        <v>2</v>
      </c>
      <c r="AC811" s="4">
        <v>2</v>
      </c>
      <c r="AD811" s="4">
        <v>16</v>
      </c>
      <c r="AE811" s="4">
        <v>16</v>
      </c>
      <c r="AF811" s="4">
        <v>4</v>
      </c>
      <c r="AG811" s="4">
        <v>4</v>
      </c>
      <c r="AH811" s="4">
        <v>4</v>
      </c>
      <c r="AI811" s="4">
        <v>4</v>
      </c>
      <c r="AJ811" s="4">
        <v>12</v>
      </c>
      <c r="AK811" s="4">
        <v>12</v>
      </c>
      <c r="AL811" s="4">
        <v>1</v>
      </c>
      <c r="AM811" s="4">
        <v>1</v>
      </c>
      <c r="AN811" s="4">
        <v>1</v>
      </c>
      <c r="AO811" s="4">
        <v>1</v>
      </c>
      <c r="AP811" s="3" t="s">
        <v>58</v>
      </c>
      <c r="AQ811" s="3" t="s">
        <v>58</v>
      </c>
      <c r="AS811" s="6" t="str">
        <f>HYPERLINK("https://creighton-primo.hosted.exlibrisgroup.com/primo-explore/search?tab=default_tab&amp;search_scope=EVERYTHING&amp;vid=01CRU&amp;lang=en_US&amp;offset=0&amp;query=any,contains,991005419069702656","Catalog Record")</f>
        <v>Catalog Record</v>
      </c>
      <c r="AT811" s="6" t="str">
        <f>HYPERLINK("http://www.worldcat.org/oclc/30544877","WorldCat Record")</f>
        <v>WorldCat Record</v>
      </c>
      <c r="AU811" s="3" t="s">
        <v>10673</v>
      </c>
      <c r="AV811" s="3" t="s">
        <v>10674</v>
      </c>
      <c r="AW811" s="3" t="s">
        <v>10675</v>
      </c>
      <c r="AX811" s="3" t="s">
        <v>10675</v>
      </c>
      <c r="AY811" s="3" t="s">
        <v>10676</v>
      </c>
      <c r="AZ811" s="3" t="s">
        <v>74</v>
      </c>
      <c r="BB811" s="3" t="s">
        <v>10677</v>
      </c>
      <c r="BC811" s="3" t="s">
        <v>10678</v>
      </c>
      <c r="BD811" s="3" t="s">
        <v>10679</v>
      </c>
    </row>
    <row r="812" spans="1:56" ht="45.75" customHeight="1" x14ac:dyDescent="0.25">
      <c r="A812" s="7" t="s">
        <v>58</v>
      </c>
      <c r="B812" s="2" t="s">
        <v>10680</v>
      </c>
      <c r="C812" s="2" t="s">
        <v>10681</v>
      </c>
      <c r="D812" s="2" t="s">
        <v>10682</v>
      </c>
      <c r="F812" s="3" t="s">
        <v>58</v>
      </c>
      <c r="G812" s="3" t="s">
        <v>59</v>
      </c>
      <c r="H812" s="3" t="s">
        <v>58</v>
      </c>
      <c r="I812" s="3" t="s">
        <v>58</v>
      </c>
      <c r="J812" s="3" t="s">
        <v>60</v>
      </c>
      <c r="K812" s="2" t="s">
        <v>10683</v>
      </c>
      <c r="L812" s="2" t="s">
        <v>10684</v>
      </c>
      <c r="M812" s="3" t="s">
        <v>2146</v>
      </c>
      <c r="N812" s="2" t="s">
        <v>4473</v>
      </c>
      <c r="O812" s="3" t="s">
        <v>65</v>
      </c>
      <c r="P812" s="3" t="s">
        <v>84</v>
      </c>
      <c r="R812" s="3" t="s">
        <v>67</v>
      </c>
      <c r="S812" s="4">
        <v>6</v>
      </c>
      <c r="T812" s="4">
        <v>6</v>
      </c>
      <c r="U812" s="5" t="s">
        <v>10685</v>
      </c>
      <c r="V812" s="5" t="s">
        <v>10685</v>
      </c>
      <c r="W812" s="5" t="s">
        <v>9192</v>
      </c>
      <c r="X812" s="5" t="s">
        <v>9192</v>
      </c>
      <c r="Y812" s="4">
        <v>686</v>
      </c>
      <c r="Z812" s="4">
        <v>577</v>
      </c>
      <c r="AA812" s="4">
        <v>633</v>
      </c>
      <c r="AB812" s="4">
        <v>4</v>
      </c>
      <c r="AC812" s="4">
        <v>4</v>
      </c>
      <c r="AD812" s="4">
        <v>30</v>
      </c>
      <c r="AE812" s="4">
        <v>32</v>
      </c>
      <c r="AF812" s="4">
        <v>6</v>
      </c>
      <c r="AG812" s="4">
        <v>7</v>
      </c>
      <c r="AH812" s="4">
        <v>7</v>
      </c>
      <c r="AI812" s="4">
        <v>7</v>
      </c>
      <c r="AJ812" s="4">
        <v>11</v>
      </c>
      <c r="AK812" s="4">
        <v>11</v>
      </c>
      <c r="AL812" s="4">
        <v>2</v>
      </c>
      <c r="AM812" s="4">
        <v>2</v>
      </c>
      <c r="AN812" s="4">
        <v>10</v>
      </c>
      <c r="AO812" s="4">
        <v>11</v>
      </c>
      <c r="AP812" s="3" t="s">
        <v>58</v>
      </c>
      <c r="AQ812" s="3" t="s">
        <v>87</v>
      </c>
      <c r="AR812" s="6" t="str">
        <f>HYPERLINK("http://catalog.hathitrust.org/Record/001134474","HathiTrust Record")</f>
        <v>HathiTrust Record</v>
      </c>
      <c r="AS812" s="6" t="str">
        <f>HYPERLINK("https://creighton-primo.hosted.exlibrisgroup.com/primo-explore/search?tab=default_tab&amp;search_scope=EVERYTHING&amp;vid=01CRU&amp;lang=en_US&amp;offset=0&amp;query=any,contains,991002082969702656","Catalog Record")</f>
        <v>Catalog Record</v>
      </c>
      <c r="AT812" s="6" t="str">
        <f>HYPERLINK("http://www.worldcat.org/oclc/264995","WorldCat Record")</f>
        <v>WorldCat Record</v>
      </c>
      <c r="AU812" s="3" t="s">
        <v>10686</v>
      </c>
      <c r="AV812" s="3" t="s">
        <v>10687</v>
      </c>
      <c r="AW812" s="3" t="s">
        <v>10688</v>
      </c>
      <c r="AX812" s="3" t="s">
        <v>10688</v>
      </c>
      <c r="AY812" s="3" t="s">
        <v>10689</v>
      </c>
      <c r="AZ812" s="3" t="s">
        <v>74</v>
      </c>
      <c r="BC812" s="3" t="s">
        <v>10690</v>
      </c>
      <c r="BD812" s="3" t="s">
        <v>10691</v>
      </c>
    </row>
    <row r="813" spans="1:56" ht="45.75" customHeight="1" x14ac:dyDescent="0.25">
      <c r="A813" s="7" t="s">
        <v>58</v>
      </c>
      <c r="B813" s="2" t="s">
        <v>10692</v>
      </c>
      <c r="C813" s="2" t="s">
        <v>10693</v>
      </c>
      <c r="D813" s="2" t="s">
        <v>10694</v>
      </c>
      <c r="F813" s="3" t="s">
        <v>58</v>
      </c>
      <c r="G813" s="3" t="s">
        <v>59</v>
      </c>
      <c r="H813" s="3" t="s">
        <v>58</v>
      </c>
      <c r="I813" s="3" t="s">
        <v>58</v>
      </c>
      <c r="J813" s="3" t="s">
        <v>60</v>
      </c>
      <c r="K813" s="2" t="s">
        <v>10695</v>
      </c>
      <c r="L813" s="2" t="s">
        <v>10696</v>
      </c>
      <c r="M813" s="3" t="s">
        <v>5819</v>
      </c>
      <c r="N813" s="2" t="s">
        <v>4473</v>
      </c>
      <c r="O813" s="3" t="s">
        <v>65</v>
      </c>
      <c r="P813" s="3" t="s">
        <v>204</v>
      </c>
      <c r="R813" s="3" t="s">
        <v>67</v>
      </c>
      <c r="S813" s="4">
        <v>5</v>
      </c>
      <c r="T813" s="4">
        <v>5</v>
      </c>
      <c r="U813" s="5" t="s">
        <v>10685</v>
      </c>
      <c r="V813" s="5" t="s">
        <v>10685</v>
      </c>
      <c r="W813" s="5" t="s">
        <v>9192</v>
      </c>
      <c r="X813" s="5" t="s">
        <v>9192</v>
      </c>
      <c r="Y813" s="4">
        <v>415</v>
      </c>
      <c r="Z813" s="4">
        <v>369</v>
      </c>
      <c r="AA813" s="4">
        <v>388</v>
      </c>
      <c r="AB813" s="4">
        <v>5</v>
      </c>
      <c r="AC813" s="4">
        <v>5</v>
      </c>
      <c r="AD813" s="4">
        <v>25</v>
      </c>
      <c r="AE813" s="4">
        <v>25</v>
      </c>
      <c r="AF813" s="4">
        <v>8</v>
      </c>
      <c r="AG813" s="4">
        <v>8</v>
      </c>
      <c r="AH813" s="4">
        <v>5</v>
      </c>
      <c r="AI813" s="4">
        <v>5</v>
      </c>
      <c r="AJ813" s="4">
        <v>15</v>
      </c>
      <c r="AK813" s="4">
        <v>15</v>
      </c>
      <c r="AL813" s="4">
        <v>2</v>
      </c>
      <c r="AM813" s="4">
        <v>2</v>
      </c>
      <c r="AN813" s="4">
        <v>3</v>
      </c>
      <c r="AO813" s="4">
        <v>3</v>
      </c>
      <c r="AP813" s="3" t="s">
        <v>87</v>
      </c>
      <c r="AQ813" s="3" t="s">
        <v>58</v>
      </c>
      <c r="AR813" s="6" t="str">
        <f>HYPERLINK("http://catalog.hathitrust.org/Record/001120376","HathiTrust Record")</f>
        <v>HathiTrust Record</v>
      </c>
      <c r="AS813" s="6" t="str">
        <f>HYPERLINK("https://creighton-primo.hosted.exlibrisgroup.com/primo-explore/search?tab=default_tab&amp;search_scope=EVERYTHING&amp;vid=01CRU&amp;lang=en_US&amp;offset=0&amp;query=any,contains,991002082949702656","Catalog Record")</f>
        <v>Catalog Record</v>
      </c>
      <c r="AT813" s="6" t="str">
        <f>HYPERLINK("http://www.worldcat.org/oclc/264990","WorldCat Record")</f>
        <v>WorldCat Record</v>
      </c>
      <c r="AU813" s="3" t="s">
        <v>10697</v>
      </c>
      <c r="AV813" s="3" t="s">
        <v>10698</v>
      </c>
      <c r="AW813" s="3" t="s">
        <v>10699</v>
      </c>
      <c r="AX813" s="3" t="s">
        <v>10699</v>
      </c>
      <c r="AY813" s="3" t="s">
        <v>10700</v>
      </c>
      <c r="AZ813" s="3" t="s">
        <v>74</v>
      </c>
      <c r="BC813" s="3" t="s">
        <v>10701</v>
      </c>
      <c r="BD813" s="3" t="s">
        <v>10702</v>
      </c>
    </row>
    <row r="814" spans="1:56" ht="45.75" customHeight="1" x14ac:dyDescent="0.25">
      <c r="A814" s="7" t="s">
        <v>58</v>
      </c>
      <c r="B814" s="2" t="s">
        <v>10703</v>
      </c>
      <c r="C814" s="2" t="s">
        <v>10704</v>
      </c>
      <c r="D814" s="2" t="s">
        <v>10705</v>
      </c>
      <c r="F814" s="3" t="s">
        <v>58</v>
      </c>
      <c r="G814" s="3" t="s">
        <v>59</v>
      </c>
      <c r="H814" s="3" t="s">
        <v>58</v>
      </c>
      <c r="I814" s="3" t="s">
        <v>58</v>
      </c>
      <c r="J814" s="3" t="s">
        <v>60</v>
      </c>
      <c r="K814" s="2" t="s">
        <v>10706</v>
      </c>
      <c r="L814" s="2" t="s">
        <v>10707</v>
      </c>
      <c r="M814" s="3" t="s">
        <v>162</v>
      </c>
      <c r="N814" s="2" t="s">
        <v>543</v>
      </c>
      <c r="O814" s="3" t="s">
        <v>65</v>
      </c>
      <c r="P814" s="3" t="s">
        <v>84</v>
      </c>
      <c r="R814" s="3" t="s">
        <v>67</v>
      </c>
      <c r="S814" s="4">
        <v>2</v>
      </c>
      <c r="T814" s="4">
        <v>2</v>
      </c>
      <c r="U814" s="5" t="s">
        <v>10708</v>
      </c>
      <c r="V814" s="5" t="s">
        <v>10708</v>
      </c>
      <c r="W814" s="5" t="s">
        <v>10709</v>
      </c>
      <c r="X814" s="5" t="s">
        <v>10709</v>
      </c>
      <c r="Y814" s="4">
        <v>1187</v>
      </c>
      <c r="Z814" s="4">
        <v>1147</v>
      </c>
      <c r="AA814" s="4">
        <v>1293</v>
      </c>
      <c r="AB814" s="4">
        <v>7</v>
      </c>
      <c r="AC814" s="4">
        <v>12</v>
      </c>
      <c r="AD814" s="4">
        <v>16</v>
      </c>
      <c r="AE814" s="4">
        <v>18</v>
      </c>
      <c r="AF814" s="4">
        <v>5</v>
      </c>
      <c r="AG814" s="4">
        <v>5</v>
      </c>
      <c r="AH814" s="4">
        <v>4</v>
      </c>
      <c r="AI814" s="4">
        <v>4</v>
      </c>
      <c r="AJ814" s="4">
        <v>10</v>
      </c>
      <c r="AK814" s="4">
        <v>10</v>
      </c>
      <c r="AL814" s="4">
        <v>1</v>
      </c>
      <c r="AM814" s="4">
        <v>3</v>
      </c>
      <c r="AN814" s="4">
        <v>1</v>
      </c>
      <c r="AO814" s="4">
        <v>1</v>
      </c>
      <c r="AP814" s="3" t="s">
        <v>58</v>
      </c>
      <c r="AQ814" s="3" t="s">
        <v>58</v>
      </c>
      <c r="AS814" s="6" t="str">
        <f>HYPERLINK("https://creighton-primo.hosted.exlibrisgroup.com/primo-explore/search?tab=default_tab&amp;search_scope=EVERYTHING&amp;vid=01CRU&amp;lang=en_US&amp;offset=0&amp;query=any,contains,991005319779702656","Catalog Record")</f>
        <v>Catalog Record</v>
      </c>
      <c r="AT814" s="6" t="str">
        <f>HYPERLINK("http://www.worldcat.org/oclc/191767740","WorldCat Record")</f>
        <v>WorldCat Record</v>
      </c>
      <c r="AU814" s="3" t="s">
        <v>10710</v>
      </c>
      <c r="AV814" s="3" t="s">
        <v>10711</v>
      </c>
      <c r="AW814" s="3" t="s">
        <v>10712</v>
      </c>
      <c r="AX814" s="3" t="s">
        <v>10712</v>
      </c>
      <c r="AY814" s="3" t="s">
        <v>10713</v>
      </c>
      <c r="AZ814" s="3" t="s">
        <v>74</v>
      </c>
      <c r="BB814" s="3" t="s">
        <v>10714</v>
      </c>
      <c r="BC814" s="3" t="s">
        <v>10715</v>
      </c>
      <c r="BD814" s="3" t="s">
        <v>10716</v>
      </c>
    </row>
    <row r="815" spans="1:56" ht="45.75" customHeight="1" x14ac:dyDescent="0.25">
      <c r="A815" s="7" t="s">
        <v>58</v>
      </c>
      <c r="B815" s="2" t="s">
        <v>10717</v>
      </c>
      <c r="C815" s="2" t="s">
        <v>10718</v>
      </c>
      <c r="D815" s="2" t="s">
        <v>10719</v>
      </c>
      <c r="F815" s="3" t="s">
        <v>58</v>
      </c>
      <c r="G815" s="3" t="s">
        <v>59</v>
      </c>
      <c r="H815" s="3" t="s">
        <v>58</v>
      </c>
      <c r="I815" s="3" t="s">
        <v>58</v>
      </c>
      <c r="J815" s="3" t="s">
        <v>60</v>
      </c>
      <c r="K815" s="2" t="s">
        <v>10720</v>
      </c>
      <c r="L815" s="2" t="s">
        <v>10721</v>
      </c>
      <c r="M815" s="3" t="s">
        <v>1623</v>
      </c>
      <c r="O815" s="3" t="s">
        <v>65</v>
      </c>
      <c r="P815" s="3" t="s">
        <v>84</v>
      </c>
      <c r="R815" s="3" t="s">
        <v>67</v>
      </c>
      <c r="S815" s="4">
        <v>3</v>
      </c>
      <c r="T815" s="4">
        <v>3</v>
      </c>
      <c r="U815" s="5" t="s">
        <v>10722</v>
      </c>
      <c r="V815" s="5" t="s">
        <v>10722</v>
      </c>
      <c r="W815" s="5" t="s">
        <v>9192</v>
      </c>
      <c r="X815" s="5" t="s">
        <v>9192</v>
      </c>
      <c r="Y815" s="4">
        <v>601</v>
      </c>
      <c r="Z815" s="4">
        <v>504</v>
      </c>
      <c r="AA815" s="4">
        <v>509</v>
      </c>
      <c r="AB815" s="4">
        <v>5</v>
      </c>
      <c r="AC815" s="4">
        <v>5</v>
      </c>
      <c r="AD815" s="4">
        <v>31</v>
      </c>
      <c r="AE815" s="4">
        <v>32</v>
      </c>
      <c r="AF815" s="4">
        <v>11</v>
      </c>
      <c r="AG815" s="4">
        <v>11</v>
      </c>
      <c r="AH815" s="4">
        <v>3</v>
      </c>
      <c r="AI815" s="4">
        <v>4</v>
      </c>
      <c r="AJ815" s="4">
        <v>12</v>
      </c>
      <c r="AK815" s="4">
        <v>13</v>
      </c>
      <c r="AL815" s="4">
        <v>4</v>
      </c>
      <c r="AM815" s="4">
        <v>4</v>
      </c>
      <c r="AN815" s="4">
        <v>5</v>
      </c>
      <c r="AO815" s="4">
        <v>5</v>
      </c>
      <c r="AP815" s="3" t="s">
        <v>58</v>
      </c>
      <c r="AQ815" s="3" t="s">
        <v>87</v>
      </c>
      <c r="AR815" s="6" t="str">
        <f>HYPERLINK("http://catalog.hathitrust.org/Record/001134482","HathiTrust Record")</f>
        <v>HathiTrust Record</v>
      </c>
      <c r="AS815" s="6" t="str">
        <f>HYPERLINK("https://creighton-primo.hosted.exlibrisgroup.com/primo-explore/search?tab=default_tab&amp;search_scope=EVERYTHING&amp;vid=01CRU&amp;lang=en_US&amp;offset=0&amp;query=any,contains,991002197909702656","Catalog Record")</f>
        <v>Catalog Record</v>
      </c>
      <c r="AT815" s="6" t="str">
        <f>HYPERLINK("http://www.worldcat.org/oclc/283690","WorldCat Record")</f>
        <v>WorldCat Record</v>
      </c>
      <c r="AU815" s="3" t="s">
        <v>10723</v>
      </c>
      <c r="AV815" s="3" t="s">
        <v>10724</v>
      </c>
      <c r="AW815" s="3" t="s">
        <v>10725</v>
      </c>
      <c r="AX815" s="3" t="s">
        <v>10725</v>
      </c>
      <c r="AY815" s="3" t="s">
        <v>10726</v>
      </c>
      <c r="AZ815" s="3" t="s">
        <v>74</v>
      </c>
      <c r="BC815" s="3" t="s">
        <v>10727</v>
      </c>
      <c r="BD815" s="3" t="s">
        <v>10728</v>
      </c>
    </row>
    <row r="816" spans="1:56" ht="45.75" customHeight="1" x14ac:dyDescent="0.25">
      <c r="A816" s="7" t="s">
        <v>58</v>
      </c>
      <c r="B816" s="2" t="s">
        <v>10729</v>
      </c>
      <c r="C816" s="2" t="s">
        <v>10730</v>
      </c>
      <c r="D816" s="2" t="s">
        <v>10731</v>
      </c>
      <c r="F816" s="3" t="s">
        <v>58</v>
      </c>
      <c r="G816" s="3" t="s">
        <v>59</v>
      </c>
      <c r="H816" s="3" t="s">
        <v>58</v>
      </c>
      <c r="I816" s="3" t="s">
        <v>58</v>
      </c>
      <c r="J816" s="3" t="s">
        <v>60</v>
      </c>
      <c r="K816" s="2" t="s">
        <v>10732</v>
      </c>
      <c r="L816" s="2" t="s">
        <v>10733</v>
      </c>
      <c r="M816" s="3" t="s">
        <v>131</v>
      </c>
      <c r="O816" s="3" t="s">
        <v>65</v>
      </c>
      <c r="P816" s="3" t="s">
        <v>84</v>
      </c>
      <c r="R816" s="3" t="s">
        <v>67</v>
      </c>
      <c r="S816" s="4">
        <v>1</v>
      </c>
      <c r="T816" s="4">
        <v>1</v>
      </c>
      <c r="U816" s="5" t="s">
        <v>10734</v>
      </c>
      <c r="V816" s="5" t="s">
        <v>10734</v>
      </c>
      <c r="W816" s="5" t="s">
        <v>10735</v>
      </c>
      <c r="X816" s="5" t="s">
        <v>10735</v>
      </c>
      <c r="Y816" s="4">
        <v>472</v>
      </c>
      <c r="Z816" s="4">
        <v>447</v>
      </c>
      <c r="AA816" s="4">
        <v>925</v>
      </c>
      <c r="AB816" s="4">
        <v>2</v>
      </c>
      <c r="AC816" s="4">
        <v>6</v>
      </c>
      <c r="AD816" s="4">
        <v>6</v>
      </c>
      <c r="AE816" s="4">
        <v>30</v>
      </c>
      <c r="AF816" s="4">
        <v>1</v>
      </c>
      <c r="AG816" s="4">
        <v>11</v>
      </c>
      <c r="AH816" s="4">
        <v>2</v>
      </c>
      <c r="AI816" s="4">
        <v>7</v>
      </c>
      <c r="AJ816" s="4">
        <v>4</v>
      </c>
      <c r="AK816" s="4">
        <v>10</v>
      </c>
      <c r="AL816" s="4">
        <v>1</v>
      </c>
      <c r="AM816" s="4">
        <v>5</v>
      </c>
      <c r="AN816" s="4">
        <v>1</v>
      </c>
      <c r="AO816" s="4">
        <v>2</v>
      </c>
      <c r="AP816" s="3" t="s">
        <v>58</v>
      </c>
      <c r="AQ816" s="3" t="s">
        <v>58</v>
      </c>
      <c r="AS816" s="6" t="str">
        <f>HYPERLINK("https://creighton-primo.hosted.exlibrisgroup.com/primo-explore/search?tab=default_tab&amp;search_scope=EVERYTHING&amp;vid=01CRU&amp;lang=en_US&amp;offset=0&amp;query=any,contains,991004730189702656","Catalog Record")</f>
        <v>Catalog Record</v>
      </c>
      <c r="AT816" s="6" t="str">
        <f>HYPERLINK("http://www.worldcat.org/oclc/61151485","WorldCat Record")</f>
        <v>WorldCat Record</v>
      </c>
      <c r="AU816" s="3" t="s">
        <v>10736</v>
      </c>
      <c r="AV816" s="3" t="s">
        <v>10737</v>
      </c>
      <c r="AW816" s="3" t="s">
        <v>10738</v>
      </c>
      <c r="AX816" s="3" t="s">
        <v>10738</v>
      </c>
      <c r="AY816" s="3" t="s">
        <v>10739</v>
      </c>
      <c r="AZ816" s="3" t="s">
        <v>74</v>
      </c>
      <c r="BB816" s="3" t="s">
        <v>10740</v>
      </c>
      <c r="BC816" s="3" t="s">
        <v>10741</v>
      </c>
      <c r="BD816" s="3" t="s">
        <v>10742</v>
      </c>
    </row>
    <row r="817" spans="1:56" ht="45.75" customHeight="1" x14ac:dyDescent="0.25">
      <c r="A817" s="7" t="s">
        <v>58</v>
      </c>
      <c r="B817" s="2" t="s">
        <v>10743</v>
      </c>
      <c r="C817" s="2" t="s">
        <v>10744</v>
      </c>
      <c r="D817" s="2" t="s">
        <v>10745</v>
      </c>
      <c r="F817" s="3" t="s">
        <v>58</v>
      </c>
      <c r="G817" s="3" t="s">
        <v>59</v>
      </c>
      <c r="H817" s="3" t="s">
        <v>58</v>
      </c>
      <c r="I817" s="3" t="s">
        <v>58</v>
      </c>
      <c r="J817" s="3" t="s">
        <v>60</v>
      </c>
      <c r="K817" s="2" t="s">
        <v>10746</v>
      </c>
      <c r="L817" s="2" t="s">
        <v>10747</v>
      </c>
      <c r="M817" s="3" t="s">
        <v>1254</v>
      </c>
      <c r="N817" s="2" t="s">
        <v>4053</v>
      </c>
      <c r="O817" s="3" t="s">
        <v>65</v>
      </c>
      <c r="P817" s="3" t="s">
        <v>84</v>
      </c>
      <c r="R817" s="3" t="s">
        <v>67</v>
      </c>
      <c r="S817" s="4">
        <v>2</v>
      </c>
      <c r="T817" s="4">
        <v>2</v>
      </c>
      <c r="U817" s="5" t="s">
        <v>10748</v>
      </c>
      <c r="V817" s="5" t="s">
        <v>10748</v>
      </c>
      <c r="W817" s="5" t="s">
        <v>5371</v>
      </c>
      <c r="X817" s="5" t="s">
        <v>5371</v>
      </c>
      <c r="Y817" s="4">
        <v>551</v>
      </c>
      <c r="Z817" s="4">
        <v>542</v>
      </c>
      <c r="AA817" s="4">
        <v>621</v>
      </c>
      <c r="AB817" s="4">
        <v>2</v>
      </c>
      <c r="AC817" s="4">
        <v>3</v>
      </c>
      <c r="AD817" s="4">
        <v>7</v>
      </c>
      <c r="AE817" s="4">
        <v>9</v>
      </c>
      <c r="AF817" s="4">
        <v>3</v>
      </c>
      <c r="AG817" s="4">
        <v>3</v>
      </c>
      <c r="AH817" s="4">
        <v>2</v>
      </c>
      <c r="AI817" s="4">
        <v>2</v>
      </c>
      <c r="AJ817" s="4">
        <v>5</v>
      </c>
      <c r="AK817" s="4">
        <v>6</v>
      </c>
      <c r="AL817" s="4">
        <v>0</v>
      </c>
      <c r="AM817" s="4">
        <v>1</v>
      </c>
      <c r="AN817" s="4">
        <v>0</v>
      </c>
      <c r="AO817" s="4">
        <v>0</v>
      </c>
      <c r="AP817" s="3" t="s">
        <v>58</v>
      </c>
      <c r="AQ817" s="3" t="s">
        <v>58</v>
      </c>
      <c r="AS817" s="6" t="str">
        <f>HYPERLINK("https://creighton-primo.hosted.exlibrisgroup.com/primo-explore/search?tab=default_tab&amp;search_scope=EVERYTHING&amp;vid=01CRU&amp;lang=en_US&amp;offset=0&amp;query=any,contains,991000514309702656","Catalog Record")</f>
        <v>Catalog Record</v>
      </c>
      <c r="AT817" s="6" t="str">
        <f>HYPERLINK("http://www.worldcat.org/oclc/11262238","WorldCat Record")</f>
        <v>WorldCat Record</v>
      </c>
      <c r="AU817" s="3" t="s">
        <v>10749</v>
      </c>
      <c r="AV817" s="3" t="s">
        <v>10750</v>
      </c>
      <c r="AW817" s="3" t="s">
        <v>10751</v>
      </c>
      <c r="AX817" s="3" t="s">
        <v>10751</v>
      </c>
      <c r="AY817" s="3" t="s">
        <v>10752</v>
      </c>
      <c r="AZ817" s="3" t="s">
        <v>74</v>
      </c>
      <c r="BB817" s="3" t="s">
        <v>10753</v>
      </c>
      <c r="BC817" s="3" t="s">
        <v>10754</v>
      </c>
      <c r="BD817" s="3" t="s">
        <v>10755</v>
      </c>
    </row>
    <row r="818" spans="1:56" ht="45.75" customHeight="1" x14ac:dyDescent="0.25">
      <c r="A818" s="7" t="s">
        <v>58</v>
      </c>
      <c r="B818" s="2" t="s">
        <v>10756</v>
      </c>
      <c r="C818" s="2" t="s">
        <v>10757</v>
      </c>
      <c r="D818" s="2" t="s">
        <v>10758</v>
      </c>
      <c r="F818" s="3" t="s">
        <v>58</v>
      </c>
      <c r="G818" s="3" t="s">
        <v>59</v>
      </c>
      <c r="H818" s="3" t="s">
        <v>58</v>
      </c>
      <c r="I818" s="3" t="s">
        <v>58</v>
      </c>
      <c r="J818" s="3" t="s">
        <v>60</v>
      </c>
      <c r="K818" s="2" t="s">
        <v>10759</v>
      </c>
      <c r="L818" s="2" t="s">
        <v>10760</v>
      </c>
      <c r="M818" s="3" t="s">
        <v>573</v>
      </c>
      <c r="O818" s="3" t="s">
        <v>65</v>
      </c>
      <c r="P818" s="3" t="s">
        <v>292</v>
      </c>
      <c r="R818" s="3" t="s">
        <v>67</v>
      </c>
      <c r="S818" s="4">
        <v>1</v>
      </c>
      <c r="T818" s="4">
        <v>1</v>
      </c>
      <c r="U818" s="5" t="s">
        <v>2920</v>
      </c>
      <c r="V818" s="5" t="s">
        <v>2920</v>
      </c>
      <c r="W818" s="5" t="s">
        <v>10761</v>
      </c>
      <c r="X818" s="5" t="s">
        <v>10761</v>
      </c>
      <c r="Y818" s="4">
        <v>114</v>
      </c>
      <c r="Z818" s="4">
        <v>73</v>
      </c>
      <c r="AA818" s="4">
        <v>213</v>
      </c>
      <c r="AB818" s="4">
        <v>2</v>
      </c>
      <c r="AC818" s="4">
        <v>2</v>
      </c>
      <c r="AD818" s="4">
        <v>2</v>
      </c>
      <c r="AE818" s="4">
        <v>8</v>
      </c>
      <c r="AF818" s="4">
        <v>1</v>
      </c>
      <c r="AG818" s="4">
        <v>4</v>
      </c>
      <c r="AH818" s="4">
        <v>0</v>
      </c>
      <c r="AI818" s="4">
        <v>2</v>
      </c>
      <c r="AJ818" s="4">
        <v>1</v>
      </c>
      <c r="AK818" s="4">
        <v>5</v>
      </c>
      <c r="AL818" s="4">
        <v>1</v>
      </c>
      <c r="AM818" s="4">
        <v>1</v>
      </c>
      <c r="AN818" s="4">
        <v>0</v>
      </c>
      <c r="AO818" s="4">
        <v>0</v>
      </c>
      <c r="AP818" s="3" t="s">
        <v>58</v>
      </c>
      <c r="AQ818" s="3" t="s">
        <v>58</v>
      </c>
      <c r="AS818" s="6" t="str">
        <f>HYPERLINK("https://creighton-primo.hosted.exlibrisgroup.com/primo-explore/search?tab=default_tab&amp;search_scope=EVERYTHING&amp;vid=01CRU&amp;lang=en_US&amp;offset=0&amp;query=any,contains,991003845079702656","Catalog Record")</f>
        <v>Catalog Record</v>
      </c>
      <c r="AT818" s="6" t="str">
        <f>HYPERLINK("http://www.worldcat.org/oclc/49860009","WorldCat Record")</f>
        <v>WorldCat Record</v>
      </c>
      <c r="AU818" s="3" t="s">
        <v>10762</v>
      </c>
      <c r="AV818" s="3" t="s">
        <v>10763</v>
      </c>
      <c r="AW818" s="3" t="s">
        <v>10764</v>
      </c>
      <c r="AX818" s="3" t="s">
        <v>10764</v>
      </c>
      <c r="AY818" s="3" t="s">
        <v>10765</v>
      </c>
      <c r="AZ818" s="3" t="s">
        <v>74</v>
      </c>
      <c r="BB818" s="3" t="s">
        <v>10766</v>
      </c>
      <c r="BC818" s="3" t="s">
        <v>10767</v>
      </c>
      <c r="BD818" s="3" t="s">
        <v>10768</v>
      </c>
    </row>
    <row r="819" spans="1:56" ht="45.75" customHeight="1" x14ac:dyDescent="0.25">
      <c r="A819" s="7" t="s">
        <v>58</v>
      </c>
      <c r="B819" s="2" t="s">
        <v>10769</v>
      </c>
      <c r="C819" s="2" t="s">
        <v>10770</v>
      </c>
      <c r="D819" s="2" t="s">
        <v>10771</v>
      </c>
      <c r="F819" s="3" t="s">
        <v>58</v>
      </c>
      <c r="G819" s="3" t="s">
        <v>59</v>
      </c>
      <c r="H819" s="3" t="s">
        <v>58</v>
      </c>
      <c r="I819" s="3" t="s">
        <v>58</v>
      </c>
      <c r="J819" s="3" t="s">
        <v>60</v>
      </c>
      <c r="K819" s="2" t="s">
        <v>10759</v>
      </c>
      <c r="L819" s="2" t="s">
        <v>10772</v>
      </c>
      <c r="M819" s="3" t="s">
        <v>147</v>
      </c>
      <c r="O819" s="3" t="s">
        <v>65</v>
      </c>
      <c r="P819" s="3" t="s">
        <v>1224</v>
      </c>
      <c r="R819" s="3" t="s">
        <v>67</v>
      </c>
      <c r="S819" s="4">
        <v>2</v>
      </c>
      <c r="T819" s="4">
        <v>2</v>
      </c>
      <c r="U819" s="5" t="s">
        <v>10773</v>
      </c>
      <c r="V819" s="5" t="s">
        <v>10773</v>
      </c>
      <c r="W819" s="5" t="s">
        <v>10774</v>
      </c>
      <c r="X819" s="5" t="s">
        <v>10774</v>
      </c>
      <c r="Y819" s="4">
        <v>220</v>
      </c>
      <c r="Z819" s="4">
        <v>153</v>
      </c>
      <c r="AA819" s="4">
        <v>153</v>
      </c>
      <c r="AB819" s="4">
        <v>1</v>
      </c>
      <c r="AC819" s="4">
        <v>1</v>
      </c>
      <c r="AD819" s="4">
        <v>8</v>
      </c>
      <c r="AE819" s="4">
        <v>8</v>
      </c>
      <c r="AF819" s="4">
        <v>4</v>
      </c>
      <c r="AG819" s="4">
        <v>4</v>
      </c>
      <c r="AH819" s="4">
        <v>1</v>
      </c>
      <c r="AI819" s="4">
        <v>1</v>
      </c>
      <c r="AJ819" s="4">
        <v>5</v>
      </c>
      <c r="AK819" s="4">
        <v>5</v>
      </c>
      <c r="AL819" s="4">
        <v>0</v>
      </c>
      <c r="AM819" s="4">
        <v>0</v>
      </c>
      <c r="AN819" s="4">
        <v>1</v>
      </c>
      <c r="AO819" s="4">
        <v>1</v>
      </c>
      <c r="AP819" s="3" t="s">
        <v>58</v>
      </c>
      <c r="AQ819" s="3" t="s">
        <v>58</v>
      </c>
      <c r="AS819" s="6" t="str">
        <f>HYPERLINK("https://creighton-primo.hosted.exlibrisgroup.com/primo-explore/search?tab=default_tab&amp;search_scope=EVERYTHING&amp;vid=01CRU&amp;lang=en_US&amp;offset=0&amp;query=any,contains,991004959339702656","Catalog Record")</f>
        <v>Catalog Record</v>
      </c>
      <c r="AT819" s="6" t="str">
        <f>HYPERLINK("http://www.worldcat.org/oclc/52139643","WorldCat Record")</f>
        <v>WorldCat Record</v>
      </c>
      <c r="AU819" s="3" t="s">
        <v>10775</v>
      </c>
      <c r="AV819" s="3" t="s">
        <v>10776</v>
      </c>
      <c r="AW819" s="3" t="s">
        <v>10777</v>
      </c>
      <c r="AX819" s="3" t="s">
        <v>10777</v>
      </c>
      <c r="AY819" s="3" t="s">
        <v>10778</v>
      </c>
      <c r="AZ819" s="3" t="s">
        <v>74</v>
      </c>
      <c r="BB819" s="3" t="s">
        <v>10779</v>
      </c>
      <c r="BC819" s="3" t="s">
        <v>10780</v>
      </c>
      <c r="BD819" s="3" t="s">
        <v>10781</v>
      </c>
    </row>
    <row r="820" spans="1:56" ht="45.75" customHeight="1" x14ac:dyDescent="0.25">
      <c r="A820" s="7" t="s">
        <v>58</v>
      </c>
      <c r="B820" s="2" t="s">
        <v>10782</v>
      </c>
      <c r="C820" s="2" t="s">
        <v>10783</v>
      </c>
      <c r="D820" s="2" t="s">
        <v>10784</v>
      </c>
      <c r="F820" s="3" t="s">
        <v>58</v>
      </c>
      <c r="G820" s="3" t="s">
        <v>59</v>
      </c>
      <c r="H820" s="3" t="s">
        <v>58</v>
      </c>
      <c r="I820" s="3" t="s">
        <v>58</v>
      </c>
      <c r="J820" s="3" t="s">
        <v>60</v>
      </c>
      <c r="K820" s="2" t="s">
        <v>10785</v>
      </c>
      <c r="L820" s="2" t="s">
        <v>10786</v>
      </c>
      <c r="M820" s="3" t="s">
        <v>1254</v>
      </c>
      <c r="O820" s="3" t="s">
        <v>65</v>
      </c>
      <c r="P820" s="3" t="s">
        <v>148</v>
      </c>
      <c r="R820" s="3" t="s">
        <v>67</v>
      </c>
      <c r="S820" s="4">
        <v>5</v>
      </c>
      <c r="T820" s="4">
        <v>5</v>
      </c>
      <c r="U820" s="5" t="s">
        <v>10787</v>
      </c>
      <c r="V820" s="5" t="s">
        <v>10787</v>
      </c>
      <c r="W820" s="5" t="s">
        <v>5371</v>
      </c>
      <c r="X820" s="5" t="s">
        <v>5371</v>
      </c>
      <c r="Y820" s="4">
        <v>387</v>
      </c>
      <c r="Z820" s="4">
        <v>309</v>
      </c>
      <c r="AA820" s="4">
        <v>311</v>
      </c>
      <c r="AB820" s="4">
        <v>5</v>
      </c>
      <c r="AC820" s="4">
        <v>5</v>
      </c>
      <c r="AD820" s="4">
        <v>19</v>
      </c>
      <c r="AE820" s="4">
        <v>19</v>
      </c>
      <c r="AF820" s="4">
        <v>4</v>
      </c>
      <c r="AG820" s="4">
        <v>4</v>
      </c>
      <c r="AH820" s="4">
        <v>6</v>
      </c>
      <c r="AI820" s="4">
        <v>6</v>
      </c>
      <c r="AJ820" s="4">
        <v>9</v>
      </c>
      <c r="AK820" s="4">
        <v>9</v>
      </c>
      <c r="AL820" s="4">
        <v>4</v>
      </c>
      <c r="AM820" s="4">
        <v>4</v>
      </c>
      <c r="AN820" s="4">
        <v>1</v>
      </c>
      <c r="AO820" s="4">
        <v>1</v>
      </c>
      <c r="AP820" s="3" t="s">
        <v>58</v>
      </c>
      <c r="AQ820" s="3" t="s">
        <v>87</v>
      </c>
      <c r="AR820" s="6" t="str">
        <f>HYPERLINK("http://catalog.hathitrust.org/Record/000288676","HathiTrust Record")</f>
        <v>HathiTrust Record</v>
      </c>
      <c r="AS820" s="6" t="str">
        <f>HYPERLINK("https://creighton-primo.hosted.exlibrisgroup.com/primo-explore/search?tab=default_tab&amp;search_scope=EVERYTHING&amp;vid=01CRU&amp;lang=en_US&amp;offset=0&amp;query=any,contains,991000434389702656","Catalog Record")</f>
        <v>Catalog Record</v>
      </c>
      <c r="AT820" s="6" t="str">
        <f>HYPERLINK("http://www.worldcat.org/oclc/10780823","WorldCat Record")</f>
        <v>WorldCat Record</v>
      </c>
      <c r="AU820" s="3" t="s">
        <v>10788</v>
      </c>
      <c r="AV820" s="3" t="s">
        <v>10789</v>
      </c>
      <c r="AW820" s="3" t="s">
        <v>10790</v>
      </c>
      <c r="AX820" s="3" t="s">
        <v>10790</v>
      </c>
      <c r="AY820" s="3" t="s">
        <v>10791</v>
      </c>
      <c r="AZ820" s="3" t="s">
        <v>74</v>
      </c>
      <c r="BB820" s="3" t="s">
        <v>10792</v>
      </c>
      <c r="BC820" s="3" t="s">
        <v>10793</v>
      </c>
      <c r="BD820" s="3" t="s">
        <v>10794</v>
      </c>
    </row>
    <row r="821" spans="1:56" ht="45.75" customHeight="1" x14ac:dyDescent="0.25">
      <c r="A821" s="7" t="s">
        <v>58</v>
      </c>
      <c r="B821" s="2" t="s">
        <v>10795</v>
      </c>
      <c r="C821" s="2" t="s">
        <v>10796</v>
      </c>
      <c r="D821" s="2" t="s">
        <v>10797</v>
      </c>
      <c r="F821" s="3" t="s">
        <v>58</v>
      </c>
      <c r="G821" s="3" t="s">
        <v>59</v>
      </c>
      <c r="H821" s="3" t="s">
        <v>58</v>
      </c>
      <c r="I821" s="3" t="s">
        <v>58</v>
      </c>
      <c r="J821" s="3" t="s">
        <v>60</v>
      </c>
      <c r="K821" s="2" t="s">
        <v>10798</v>
      </c>
      <c r="L821" s="2" t="s">
        <v>10799</v>
      </c>
      <c r="M821" s="3" t="s">
        <v>248</v>
      </c>
      <c r="O821" s="3" t="s">
        <v>65</v>
      </c>
      <c r="P821" s="3" t="s">
        <v>772</v>
      </c>
      <c r="R821" s="3" t="s">
        <v>67</v>
      </c>
      <c r="S821" s="4">
        <v>1</v>
      </c>
      <c r="T821" s="4">
        <v>1</v>
      </c>
      <c r="U821" s="5" t="s">
        <v>10800</v>
      </c>
      <c r="V821" s="5" t="s">
        <v>10800</v>
      </c>
      <c r="W821" s="5" t="s">
        <v>10800</v>
      </c>
      <c r="X821" s="5" t="s">
        <v>10800</v>
      </c>
      <c r="Y821" s="4">
        <v>185</v>
      </c>
      <c r="Z821" s="4">
        <v>160</v>
      </c>
      <c r="AA821" s="4">
        <v>162</v>
      </c>
      <c r="AB821" s="4">
        <v>2</v>
      </c>
      <c r="AC821" s="4">
        <v>2</v>
      </c>
      <c r="AD821" s="4">
        <v>9</v>
      </c>
      <c r="AE821" s="4">
        <v>9</v>
      </c>
      <c r="AF821" s="4">
        <v>5</v>
      </c>
      <c r="AG821" s="4">
        <v>5</v>
      </c>
      <c r="AH821" s="4">
        <v>1</v>
      </c>
      <c r="AI821" s="4">
        <v>1</v>
      </c>
      <c r="AJ821" s="4">
        <v>4</v>
      </c>
      <c r="AK821" s="4">
        <v>4</v>
      </c>
      <c r="AL821" s="4">
        <v>1</v>
      </c>
      <c r="AM821" s="4">
        <v>1</v>
      </c>
      <c r="AN821" s="4">
        <v>0</v>
      </c>
      <c r="AO821" s="4">
        <v>0</v>
      </c>
      <c r="AP821" s="3" t="s">
        <v>58</v>
      </c>
      <c r="AQ821" s="3" t="s">
        <v>58</v>
      </c>
      <c r="AS821" s="6" t="str">
        <f>HYPERLINK("https://creighton-primo.hosted.exlibrisgroup.com/primo-explore/search?tab=default_tab&amp;search_scope=EVERYTHING&amp;vid=01CRU&amp;lang=en_US&amp;offset=0&amp;query=any,contains,991005127419702656","Catalog Record")</f>
        <v>Catalog Record</v>
      </c>
      <c r="AT821" s="6" t="str">
        <f>HYPERLINK("http://www.worldcat.org/oclc/166368678","WorldCat Record")</f>
        <v>WorldCat Record</v>
      </c>
      <c r="AU821" s="3" t="s">
        <v>10801</v>
      </c>
      <c r="AV821" s="3" t="s">
        <v>10802</v>
      </c>
      <c r="AW821" s="3" t="s">
        <v>10803</v>
      </c>
      <c r="AX821" s="3" t="s">
        <v>10803</v>
      </c>
      <c r="AY821" s="3" t="s">
        <v>10804</v>
      </c>
      <c r="AZ821" s="3" t="s">
        <v>74</v>
      </c>
      <c r="BB821" s="3" t="s">
        <v>10805</v>
      </c>
      <c r="BC821" s="3" t="s">
        <v>10806</v>
      </c>
      <c r="BD821" s="3" t="s">
        <v>10807</v>
      </c>
    </row>
    <row r="822" spans="1:56" ht="45.75" customHeight="1" x14ac:dyDescent="0.25">
      <c r="A822" s="7" t="s">
        <v>58</v>
      </c>
      <c r="B822" s="2" t="s">
        <v>10808</v>
      </c>
      <c r="C822" s="2" t="s">
        <v>10809</v>
      </c>
      <c r="D822" s="2" t="s">
        <v>10810</v>
      </c>
      <c r="F822" s="3" t="s">
        <v>58</v>
      </c>
      <c r="G822" s="3" t="s">
        <v>59</v>
      </c>
      <c r="H822" s="3" t="s">
        <v>58</v>
      </c>
      <c r="I822" s="3" t="s">
        <v>58</v>
      </c>
      <c r="J822" s="3" t="s">
        <v>60</v>
      </c>
      <c r="K822" s="2" t="s">
        <v>10811</v>
      </c>
      <c r="L822" s="2" t="s">
        <v>10812</v>
      </c>
      <c r="M822" s="3" t="s">
        <v>573</v>
      </c>
      <c r="O822" s="3" t="s">
        <v>65</v>
      </c>
      <c r="P822" s="3" t="s">
        <v>336</v>
      </c>
      <c r="R822" s="3" t="s">
        <v>67</v>
      </c>
      <c r="S822" s="4">
        <v>3</v>
      </c>
      <c r="T822" s="4">
        <v>3</v>
      </c>
      <c r="U822" s="5" t="s">
        <v>10813</v>
      </c>
      <c r="V822" s="5" t="s">
        <v>10813</v>
      </c>
      <c r="W822" s="5" t="s">
        <v>10814</v>
      </c>
      <c r="X822" s="5" t="s">
        <v>10814</v>
      </c>
      <c r="Y822" s="4">
        <v>267</v>
      </c>
      <c r="Z822" s="4">
        <v>205</v>
      </c>
      <c r="AA822" s="4">
        <v>987</v>
      </c>
      <c r="AB822" s="4">
        <v>2</v>
      </c>
      <c r="AC822" s="4">
        <v>28</v>
      </c>
      <c r="AD822" s="4">
        <v>11</v>
      </c>
      <c r="AE822" s="4">
        <v>31</v>
      </c>
      <c r="AF822" s="4">
        <v>4</v>
      </c>
      <c r="AG822" s="4">
        <v>8</v>
      </c>
      <c r="AH822" s="4">
        <v>4</v>
      </c>
      <c r="AI822" s="4">
        <v>6</v>
      </c>
      <c r="AJ822" s="4">
        <v>8</v>
      </c>
      <c r="AK822" s="4">
        <v>11</v>
      </c>
      <c r="AL822" s="4">
        <v>1</v>
      </c>
      <c r="AM822" s="4">
        <v>13</v>
      </c>
      <c r="AN822" s="4">
        <v>0</v>
      </c>
      <c r="AO822" s="4">
        <v>0</v>
      </c>
      <c r="AP822" s="3" t="s">
        <v>58</v>
      </c>
      <c r="AQ822" s="3" t="s">
        <v>58</v>
      </c>
      <c r="AS822" s="6" t="str">
        <f>HYPERLINK("https://creighton-primo.hosted.exlibrisgroup.com/primo-explore/search?tab=default_tab&amp;search_scope=EVERYTHING&amp;vid=01CRU&amp;lang=en_US&amp;offset=0&amp;query=any,contains,991003998179702656","Catalog Record")</f>
        <v>Catalog Record</v>
      </c>
      <c r="AT822" s="6" t="str">
        <f>HYPERLINK("http://www.worldcat.org/oclc/51454480","WorldCat Record")</f>
        <v>WorldCat Record</v>
      </c>
      <c r="AU822" s="3" t="s">
        <v>10815</v>
      </c>
      <c r="AV822" s="3" t="s">
        <v>10816</v>
      </c>
      <c r="AW822" s="3" t="s">
        <v>10817</v>
      </c>
      <c r="AX822" s="3" t="s">
        <v>10817</v>
      </c>
      <c r="AY822" s="3" t="s">
        <v>10818</v>
      </c>
      <c r="AZ822" s="3" t="s">
        <v>74</v>
      </c>
      <c r="BB822" s="3" t="s">
        <v>10819</v>
      </c>
      <c r="BC822" s="3" t="s">
        <v>10820</v>
      </c>
      <c r="BD822" s="3" t="s">
        <v>10821</v>
      </c>
    </row>
    <row r="823" spans="1:56" ht="45.75" customHeight="1" x14ac:dyDescent="0.25">
      <c r="A823" s="7" t="s">
        <v>58</v>
      </c>
      <c r="B823" s="2" t="s">
        <v>10822</v>
      </c>
      <c r="C823" s="2" t="s">
        <v>10823</v>
      </c>
      <c r="D823" s="2" t="s">
        <v>10824</v>
      </c>
      <c r="F823" s="3" t="s">
        <v>58</v>
      </c>
      <c r="G823" s="3" t="s">
        <v>59</v>
      </c>
      <c r="H823" s="3" t="s">
        <v>58</v>
      </c>
      <c r="I823" s="3" t="s">
        <v>58</v>
      </c>
      <c r="J823" s="3" t="s">
        <v>60</v>
      </c>
      <c r="K823" s="2" t="s">
        <v>10825</v>
      </c>
      <c r="L823" s="2" t="s">
        <v>10826</v>
      </c>
      <c r="M823" s="3" t="s">
        <v>248</v>
      </c>
      <c r="N823" s="2" t="s">
        <v>64</v>
      </c>
      <c r="O823" s="3" t="s">
        <v>65</v>
      </c>
      <c r="P823" s="3" t="s">
        <v>336</v>
      </c>
      <c r="R823" s="3" t="s">
        <v>67</v>
      </c>
      <c r="S823" s="4">
        <v>3</v>
      </c>
      <c r="T823" s="4">
        <v>3</v>
      </c>
      <c r="U823" s="5" t="s">
        <v>10827</v>
      </c>
      <c r="V823" s="5" t="s">
        <v>10827</v>
      </c>
      <c r="W823" s="5" t="s">
        <v>10828</v>
      </c>
      <c r="X823" s="5" t="s">
        <v>10828</v>
      </c>
      <c r="Y823" s="4">
        <v>487</v>
      </c>
      <c r="Z823" s="4">
        <v>402</v>
      </c>
      <c r="AA823" s="4">
        <v>1015</v>
      </c>
      <c r="AB823" s="4">
        <v>3</v>
      </c>
      <c r="AC823" s="4">
        <v>9</v>
      </c>
      <c r="AD823" s="4">
        <v>18</v>
      </c>
      <c r="AE823" s="4">
        <v>46</v>
      </c>
      <c r="AF823" s="4">
        <v>11</v>
      </c>
      <c r="AG823" s="4">
        <v>16</v>
      </c>
      <c r="AH823" s="4">
        <v>5</v>
      </c>
      <c r="AI823" s="4">
        <v>10</v>
      </c>
      <c r="AJ823" s="4">
        <v>6</v>
      </c>
      <c r="AK823" s="4">
        <v>19</v>
      </c>
      <c r="AL823" s="4">
        <v>2</v>
      </c>
      <c r="AM823" s="4">
        <v>7</v>
      </c>
      <c r="AN823" s="4">
        <v>0</v>
      </c>
      <c r="AO823" s="4">
        <v>2</v>
      </c>
      <c r="AP823" s="3" t="s">
        <v>58</v>
      </c>
      <c r="AQ823" s="3" t="s">
        <v>58</v>
      </c>
      <c r="AS823" s="6" t="str">
        <f>HYPERLINK("https://creighton-primo.hosted.exlibrisgroup.com/primo-explore/search?tab=default_tab&amp;search_scope=EVERYTHING&amp;vid=01CRU&amp;lang=en_US&amp;offset=0&amp;query=any,contains,991005313489702656","Catalog Record")</f>
        <v>Catalog Record</v>
      </c>
      <c r="AT823" s="6" t="str">
        <f>HYPERLINK("http://www.worldcat.org/oclc/76143985","WorldCat Record")</f>
        <v>WorldCat Record</v>
      </c>
      <c r="AU823" s="3" t="s">
        <v>10829</v>
      </c>
      <c r="AV823" s="3" t="s">
        <v>10830</v>
      </c>
      <c r="AW823" s="3" t="s">
        <v>10831</v>
      </c>
      <c r="AX823" s="3" t="s">
        <v>10831</v>
      </c>
      <c r="AY823" s="3" t="s">
        <v>10832</v>
      </c>
      <c r="AZ823" s="3" t="s">
        <v>74</v>
      </c>
      <c r="BB823" s="3" t="s">
        <v>10833</v>
      </c>
      <c r="BC823" s="3" t="s">
        <v>10834</v>
      </c>
      <c r="BD823" s="3" t="s">
        <v>10835</v>
      </c>
    </row>
    <row r="824" spans="1:56" ht="45.75" customHeight="1" x14ac:dyDescent="0.25">
      <c r="A824" s="7" t="s">
        <v>58</v>
      </c>
      <c r="B824" s="2" t="s">
        <v>10836</v>
      </c>
      <c r="C824" s="2" t="s">
        <v>10837</v>
      </c>
      <c r="D824" s="2" t="s">
        <v>10838</v>
      </c>
      <c r="F824" s="3" t="s">
        <v>58</v>
      </c>
      <c r="G824" s="3" t="s">
        <v>59</v>
      </c>
      <c r="H824" s="3" t="s">
        <v>58</v>
      </c>
      <c r="I824" s="3" t="s">
        <v>58</v>
      </c>
      <c r="J824" s="3" t="s">
        <v>60</v>
      </c>
      <c r="K824" s="2" t="s">
        <v>10839</v>
      </c>
      <c r="L824" s="2" t="s">
        <v>10840</v>
      </c>
      <c r="M824" s="3" t="s">
        <v>189</v>
      </c>
      <c r="N824" s="2" t="s">
        <v>543</v>
      </c>
      <c r="O824" s="3" t="s">
        <v>65</v>
      </c>
      <c r="P824" s="3" t="s">
        <v>84</v>
      </c>
      <c r="R824" s="3" t="s">
        <v>67</v>
      </c>
      <c r="S824" s="4">
        <v>1</v>
      </c>
      <c r="T824" s="4">
        <v>1</v>
      </c>
      <c r="U824" s="5" t="s">
        <v>6160</v>
      </c>
      <c r="V824" s="5" t="s">
        <v>6160</v>
      </c>
      <c r="W824" s="5" t="s">
        <v>6160</v>
      </c>
      <c r="X824" s="5" t="s">
        <v>6160</v>
      </c>
      <c r="Y824" s="4">
        <v>517</v>
      </c>
      <c r="Z824" s="4">
        <v>467</v>
      </c>
      <c r="AA824" s="4">
        <v>508</v>
      </c>
      <c r="AB824" s="4">
        <v>2</v>
      </c>
      <c r="AC824" s="4">
        <v>2</v>
      </c>
      <c r="AD824" s="4">
        <v>8</v>
      </c>
      <c r="AE824" s="4">
        <v>8</v>
      </c>
      <c r="AF824" s="4">
        <v>3</v>
      </c>
      <c r="AG824" s="4">
        <v>3</v>
      </c>
      <c r="AH824" s="4">
        <v>2</v>
      </c>
      <c r="AI824" s="4">
        <v>2</v>
      </c>
      <c r="AJ824" s="4">
        <v>4</v>
      </c>
      <c r="AK824" s="4">
        <v>4</v>
      </c>
      <c r="AL824" s="4">
        <v>1</v>
      </c>
      <c r="AM824" s="4">
        <v>1</v>
      </c>
      <c r="AN824" s="4">
        <v>1</v>
      </c>
      <c r="AO824" s="4">
        <v>1</v>
      </c>
      <c r="AP824" s="3" t="s">
        <v>58</v>
      </c>
      <c r="AQ824" s="3" t="s">
        <v>58</v>
      </c>
      <c r="AS824" s="6" t="str">
        <f>HYPERLINK("https://creighton-primo.hosted.exlibrisgroup.com/primo-explore/search?tab=default_tab&amp;search_scope=EVERYTHING&amp;vid=01CRU&amp;lang=en_US&amp;offset=0&amp;query=any,contains,991000373919702656","Catalog Record")</f>
        <v>Catalog Record</v>
      </c>
      <c r="AT824" s="6" t="str">
        <f>HYPERLINK("http://www.worldcat.org/oclc/317925329","WorldCat Record")</f>
        <v>WorldCat Record</v>
      </c>
      <c r="AU824" s="3" t="s">
        <v>10841</v>
      </c>
      <c r="AV824" s="3" t="s">
        <v>10842</v>
      </c>
      <c r="AW824" s="3" t="s">
        <v>10843</v>
      </c>
      <c r="AX824" s="3" t="s">
        <v>10843</v>
      </c>
      <c r="AY824" s="3" t="s">
        <v>10844</v>
      </c>
      <c r="AZ824" s="3" t="s">
        <v>74</v>
      </c>
      <c r="BB824" s="3" t="s">
        <v>10845</v>
      </c>
      <c r="BC824" s="3" t="s">
        <v>10846</v>
      </c>
      <c r="BD824" s="3" t="s">
        <v>10847</v>
      </c>
    </row>
    <row r="825" spans="1:56" ht="45.75" customHeight="1" x14ac:dyDescent="0.25">
      <c r="A825" s="7" t="s">
        <v>58</v>
      </c>
      <c r="B825" s="2" t="s">
        <v>10848</v>
      </c>
      <c r="C825" s="2" t="s">
        <v>10849</v>
      </c>
      <c r="D825" s="2" t="s">
        <v>10850</v>
      </c>
      <c r="F825" s="3" t="s">
        <v>58</v>
      </c>
      <c r="G825" s="3" t="s">
        <v>59</v>
      </c>
      <c r="H825" s="3" t="s">
        <v>58</v>
      </c>
      <c r="I825" s="3" t="s">
        <v>58</v>
      </c>
      <c r="J825" s="3" t="s">
        <v>60</v>
      </c>
      <c r="K825" s="2" t="s">
        <v>10851</v>
      </c>
      <c r="L825" s="2" t="s">
        <v>10852</v>
      </c>
      <c r="M825" s="3" t="s">
        <v>162</v>
      </c>
      <c r="O825" s="3" t="s">
        <v>65</v>
      </c>
      <c r="P825" s="3" t="s">
        <v>84</v>
      </c>
      <c r="R825" s="3" t="s">
        <v>67</v>
      </c>
      <c r="S825" s="4">
        <v>1</v>
      </c>
      <c r="T825" s="4">
        <v>1</v>
      </c>
      <c r="U825" s="5" t="s">
        <v>10853</v>
      </c>
      <c r="V825" s="5" t="s">
        <v>10853</v>
      </c>
      <c r="W825" s="5" t="s">
        <v>10853</v>
      </c>
      <c r="X825" s="5" t="s">
        <v>10853</v>
      </c>
      <c r="Y825" s="4">
        <v>265</v>
      </c>
      <c r="Z825" s="4">
        <v>250</v>
      </c>
      <c r="AA825" s="4">
        <v>606</v>
      </c>
      <c r="AB825" s="4">
        <v>2</v>
      </c>
      <c r="AC825" s="4">
        <v>5</v>
      </c>
      <c r="AD825" s="4">
        <v>9</v>
      </c>
      <c r="AE825" s="4">
        <v>17</v>
      </c>
      <c r="AF825" s="4">
        <v>1</v>
      </c>
      <c r="AG825" s="4">
        <v>3</v>
      </c>
      <c r="AH825" s="4">
        <v>3</v>
      </c>
      <c r="AI825" s="4">
        <v>3</v>
      </c>
      <c r="AJ825" s="4">
        <v>4</v>
      </c>
      <c r="AK825" s="4">
        <v>7</v>
      </c>
      <c r="AL825" s="4">
        <v>1</v>
      </c>
      <c r="AM825" s="4">
        <v>4</v>
      </c>
      <c r="AN825" s="4">
        <v>2</v>
      </c>
      <c r="AO825" s="4">
        <v>2</v>
      </c>
      <c r="AP825" s="3" t="s">
        <v>58</v>
      </c>
      <c r="AQ825" s="3" t="s">
        <v>58</v>
      </c>
      <c r="AS825" s="6" t="str">
        <f>HYPERLINK("https://creighton-primo.hosted.exlibrisgroup.com/primo-explore/search?tab=default_tab&amp;search_scope=EVERYTHING&amp;vid=01CRU&amp;lang=en_US&amp;offset=0&amp;query=any,contains,991005205509702656","Catalog Record")</f>
        <v>Catalog Record</v>
      </c>
      <c r="AT825" s="6" t="str">
        <f>HYPERLINK("http://www.worldcat.org/oclc/176648861","WorldCat Record")</f>
        <v>WorldCat Record</v>
      </c>
      <c r="AU825" s="3" t="s">
        <v>10854</v>
      </c>
      <c r="AV825" s="3" t="s">
        <v>10855</v>
      </c>
      <c r="AW825" s="3" t="s">
        <v>10856</v>
      </c>
      <c r="AX825" s="3" t="s">
        <v>10856</v>
      </c>
      <c r="AY825" s="3" t="s">
        <v>10857</v>
      </c>
      <c r="AZ825" s="3" t="s">
        <v>74</v>
      </c>
      <c r="BB825" s="3" t="s">
        <v>10858</v>
      </c>
      <c r="BC825" s="3" t="s">
        <v>10859</v>
      </c>
      <c r="BD825" s="3" t="s">
        <v>10860</v>
      </c>
    </row>
    <row r="826" spans="1:56" ht="45.75" customHeight="1" x14ac:dyDescent="0.25">
      <c r="A826" s="7" t="s">
        <v>58</v>
      </c>
      <c r="B826" s="2" t="s">
        <v>10861</v>
      </c>
      <c r="C826" s="2" t="s">
        <v>10862</v>
      </c>
      <c r="D826" s="2" t="s">
        <v>10863</v>
      </c>
      <c r="F826" s="3" t="s">
        <v>58</v>
      </c>
      <c r="G826" s="3" t="s">
        <v>59</v>
      </c>
      <c r="H826" s="3" t="s">
        <v>58</v>
      </c>
      <c r="I826" s="3" t="s">
        <v>58</v>
      </c>
      <c r="J826" s="3" t="s">
        <v>60</v>
      </c>
      <c r="K826" s="2" t="s">
        <v>10864</v>
      </c>
      <c r="L826" s="2" t="s">
        <v>10865</v>
      </c>
      <c r="M826" s="3" t="s">
        <v>147</v>
      </c>
      <c r="N826" s="2" t="s">
        <v>10866</v>
      </c>
      <c r="O826" s="3" t="s">
        <v>65</v>
      </c>
      <c r="P826" s="3" t="s">
        <v>84</v>
      </c>
      <c r="Q826" s="2" t="s">
        <v>10867</v>
      </c>
      <c r="R826" s="3" t="s">
        <v>67</v>
      </c>
      <c r="S826" s="4">
        <v>2</v>
      </c>
      <c r="T826" s="4">
        <v>2</v>
      </c>
      <c r="U826" s="5" t="s">
        <v>10868</v>
      </c>
      <c r="V826" s="5" t="s">
        <v>10868</v>
      </c>
      <c r="W826" s="5" t="s">
        <v>10868</v>
      </c>
      <c r="X826" s="5" t="s">
        <v>10868</v>
      </c>
      <c r="Y826" s="4">
        <v>119</v>
      </c>
      <c r="Z826" s="4">
        <v>109</v>
      </c>
      <c r="AA826" s="4">
        <v>151</v>
      </c>
      <c r="AB826" s="4">
        <v>1</v>
      </c>
      <c r="AC826" s="4">
        <v>2</v>
      </c>
      <c r="AD826" s="4">
        <v>3</v>
      </c>
      <c r="AE826" s="4">
        <v>6</v>
      </c>
      <c r="AF826" s="4">
        <v>0</v>
      </c>
      <c r="AG826" s="4">
        <v>1</v>
      </c>
      <c r="AH826" s="4">
        <v>0</v>
      </c>
      <c r="AI826" s="4">
        <v>0</v>
      </c>
      <c r="AJ826" s="4">
        <v>1</v>
      </c>
      <c r="AK826" s="4">
        <v>2</v>
      </c>
      <c r="AL826" s="4">
        <v>0</v>
      </c>
      <c r="AM826" s="4">
        <v>1</v>
      </c>
      <c r="AN826" s="4">
        <v>2</v>
      </c>
      <c r="AO826" s="4">
        <v>2</v>
      </c>
      <c r="AP826" s="3" t="s">
        <v>58</v>
      </c>
      <c r="AQ826" s="3" t="s">
        <v>58</v>
      </c>
      <c r="AS826" s="6" t="str">
        <f>HYPERLINK("https://creighton-primo.hosted.exlibrisgroup.com/primo-explore/search?tab=default_tab&amp;search_scope=EVERYTHING&amp;vid=01CRU&amp;lang=en_US&amp;offset=0&amp;query=any,contains,991004334999702656","Catalog Record")</f>
        <v>Catalog Record</v>
      </c>
      <c r="AT826" s="6" t="str">
        <f>HYPERLINK("http://www.worldcat.org/oclc/54772506","WorldCat Record")</f>
        <v>WorldCat Record</v>
      </c>
      <c r="AU826" s="3" t="s">
        <v>10869</v>
      </c>
      <c r="AV826" s="3" t="s">
        <v>10870</v>
      </c>
      <c r="AW826" s="3" t="s">
        <v>10871</v>
      </c>
      <c r="AX826" s="3" t="s">
        <v>10871</v>
      </c>
      <c r="AY826" s="3" t="s">
        <v>10872</v>
      </c>
      <c r="AZ826" s="3" t="s">
        <v>74</v>
      </c>
      <c r="BB826" s="3" t="s">
        <v>10873</v>
      </c>
      <c r="BC826" s="3" t="s">
        <v>10874</v>
      </c>
      <c r="BD826" s="3" t="s">
        <v>10875</v>
      </c>
    </row>
    <row r="827" spans="1:56" ht="45.75" customHeight="1" x14ac:dyDescent="0.25">
      <c r="A827" s="7" t="s">
        <v>58</v>
      </c>
      <c r="B827" s="2" t="s">
        <v>10876</v>
      </c>
      <c r="C827" s="2" t="s">
        <v>10877</v>
      </c>
      <c r="D827" s="2" t="s">
        <v>10878</v>
      </c>
      <c r="F827" s="3" t="s">
        <v>58</v>
      </c>
      <c r="G827" s="3" t="s">
        <v>59</v>
      </c>
      <c r="H827" s="3" t="s">
        <v>58</v>
      </c>
      <c r="I827" s="3" t="s">
        <v>58</v>
      </c>
      <c r="J827" s="3" t="s">
        <v>60</v>
      </c>
      <c r="K827" s="2" t="s">
        <v>10879</v>
      </c>
      <c r="L827" s="2" t="s">
        <v>10880</v>
      </c>
      <c r="M827" s="3" t="s">
        <v>1662</v>
      </c>
      <c r="O827" s="3" t="s">
        <v>65</v>
      </c>
      <c r="P827" s="3" t="s">
        <v>148</v>
      </c>
      <c r="Q827" s="2" t="s">
        <v>10881</v>
      </c>
      <c r="R827" s="3" t="s">
        <v>67</v>
      </c>
      <c r="S827" s="4">
        <v>3</v>
      </c>
      <c r="T827" s="4">
        <v>3</v>
      </c>
      <c r="U827" s="5" t="s">
        <v>10882</v>
      </c>
      <c r="V827" s="5" t="s">
        <v>10882</v>
      </c>
      <c r="W827" s="5" t="s">
        <v>9192</v>
      </c>
      <c r="X827" s="5" t="s">
        <v>9192</v>
      </c>
      <c r="Y827" s="4">
        <v>534</v>
      </c>
      <c r="Z827" s="4">
        <v>486</v>
      </c>
      <c r="AA827" s="4">
        <v>645</v>
      </c>
      <c r="AB827" s="4">
        <v>5</v>
      </c>
      <c r="AC827" s="4">
        <v>6</v>
      </c>
      <c r="AD827" s="4">
        <v>25</v>
      </c>
      <c r="AE827" s="4">
        <v>29</v>
      </c>
      <c r="AF827" s="4">
        <v>10</v>
      </c>
      <c r="AG827" s="4">
        <v>11</v>
      </c>
      <c r="AH827" s="4">
        <v>4</v>
      </c>
      <c r="AI827" s="4">
        <v>6</v>
      </c>
      <c r="AJ827" s="4">
        <v>10</v>
      </c>
      <c r="AK827" s="4">
        <v>10</v>
      </c>
      <c r="AL827" s="4">
        <v>4</v>
      </c>
      <c r="AM827" s="4">
        <v>5</v>
      </c>
      <c r="AN827" s="4">
        <v>2</v>
      </c>
      <c r="AO827" s="4">
        <v>2</v>
      </c>
      <c r="AP827" s="3" t="s">
        <v>58</v>
      </c>
      <c r="AQ827" s="3" t="s">
        <v>58</v>
      </c>
      <c r="AS827" s="6" t="str">
        <f>HYPERLINK("https://creighton-primo.hosted.exlibrisgroup.com/primo-explore/search?tab=default_tab&amp;search_scope=EVERYTHING&amp;vid=01CRU&amp;lang=en_US&amp;offset=0&amp;query=any,contains,991001667379702656","Catalog Record")</f>
        <v>Catalog Record</v>
      </c>
      <c r="AT827" s="6" t="str">
        <f>HYPERLINK("http://www.worldcat.org/oclc/234098","WorldCat Record")</f>
        <v>WorldCat Record</v>
      </c>
      <c r="AU827" s="3" t="s">
        <v>10883</v>
      </c>
      <c r="AV827" s="3" t="s">
        <v>10884</v>
      </c>
      <c r="AW827" s="3" t="s">
        <v>10885</v>
      </c>
      <c r="AX827" s="3" t="s">
        <v>10885</v>
      </c>
      <c r="AY827" s="3" t="s">
        <v>10886</v>
      </c>
      <c r="AZ827" s="3" t="s">
        <v>74</v>
      </c>
      <c r="BC827" s="3" t="s">
        <v>10887</v>
      </c>
      <c r="BD827" s="3" t="s">
        <v>10888</v>
      </c>
    </row>
    <row r="828" spans="1:56" ht="45.75" customHeight="1" x14ac:dyDescent="0.25">
      <c r="A828" s="7" t="s">
        <v>58</v>
      </c>
      <c r="B828" s="2" t="s">
        <v>10889</v>
      </c>
      <c r="C828" s="2" t="s">
        <v>10890</v>
      </c>
      <c r="D828" s="2" t="s">
        <v>10891</v>
      </c>
      <c r="F828" s="3" t="s">
        <v>58</v>
      </c>
      <c r="G828" s="3" t="s">
        <v>59</v>
      </c>
      <c r="H828" s="3" t="s">
        <v>58</v>
      </c>
      <c r="I828" s="3" t="s">
        <v>58</v>
      </c>
      <c r="J828" s="3" t="s">
        <v>60</v>
      </c>
      <c r="K828" s="2" t="s">
        <v>9060</v>
      </c>
      <c r="L828" s="2" t="s">
        <v>10892</v>
      </c>
      <c r="M828" s="3" t="s">
        <v>1998</v>
      </c>
      <c r="O828" s="3" t="s">
        <v>65</v>
      </c>
      <c r="P828" s="3" t="s">
        <v>336</v>
      </c>
      <c r="Q828" s="2" t="s">
        <v>10893</v>
      </c>
      <c r="R828" s="3" t="s">
        <v>67</v>
      </c>
      <c r="S828" s="4">
        <v>11</v>
      </c>
      <c r="T828" s="4">
        <v>11</v>
      </c>
      <c r="U828" s="5" t="s">
        <v>1195</v>
      </c>
      <c r="V828" s="5" t="s">
        <v>1195</v>
      </c>
      <c r="W828" s="5" t="s">
        <v>10894</v>
      </c>
      <c r="X828" s="5" t="s">
        <v>10894</v>
      </c>
      <c r="Y828" s="4">
        <v>846</v>
      </c>
      <c r="Z828" s="4">
        <v>711</v>
      </c>
      <c r="AA828" s="4">
        <v>718</v>
      </c>
      <c r="AB828" s="4">
        <v>5</v>
      </c>
      <c r="AC828" s="4">
        <v>5</v>
      </c>
      <c r="AD828" s="4">
        <v>29</v>
      </c>
      <c r="AE828" s="4">
        <v>29</v>
      </c>
      <c r="AF828" s="4">
        <v>9</v>
      </c>
      <c r="AG828" s="4">
        <v>9</v>
      </c>
      <c r="AH828" s="4">
        <v>6</v>
      </c>
      <c r="AI828" s="4">
        <v>6</v>
      </c>
      <c r="AJ828" s="4">
        <v>13</v>
      </c>
      <c r="AK828" s="4">
        <v>13</v>
      </c>
      <c r="AL828" s="4">
        <v>2</v>
      </c>
      <c r="AM828" s="4">
        <v>2</v>
      </c>
      <c r="AN828" s="4">
        <v>7</v>
      </c>
      <c r="AO828" s="4">
        <v>7</v>
      </c>
      <c r="AP828" s="3" t="s">
        <v>58</v>
      </c>
      <c r="AQ828" s="3" t="s">
        <v>87</v>
      </c>
      <c r="AR828" s="6" t="str">
        <f>HYPERLINK("http://catalog.hathitrust.org/Record/004402067","HathiTrust Record")</f>
        <v>HathiTrust Record</v>
      </c>
      <c r="AS828" s="6" t="str">
        <f>HYPERLINK("https://creighton-primo.hosted.exlibrisgroup.com/primo-explore/search?tab=default_tab&amp;search_scope=EVERYTHING&amp;vid=01CRU&amp;lang=en_US&amp;offset=0&amp;query=any,contains,991003495699702656","Catalog Record")</f>
        <v>Catalog Record</v>
      </c>
      <c r="AT828" s="6" t="str">
        <f>HYPERLINK("http://www.worldcat.org/oclc/1046082","WorldCat Record")</f>
        <v>WorldCat Record</v>
      </c>
      <c r="AU828" s="3" t="s">
        <v>10895</v>
      </c>
      <c r="AV828" s="3" t="s">
        <v>10896</v>
      </c>
      <c r="AW828" s="3" t="s">
        <v>10897</v>
      </c>
      <c r="AX828" s="3" t="s">
        <v>10897</v>
      </c>
      <c r="AY828" s="3" t="s">
        <v>10898</v>
      </c>
      <c r="AZ828" s="3" t="s">
        <v>74</v>
      </c>
      <c r="BB828" s="3" t="s">
        <v>10899</v>
      </c>
      <c r="BC828" s="3" t="s">
        <v>10900</v>
      </c>
      <c r="BD828" s="3" t="s">
        <v>10901</v>
      </c>
    </row>
    <row r="829" spans="1:56" ht="45.75" customHeight="1" x14ac:dyDescent="0.25">
      <c r="A829" s="7" t="s">
        <v>58</v>
      </c>
      <c r="B829" s="2" t="s">
        <v>10902</v>
      </c>
      <c r="C829" s="2" t="s">
        <v>10903</v>
      </c>
      <c r="D829" s="2" t="s">
        <v>10904</v>
      </c>
      <c r="F829" s="3" t="s">
        <v>58</v>
      </c>
      <c r="G829" s="3" t="s">
        <v>59</v>
      </c>
      <c r="H829" s="3" t="s">
        <v>58</v>
      </c>
      <c r="I829" s="3" t="s">
        <v>58</v>
      </c>
      <c r="J829" s="3" t="s">
        <v>60</v>
      </c>
      <c r="K829" s="2" t="s">
        <v>10905</v>
      </c>
      <c r="L829" s="2" t="s">
        <v>10906</v>
      </c>
      <c r="M829" s="3" t="s">
        <v>923</v>
      </c>
      <c r="N829" s="2" t="s">
        <v>543</v>
      </c>
      <c r="O829" s="3" t="s">
        <v>65</v>
      </c>
      <c r="P829" s="3" t="s">
        <v>84</v>
      </c>
      <c r="R829" s="3" t="s">
        <v>67</v>
      </c>
      <c r="S829" s="4">
        <v>23</v>
      </c>
      <c r="T829" s="4">
        <v>23</v>
      </c>
      <c r="U829" s="5" t="s">
        <v>10907</v>
      </c>
      <c r="V829" s="5" t="s">
        <v>10907</v>
      </c>
      <c r="W829" s="5" t="s">
        <v>2001</v>
      </c>
      <c r="X829" s="5" t="s">
        <v>2001</v>
      </c>
      <c r="Y829" s="4">
        <v>426</v>
      </c>
      <c r="Z829" s="4">
        <v>403</v>
      </c>
      <c r="AA829" s="4">
        <v>419</v>
      </c>
      <c r="AB829" s="4">
        <v>2</v>
      </c>
      <c r="AC829" s="4">
        <v>2</v>
      </c>
      <c r="AD829" s="4">
        <v>6</v>
      </c>
      <c r="AE829" s="4">
        <v>8</v>
      </c>
      <c r="AF829" s="4">
        <v>2</v>
      </c>
      <c r="AG829" s="4">
        <v>3</v>
      </c>
      <c r="AH829" s="4">
        <v>1</v>
      </c>
      <c r="AI829" s="4">
        <v>2</v>
      </c>
      <c r="AJ829" s="4">
        <v>5</v>
      </c>
      <c r="AK829" s="4">
        <v>5</v>
      </c>
      <c r="AL829" s="4">
        <v>1</v>
      </c>
      <c r="AM829" s="4">
        <v>1</v>
      </c>
      <c r="AN829" s="4">
        <v>0</v>
      </c>
      <c r="AO829" s="4">
        <v>0</v>
      </c>
      <c r="AP829" s="3" t="s">
        <v>58</v>
      </c>
      <c r="AQ829" s="3" t="s">
        <v>58</v>
      </c>
      <c r="AS829" s="6" t="str">
        <f>HYPERLINK("https://creighton-primo.hosted.exlibrisgroup.com/primo-explore/search?tab=default_tab&amp;search_scope=EVERYTHING&amp;vid=01CRU&amp;lang=en_US&amp;offset=0&amp;query=any,contains,991005166459702656","Catalog Record")</f>
        <v>Catalog Record</v>
      </c>
      <c r="AT829" s="6" t="str">
        <f>HYPERLINK("http://www.worldcat.org/oclc/7835992","WorldCat Record")</f>
        <v>WorldCat Record</v>
      </c>
      <c r="AU829" s="3" t="s">
        <v>10908</v>
      </c>
      <c r="AV829" s="3" t="s">
        <v>10909</v>
      </c>
      <c r="AW829" s="3" t="s">
        <v>10910</v>
      </c>
      <c r="AX829" s="3" t="s">
        <v>10910</v>
      </c>
      <c r="AY829" s="3" t="s">
        <v>10911</v>
      </c>
      <c r="AZ829" s="3" t="s">
        <v>74</v>
      </c>
      <c r="BB829" s="3" t="s">
        <v>10912</v>
      </c>
      <c r="BC829" s="3" t="s">
        <v>10913</v>
      </c>
      <c r="BD829" s="3" t="s">
        <v>10914</v>
      </c>
    </row>
    <row r="830" spans="1:56" ht="45.75" customHeight="1" x14ac:dyDescent="0.25">
      <c r="A830" s="7" t="s">
        <v>58</v>
      </c>
      <c r="B830" s="2" t="s">
        <v>10915</v>
      </c>
      <c r="C830" s="2" t="s">
        <v>10916</v>
      </c>
      <c r="D830" s="2" t="s">
        <v>10917</v>
      </c>
      <c r="F830" s="3" t="s">
        <v>58</v>
      </c>
      <c r="G830" s="3" t="s">
        <v>59</v>
      </c>
      <c r="H830" s="3" t="s">
        <v>58</v>
      </c>
      <c r="I830" s="3" t="s">
        <v>87</v>
      </c>
      <c r="J830" s="3" t="s">
        <v>60</v>
      </c>
      <c r="K830" s="2" t="s">
        <v>10918</v>
      </c>
      <c r="L830" s="2" t="s">
        <v>10919</v>
      </c>
      <c r="M830" s="3" t="s">
        <v>629</v>
      </c>
      <c r="O830" s="3" t="s">
        <v>65</v>
      </c>
      <c r="P830" s="3" t="s">
        <v>132</v>
      </c>
      <c r="Q830" s="2" t="s">
        <v>4829</v>
      </c>
      <c r="R830" s="3" t="s">
        <v>67</v>
      </c>
      <c r="S830" s="4">
        <v>21</v>
      </c>
      <c r="T830" s="4">
        <v>21</v>
      </c>
      <c r="U830" s="5" t="s">
        <v>10920</v>
      </c>
      <c r="V830" s="5" t="s">
        <v>10920</v>
      </c>
      <c r="W830" s="5" t="s">
        <v>10921</v>
      </c>
      <c r="X830" s="5" t="s">
        <v>10921</v>
      </c>
      <c r="Y830" s="4">
        <v>702</v>
      </c>
      <c r="Z830" s="4">
        <v>655</v>
      </c>
      <c r="AA830" s="4">
        <v>1689</v>
      </c>
      <c r="AB830" s="4">
        <v>4</v>
      </c>
      <c r="AC830" s="4">
        <v>10</v>
      </c>
      <c r="AD830" s="4">
        <v>18</v>
      </c>
      <c r="AE830" s="4">
        <v>38</v>
      </c>
      <c r="AF830" s="4">
        <v>6</v>
      </c>
      <c r="AG830" s="4">
        <v>16</v>
      </c>
      <c r="AH830" s="4">
        <v>3</v>
      </c>
      <c r="AI830" s="4">
        <v>8</v>
      </c>
      <c r="AJ830" s="4">
        <v>8</v>
      </c>
      <c r="AK830" s="4">
        <v>16</v>
      </c>
      <c r="AL830" s="4">
        <v>1</v>
      </c>
      <c r="AM830" s="4">
        <v>5</v>
      </c>
      <c r="AN830" s="4">
        <v>3</v>
      </c>
      <c r="AO830" s="4">
        <v>3</v>
      </c>
      <c r="AP830" s="3" t="s">
        <v>58</v>
      </c>
      <c r="AQ830" s="3" t="s">
        <v>87</v>
      </c>
      <c r="AR830" s="6" t="str">
        <f>HYPERLINK("http://catalog.hathitrust.org/Record/004552295","HathiTrust Record")</f>
        <v>HathiTrust Record</v>
      </c>
      <c r="AS830" s="6" t="str">
        <f>HYPERLINK("https://creighton-primo.hosted.exlibrisgroup.com/primo-explore/search?tab=default_tab&amp;search_scope=EVERYTHING&amp;vid=01CRU&amp;lang=en_US&amp;offset=0&amp;query=any,contains,991002348189702656","Catalog Record")</f>
        <v>Catalog Record</v>
      </c>
      <c r="AT830" s="6" t="str">
        <f>HYPERLINK("http://www.worldcat.org/oclc/30593364","WorldCat Record")</f>
        <v>WorldCat Record</v>
      </c>
      <c r="AU830" s="3" t="s">
        <v>10922</v>
      </c>
      <c r="AV830" s="3" t="s">
        <v>10923</v>
      </c>
      <c r="AW830" s="3" t="s">
        <v>10924</v>
      </c>
      <c r="AX830" s="3" t="s">
        <v>10924</v>
      </c>
      <c r="AY830" s="3" t="s">
        <v>10925</v>
      </c>
      <c r="AZ830" s="3" t="s">
        <v>74</v>
      </c>
      <c r="BB830" s="3" t="s">
        <v>10926</v>
      </c>
      <c r="BC830" s="3" t="s">
        <v>10927</v>
      </c>
      <c r="BD830" s="3" t="s">
        <v>10928</v>
      </c>
    </row>
    <row r="831" spans="1:56" ht="45.75" customHeight="1" x14ac:dyDescent="0.25">
      <c r="A831" s="7" t="s">
        <v>58</v>
      </c>
      <c r="B831" s="2" t="s">
        <v>10929</v>
      </c>
      <c r="C831" s="2" t="s">
        <v>10930</v>
      </c>
      <c r="D831" s="2" t="s">
        <v>10931</v>
      </c>
      <c r="F831" s="3" t="s">
        <v>58</v>
      </c>
      <c r="G831" s="3" t="s">
        <v>59</v>
      </c>
      <c r="H831" s="3" t="s">
        <v>58</v>
      </c>
      <c r="I831" s="3" t="s">
        <v>58</v>
      </c>
      <c r="J831" s="3" t="s">
        <v>60</v>
      </c>
      <c r="K831" s="2" t="s">
        <v>10932</v>
      </c>
      <c r="L831" s="2" t="s">
        <v>10933</v>
      </c>
      <c r="M831" s="3" t="s">
        <v>1058</v>
      </c>
      <c r="O831" s="3" t="s">
        <v>65</v>
      </c>
      <c r="P831" s="3" t="s">
        <v>175</v>
      </c>
      <c r="Q831" s="2" t="s">
        <v>10934</v>
      </c>
      <c r="R831" s="3" t="s">
        <v>67</v>
      </c>
      <c r="S831" s="4">
        <v>38</v>
      </c>
      <c r="T831" s="4">
        <v>38</v>
      </c>
      <c r="U831" s="5" t="s">
        <v>69</v>
      </c>
      <c r="V831" s="5" t="s">
        <v>69</v>
      </c>
      <c r="W831" s="5" t="s">
        <v>10935</v>
      </c>
      <c r="X831" s="5" t="s">
        <v>10935</v>
      </c>
      <c r="Y831" s="4">
        <v>271</v>
      </c>
      <c r="Z831" s="4">
        <v>185</v>
      </c>
      <c r="AA831" s="4">
        <v>209</v>
      </c>
      <c r="AB831" s="4">
        <v>2</v>
      </c>
      <c r="AC831" s="4">
        <v>2</v>
      </c>
      <c r="AD831" s="4">
        <v>9</v>
      </c>
      <c r="AE831" s="4">
        <v>9</v>
      </c>
      <c r="AF831" s="4">
        <v>4</v>
      </c>
      <c r="AG831" s="4">
        <v>4</v>
      </c>
      <c r="AH831" s="4">
        <v>3</v>
      </c>
      <c r="AI831" s="4">
        <v>3</v>
      </c>
      <c r="AJ831" s="4">
        <v>6</v>
      </c>
      <c r="AK831" s="4">
        <v>6</v>
      </c>
      <c r="AL831" s="4">
        <v>1</v>
      </c>
      <c r="AM831" s="4">
        <v>1</v>
      </c>
      <c r="AN831" s="4">
        <v>0</v>
      </c>
      <c r="AO831" s="4">
        <v>0</v>
      </c>
      <c r="AP831" s="3" t="s">
        <v>58</v>
      </c>
      <c r="AQ831" s="3" t="s">
        <v>58</v>
      </c>
      <c r="AS831" s="6" t="str">
        <f>HYPERLINK("https://creighton-primo.hosted.exlibrisgroup.com/primo-explore/search?tab=default_tab&amp;search_scope=EVERYTHING&amp;vid=01CRU&amp;lang=en_US&amp;offset=0&amp;query=any,contains,991005411639702656","Catalog Record")</f>
        <v>Catalog Record</v>
      </c>
      <c r="AT831" s="6" t="str">
        <f>HYPERLINK("http://www.worldcat.org/oclc/18523286","WorldCat Record")</f>
        <v>WorldCat Record</v>
      </c>
      <c r="AU831" s="3" t="s">
        <v>10936</v>
      </c>
      <c r="AV831" s="3" t="s">
        <v>10937</v>
      </c>
      <c r="AW831" s="3" t="s">
        <v>10938</v>
      </c>
      <c r="AX831" s="3" t="s">
        <v>10938</v>
      </c>
      <c r="AY831" s="3" t="s">
        <v>10939</v>
      </c>
      <c r="AZ831" s="3" t="s">
        <v>74</v>
      </c>
      <c r="BB831" s="3" t="s">
        <v>10940</v>
      </c>
      <c r="BC831" s="3" t="s">
        <v>10941</v>
      </c>
      <c r="BD831" s="3" t="s">
        <v>10942</v>
      </c>
    </row>
    <row r="832" spans="1:56" ht="45.75" customHeight="1" x14ac:dyDescent="0.25">
      <c r="A832" s="7" t="s">
        <v>58</v>
      </c>
      <c r="B832" s="2" t="s">
        <v>10943</v>
      </c>
      <c r="C832" s="2" t="s">
        <v>10944</v>
      </c>
      <c r="D832" s="2" t="s">
        <v>10945</v>
      </c>
      <c r="F832" s="3" t="s">
        <v>58</v>
      </c>
      <c r="G832" s="3" t="s">
        <v>59</v>
      </c>
      <c r="H832" s="3" t="s">
        <v>58</v>
      </c>
      <c r="I832" s="3" t="s">
        <v>58</v>
      </c>
      <c r="J832" s="3" t="s">
        <v>60</v>
      </c>
      <c r="K832" s="2" t="s">
        <v>10946</v>
      </c>
      <c r="L832" s="2" t="s">
        <v>10947</v>
      </c>
      <c r="M832" s="3" t="s">
        <v>1209</v>
      </c>
      <c r="O832" s="3" t="s">
        <v>65</v>
      </c>
      <c r="P832" s="3" t="s">
        <v>336</v>
      </c>
      <c r="R832" s="3" t="s">
        <v>67</v>
      </c>
      <c r="S832" s="4">
        <v>31</v>
      </c>
      <c r="T832" s="4">
        <v>31</v>
      </c>
      <c r="U832" s="5" t="s">
        <v>10948</v>
      </c>
      <c r="V832" s="5" t="s">
        <v>10948</v>
      </c>
      <c r="W832" s="5" t="s">
        <v>6848</v>
      </c>
      <c r="X832" s="5" t="s">
        <v>6848</v>
      </c>
      <c r="Y832" s="4">
        <v>74</v>
      </c>
      <c r="Z832" s="4">
        <v>67</v>
      </c>
      <c r="AA832" s="4">
        <v>69</v>
      </c>
      <c r="AB832" s="4">
        <v>1</v>
      </c>
      <c r="AC832" s="4">
        <v>1</v>
      </c>
      <c r="AD832" s="4">
        <v>0</v>
      </c>
      <c r="AE832" s="4">
        <v>0</v>
      </c>
      <c r="AF832" s="4">
        <v>0</v>
      </c>
      <c r="AG832" s="4">
        <v>0</v>
      </c>
      <c r="AH832" s="4">
        <v>0</v>
      </c>
      <c r="AI832" s="4">
        <v>0</v>
      </c>
      <c r="AJ832" s="4">
        <v>0</v>
      </c>
      <c r="AK832" s="4">
        <v>0</v>
      </c>
      <c r="AL832" s="4">
        <v>0</v>
      </c>
      <c r="AM832" s="4">
        <v>0</v>
      </c>
      <c r="AN832" s="4">
        <v>0</v>
      </c>
      <c r="AO832" s="4">
        <v>0</v>
      </c>
      <c r="AP832" s="3" t="s">
        <v>58</v>
      </c>
      <c r="AQ832" s="3" t="s">
        <v>87</v>
      </c>
      <c r="AR832" s="6" t="str">
        <f>HYPERLINK("http://catalog.hathitrust.org/Record/001530771","HathiTrust Record")</f>
        <v>HathiTrust Record</v>
      </c>
      <c r="AS832" s="6" t="str">
        <f>HYPERLINK("https://creighton-primo.hosted.exlibrisgroup.com/primo-explore/search?tab=default_tab&amp;search_scope=EVERYTHING&amp;vid=01CRU&amp;lang=en_US&amp;offset=0&amp;query=any,contains,991001192369702656","Catalog Record")</f>
        <v>Catalog Record</v>
      </c>
      <c r="AT832" s="6" t="str">
        <f>HYPERLINK("http://www.worldcat.org/oclc/17261296","WorldCat Record")</f>
        <v>WorldCat Record</v>
      </c>
      <c r="AU832" s="3" t="s">
        <v>10949</v>
      </c>
      <c r="AV832" s="3" t="s">
        <v>10950</v>
      </c>
      <c r="AW832" s="3" t="s">
        <v>10951</v>
      </c>
      <c r="AX832" s="3" t="s">
        <v>10951</v>
      </c>
      <c r="AY832" s="3" t="s">
        <v>10952</v>
      </c>
      <c r="AZ832" s="3" t="s">
        <v>74</v>
      </c>
      <c r="BC832" s="3" t="s">
        <v>10953</v>
      </c>
      <c r="BD832" s="3" t="s">
        <v>10954</v>
      </c>
    </row>
    <row r="833" spans="1:56" ht="45.75" customHeight="1" x14ac:dyDescent="0.25">
      <c r="A833" s="7" t="s">
        <v>58</v>
      </c>
      <c r="B833" s="2" t="s">
        <v>10955</v>
      </c>
      <c r="C833" s="2" t="s">
        <v>10956</v>
      </c>
      <c r="D833" s="2" t="s">
        <v>10957</v>
      </c>
      <c r="F833" s="3" t="s">
        <v>58</v>
      </c>
      <c r="G833" s="3" t="s">
        <v>59</v>
      </c>
      <c r="H833" s="3" t="s">
        <v>58</v>
      </c>
      <c r="I833" s="3" t="s">
        <v>58</v>
      </c>
      <c r="J833" s="3" t="s">
        <v>60</v>
      </c>
      <c r="K833" s="2" t="s">
        <v>10958</v>
      </c>
      <c r="L833" s="2" t="s">
        <v>10959</v>
      </c>
      <c r="M833" s="3" t="s">
        <v>4174</v>
      </c>
      <c r="O833" s="3" t="s">
        <v>65</v>
      </c>
      <c r="P833" s="3" t="s">
        <v>10960</v>
      </c>
      <c r="R833" s="3" t="s">
        <v>67</v>
      </c>
      <c r="S833" s="4">
        <v>29</v>
      </c>
      <c r="T833" s="4">
        <v>29</v>
      </c>
      <c r="U833" s="5" t="s">
        <v>2440</v>
      </c>
      <c r="V833" s="5" t="s">
        <v>2440</v>
      </c>
      <c r="W833" s="5" t="s">
        <v>10894</v>
      </c>
      <c r="X833" s="5" t="s">
        <v>10894</v>
      </c>
      <c r="Y833" s="4">
        <v>60</v>
      </c>
      <c r="Z833" s="4">
        <v>39</v>
      </c>
      <c r="AA833" s="4">
        <v>49</v>
      </c>
      <c r="AB833" s="4">
        <v>1</v>
      </c>
      <c r="AC833" s="4">
        <v>1</v>
      </c>
      <c r="AD833" s="4">
        <v>3</v>
      </c>
      <c r="AE833" s="4">
        <v>3</v>
      </c>
      <c r="AF833" s="4">
        <v>0</v>
      </c>
      <c r="AG833" s="4">
        <v>0</v>
      </c>
      <c r="AH833" s="4">
        <v>1</v>
      </c>
      <c r="AI833" s="4">
        <v>1</v>
      </c>
      <c r="AJ833" s="4">
        <v>3</v>
      </c>
      <c r="AK833" s="4">
        <v>3</v>
      </c>
      <c r="AL833" s="4">
        <v>0</v>
      </c>
      <c r="AM833" s="4">
        <v>0</v>
      </c>
      <c r="AN833" s="4">
        <v>0</v>
      </c>
      <c r="AO833" s="4">
        <v>0</v>
      </c>
      <c r="AP833" s="3" t="s">
        <v>58</v>
      </c>
      <c r="AQ833" s="3" t="s">
        <v>58</v>
      </c>
      <c r="AS833" s="6" t="str">
        <f>HYPERLINK("https://creighton-primo.hosted.exlibrisgroup.com/primo-explore/search?tab=default_tab&amp;search_scope=EVERYTHING&amp;vid=01CRU&amp;lang=en_US&amp;offset=0&amp;query=any,contains,991004106089702656","Catalog Record")</f>
        <v>Catalog Record</v>
      </c>
      <c r="AT833" s="6" t="str">
        <f>HYPERLINK("http://www.worldcat.org/oclc/2384685","WorldCat Record")</f>
        <v>WorldCat Record</v>
      </c>
      <c r="AU833" s="3" t="s">
        <v>10961</v>
      </c>
      <c r="AV833" s="3" t="s">
        <v>10962</v>
      </c>
      <c r="AW833" s="3" t="s">
        <v>10963</v>
      </c>
      <c r="AX833" s="3" t="s">
        <v>10963</v>
      </c>
      <c r="AY833" s="3" t="s">
        <v>10964</v>
      </c>
      <c r="AZ833" s="3" t="s">
        <v>74</v>
      </c>
      <c r="BC833" s="3" t="s">
        <v>10965</v>
      </c>
      <c r="BD833" s="3" t="s">
        <v>10966</v>
      </c>
    </row>
    <row r="834" spans="1:56" ht="45.75" customHeight="1" x14ac:dyDescent="0.25">
      <c r="A834" s="7" t="s">
        <v>58</v>
      </c>
      <c r="B834" s="2" t="s">
        <v>10967</v>
      </c>
      <c r="C834" s="2" t="s">
        <v>10968</v>
      </c>
      <c r="D834" s="2" t="s">
        <v>10969</v>
      </c>
      <c r="F834" s="3" t="s">
        <v>58</v>
      </c>
      <c r="G834" s="3" t="s">
        <v>59</v>
      </c>
      <c r="H834" s="3" t="s">
        <v>58</v>
      </c>
      <c r="I834" s="3" t="s">
        <v>58</v>
      </c>
      <c r="J834" s="3" t="s">
        <v>60</v>
      </c>
      <c r="K834" s="2" t="s">
        <v>10970</v>
      </c>
      <c r="L834" s="2" t="s">
        <v>10971</v>
      </c>
      <c r="M834" s="3" t="s">
        <v>528</v>
      </c>
      <c r="O834" s="3" t="s">
        <v>65</v>
      </c>
      <c r="P834" s="3" t="s">
        <v>84</v>
      </c>
      <c r="R834" s="3" t="s">
        <v>67</v>
      </c>
      <c r="S834" s="4">
        <v>9</v>
      </c>
      <c r="T834" s="4">
        <v>9</v>
      </c>
      <c r="U834" s="5" t="s">
        <v>69</v>
      </c>
      <c r="V834" s="5" t="s">
        <v>69</v>
      </c>
      <c r="W834" s="5" t="s">
        <v>8810</v>
      </c>
      <c r="X834" s="5" t="s">
        <v>8810</v>
      </c>
      <c r="Y834" s="4">
        <v>476</v>
      </c>
      <c r="Z834" s="4">
        <v>434</v>
      </c>
      <c r="AA834" s="4">
        <v>435</v>
      </c>
      <c r="AB834" s="4">
        <v>4</v>
      </c>
      <c r="AC834" s="4">
        <v>4</v>
      </c>
      <c r="AD834" s="4">
        <v>24</v>
      </c>
      <c r="AE834" s="4">
        <v>24</v>
      </c>
      <c r="AF834" s="4">
        <v>6</v>
      </c>
      <c r="AG834" s="4">
        <v>6</v>
      </c>
      <c r="AH834" s="4">
        <v>7</v>
      </c>
      <c r="AI834" s="4">
        <v>7</v>
      </c>
      <c r="AJ834" s="4">
        <v>13</v>
      </c>
      <c r="AK834" s="4">
        <v>13</v>
      </c>
      <c r="AL834" s="4">
        <v>3</v>
      </c>
      <c r="AM834" s="4">
        <v>3</v>
      </c>
      <c r="AN834" s="4">
        <v>1</v>
      </c>
      <c r="AO834" s="4">
        <v>1</v>
      </c>
      <c r="AP834" s="3" t="s">
        <v>58</v>
      </c>
      <c r="AQ834" s="3" t="s">
        <v>58</v>
      </c>
      <c r="AS834" s="6" t="str">
        <f>HYPERLINK("https://creighton-primo.hosted.exlibrisgroup.com/primo-explore/search?tab=default_tab&amp;search_scope=EVERYTHING&amp;vid=01CRU&amp;lang=en_US&amp;offset=0&amp;query=any,contains,991001702989702656","Catalog Record")</f>
        <v>Catalog Record</v>
      </c>
      <c r="AT834" s="6" t="str">
        <f>HYPERLINK("http://www.worldcat.org/oclc/21525504","WorldCat Record")</f>
        <v>WorldCat Record</v>
      </c>
      <c r="AU834" s="3" t="s">
        <v>10972</v>
      </c>
      <c r="AV834" s="3" t="s">
        <v>10973</v>
      </c>
      <c r="AW834" s="3" t="s">
        <v>10974</v>
      </c>
      <c r="AX834" s="3" t="s">
        <v>10974</v>
      </c>
      <c r="AY834" s="3" t="s">
        <v>10975</v>
      </c>
      <c r="AZ834" s="3" t="s">
        <v>74</v>
      </c>
      <c r="BB834" s="3" t="s">
        <v>10976</v>
      </c>
      <c r="BC834" s="3" t="s">
        <v>10977</v>
      </c>
      <c r="BD834" s="3" t="s">
        <v>10978</v>
      </c>
    </row>
    <row r="835" spans="1:56" ht="45.75" customHeight="1" x14ac:dyDescent="0.25">
      <c r="A835" s="7" t="s">
        <v>58</v>
      </c>
      <c r="B835" s="2" t="s">
        <v>10979</v>
      </c>
      <c r="C835" s="2" t="s">
        <v>10980</v>
      </c>
      <c r="D835" s="2" t="s">
        <v>10981</v>
      </c>
      <c r="F835" s="3" t="s">
        <v>58</v>
      </c>
      <c r="G835" s="3" t="s">
        <v>59</v>
      </c>
      <c r="H835" s="3" t="s">
        <v>58</v>
      </c>
      <c r="I835" s="3" t="s">
        <v>58</v>
      </c>
      <c r="J835" s="3" t="s">
        <v>60</v>
      </c>
      <c r="K835" s="2" t="s">
        <v>10982</v>
      </c>
      <c r="L835" s="2" t="s">
        <v>2374</v>
      </c>
      <c r="M835" s="3" t="s">
        <v>83</v>
      </c>
      <c r="O835" s="3" t="s">
        <v>65</v>
      </c>
      <c r="P835" s="3" t="s">
        <v>84</v>
      </c>
      <c r="R835" s="3" t="s">
        <v>67</v>
      </c>
      <c r="S835" s="4">
        <v>33</v>
      </c>
      <c r="T835" s="4">
        <v>33</v>
      </c>
      <c r="U835" s="5" t="s">
        <v>10983</v>
      </c>
      <c r="V835" s="5" t="s">
        <v>10983</v>
      </c>
      <c r="W835" s="5" t="s">
        <v>2001</v>
      </c>
      <c r="X835" s="5" t="s">
        <v>2001</v>
      </c>
      <c r="Y835" s="4">
        <v>830</v>
      </c>
      <c r="Z835" s="4">
        <v>767</v>
      </c>
      <c r="AA835" s="4">
        <v>785</v>
      </c>
      <c r="AB835" s="4">
        <v>3</v>
      </c>
      <c r="AC835" s="4">
        <v>3</v>
      </c>
      <c r="AD835" s="4">
        <v>25</v>
      </c>
      <c r="AE835" s="4">
        <v>25</v>
      </c>
      <c r="AF835" s="4">
        <v>10</v>
      </c>
      <c r="AG835" s="4">
        <v>10</v>
      </c>
      <c r="AH835" s="4">
        <v>6</v>
      </c>
      <c r="AI835" s="4">
        <v>6</v>
      </c>
      <c r="AJ835" s="4">
        <v>13</v>
      </c>
      <c r="AK835" s="4">
        <v>13</v>
      </c>
      <c r="AL835" s="4">
        <v>1</v>
      </c>
      <c r="AM835" s="4">
        <v>1</v>
      </c>
      <c r="AN835" s="4">
        <v>1</v>
      </c>
      <c r="AO835" s="4">
        <v>1</v>
      </c>
      <c r="AP835" s="3" t="s">
        <v>58</v>
      </c>
      <c r="AQ835" s="3" t="s">
        <v>58</v>
      </c>
      <c r="AS835" s="6" t="str">
        <f>HYPERLINK("https://creighton-primo.hosted.exlibrisgroup.com/primo-explore/search?tab=default_tab&amp;search_scope=EVERYTHING&amp;vid=01CRU&amp;lang=en_US&amp;offset=0&amp;query=any,contains,991000710189702656","Catalog Record")</f>
        <v>Catalog Record</v>
      </c>
      <c r="AT835" s="6" t="str">
        <f>HYPERLINK("http://www.worldcat.org/oclc/12582007","WorldCat Record")</f>
        <v>WorldCat Record</v>
      </c>
      <c r="AU835" s="3" t="s">
        <v>10984</v>
      </c>
      <c r="AV835" s="3" t="s">
        <v>10985</v>
      </c>
      <c r="AW835" s="3" t="s">
        <v>10986</v>
      </c>
      <c r="AX835" s="3" t="s">
        <v>10986</v>
      </c>
      <c r="AY835" s="3" t="s">
        <v>10987</v>
      </c>
      <c r="AZ835" s="3" t="s">
        <v>74</v>
      </c>
      <c r="BB835" s="3" t="s">
        <v>10988</v>
      </c>
      <c r="BC835" s="3" t="s">
        <v>10989</v>
      </c>
      <c r="BD835" s="3" t="s">
        <v>10990</v>
      </c>
    </row>
    <row r="836" spans="1:56" ht="45.75" customHeight="1" x14ac:dyDescent="0.25">
      <c r="A836" s="7" t="s">
        <v>58</v>
      </c>
      <c r="B836" s="2" t="s">
        <v>10991</v>
      </c>
      <c r="C836" s="2" t="s">
        <v>10992</v>
      </c>
      <c r="D836" s="2" t="s">
        <v>10993</v>
      </c>
      <c r="F836" s="3" t="s">
        <v>58</v>
      </c>
      <c r="G836" s="3" t="s">
        <v>59</v>
      </c>
      <c r="H836" s="3" t="s">
        <v>87</v>
      </c>
      <c r="I836" s="3" t="s">
        <v>58</v>
      </c>
      <c r="J836" s="3" t="s">
        <v>60</v>
      </c>
      <c r="K836" s="2" t="s">
        <v>10994</v>
      </c>
      <c r="L836" s="2" t="s">
        <v>2189</v>
      </c>
      <c r="M836" s="3" t="s">
        <v>307</v>
      </c>
      <c r="O836" s="3" t="s">
        <v>65</v>
      </c>
      <c r="P836" s="3" t="s">
        <v>84</v>
      </c>
      <c r="R836" s="3" t="s">
        <v>67</v>
      </c>
      <c r="S836" s="4">
        <v>28</v>
      </c>
      <c r="T836" s="4">
        <v>32</v>
      </c>
      <c r="U836" s="5" t="s">
        <v>2440</v>
      </c>
      <c r="V836" s="5" t="s">
        <v>2440</v>
      </c>
      <c r="W836" s="5" t="s">
        <v>10995</v>
      </c>
      <c r="X836" s="5" t="s">
        <v>10995</v>
      </c>
      <c r="Y836" s="4">
        <v>766</v>
      </c>
      <c r="Z836" s="4">
        <v>682</v>
      </c>
      <c r="AA836" s="4">
        <v>728</v>
      </c>
      <c r="AB836" s="4">
        <v>4</v>
      </c>
      <c r="AC836" s="4">
        <v>5</v>
      </c>
      <c r="AD836" s="4">
        <v>24</v>
      </c>
      <c r="AE836" s="4">
        <v>25</v>
      </c>
      <c r="AF836" s="4">
        <v>9</v>
      </c>
      <c r="AG836" s="4">
        <v>9</v>
      </c>
      <c r="AH836" s="4">
        <v>4</v>
      </c>
      <c r="AI836" s="4">
        <v>4</v>
      </c>
      <c r="AJ836" s="4">
        <v>13</v>
      </c>
      <c r="AK836" s="4">
        <v>13</v>
      </c>
      <c r="AL836" s="4">
        <v>2</v>
      </c>
      <c r="AM836" s="4">
        <v>3</v>
      </c>
      <c r="AN836" s="4">
        <v>2</v>
      </c>
      <c r="AO836" s="4">
        <v>2</v>
      </c>
      <c r="AP836" s="3" t="s">
        <v>58</v>
      </c>
      <c r="AQ836" s="3" t="s">
        <v>58</v>
      </c>
      <c r="AS836" s="6" t="str">
        <f>HYPERLINK("https://creighton-primo.hosted.exlibrisgroup.com/primo-explore/search?tab=default_tab&amp;search_scope=EVERYTHING&amp;vid=01CRU&amp;lang=en_US&amp;offset=0&amp;query=any,contains,991001681769702656","Catalog Record")</f>
        <v>Catalog Record</v>
      </c>
      <c r="AT836" s="6" t="str">
        <f>HYPERLINK("http://www.worldcat.org/oclc/32467247","WorldCat Record")</f>
        <v>WorldCat Record</v>
      </c>
      <c r="AU836" s="3" t="s">
        <v>10996</v>
      </c>
      <c r="AV836" s="3" t="s">
        <v>10997</v>
      </c>
      <c r="AW836" s="3" t="s">
        <v>10998</v>
      </c>
      <c r="AX836" s="3" t="s">
        <v>10998</v>
      </c>
      <c r="AY836" s="3" t="s">
        <v>10999</v>
      </c>
      <c r="AZ836" s="3" t="s">
        <v>74</v>
      </c>
      <c r="BB836" s="3" t="s">
        <v>11000</v>
      </c>
      <c r="BC836" s="3" t="s">
        <v>11001</v>
      </c>
      <c r="BD836" s="3" t="s">
        <v>11002</v>
      </c>
    </row>
    <row r="837" spans="1:56" ht="45.75" customHeight="1" x14ac:dyDescent="0.25">
      <c r="A837" s="7" t="s">
        <v>58</v>
      </c>
      <c r="B837" s="2" t="s">
        <v>11003</v>
      </c>
      <c r="C837" s="2" t="s">
        <v>11004</v>
      </c>
      <c r="D837" s="2" t="s">
        <v>11005</v>
      </c>
      <c r="F837" s="3" t="s">
        <v>58</v>
      </c>
      <c r="G837" s="3" t="s">
        <v>59</v>
      </c>
      <c r="H837" s="3" t="s">
        <v>58</v>
      </c>
      <c r="I837" s="3" t="s">
        <v>58</v>
      </c>
      <c r="J837" s="3" t="s">
        <v>60</v>
      </c>
      <c r="K837" s="2" t="s">
        <v>11006</v>
      </c>
      <c r="L837" s="2" t="s">
        <v>11007</v>
      </c>
      <c r="M837" s="3" t="s">
        <v>6241</v>
      </c>
      <c r="O837" s="3" t="s">
        <v>65</v>
      </c>
      <c r="P837" s="3" t="s">
        <v>336</v>
      </c>
      <c r="R837" s="3" t="s">
        <v>67</v>
      </c>
      <c r="S837" s="4">
        <v>5</v>
      </c>
      <c r="T837" s="4">
        <v>5</v>
      </c>
      <c r="U837" s="5" t="s">
        <v>11008</v>
      </c>
      <c r="V837" s="5" t="s">
        <v>11008</v>
      </c>
      <c r="W837" s="5" t="s">
        <v>11009</v>
      </c>
      <c r="X837" s="5" t="s">
        <v>11009</v>
      </c>
      <c r="Y837" s="4">
        <v>329</v>
      </c>
      <c r="Z837" s="4">
        <v>319</v>
      </c>
      <c r="AA837" s="4">
        <v>356</v>
      </c>
      <c r="AB837" s="4">
        <v>4</v>
      </c>
      <c r="AC837" s="4">
        <v>5</v>
      </c>
      <c r="AD837" s="4">
        <v>14</v>
      </c>
      <c r="AE837" s="4">
        <v>15</v>
      </c>
      <c r="AF837" s="4">
        <v>6</v>
      </c>
      <c r="AG837" s="4">
        <v>6</v>
      </c>
      <c r="AH837" s="4">
        <v>1</v>
      </c>
      <c r="AI837" s="4">
        <v>2</v>
      </c>
      <c r="AJ837" s="4">
        <v>8</v>
      </c>
      <c r="AK837" s="4">
        <v>8</v>
      </c>
      <c r="AL837" s="4">
        <v>2</v>
      </c>
      <c r="AM837" s="4">
        <v>2</v>
      </c>
      <c r="AN837" s="4">
        <v>0</v>
      </c>
      <c r="AO837" s="4">
        <v>0</v>
      </c>
      <c r="AP837" s="3" t="s">
        <v>58</v>
      </c>
      <c r="AQ837" s="3" t="s">
        <v>87</v>
      </c>
      <c r="AR837" s="6" t="str">
        <f>HYPERLINK("http://catalog.hathitrust.org/Record/001134530","HathiTrust Record")</f>
        <v>HathiTrust Record</v>
      </c>
      <c r="AS837" s="6" t="str">
        <f>HYPERLINK("https://creighton-primo.hosted.exlibrisgroup.com/primo-explore/search?tab=default_tab&amp;search_scope=EVERYTHING&amp;vid=01CRU&amp;lang=en_US&amp;offset=0&amp;query=any,contains,991004232889702656","Catalog Record")</f>
        <v>Catalog Record</v>
      </c>
      <c r="AT837" s="6" t="str">
        <f>HYPERLINK("http://www.worldcat.org/oclc/2754757","WorldCat Record")</f>
        <v>WorldCat Record</v>
      </c>
      <c r="AU837" s="3" t="s">
        <v>11010</v>
      </c>
      <c r="AV837" s="3" t="s">
        <v>11011</v>
      </c>
      <c r="AW837" s="3" t="s">
        <v>11012</v>
      </c>
      <c r="AX837" s="3" t="s">
        <v>11012</v>
      </c>
      <c r="AY837" s="3" t="s">
        <v>11013</v>
      </c>
      <c r="AZ837" s="3" t="s">
        <v>74</v>
      </c>
      <c r="BC837" s="3" t="s">
        <v>11014</v>
      </c>
      <c r="BD837" s="3" t="s">
        <v>11015</v>
      </c>
    </row>
    <row r="838" spans="1:56" ht="45.75" customHeight="1" x14ac:dyDescent="0.25">
      <c r="A838" s="7" t="s">
        <v>58</v>
      </c>
      <c r="B838" s="2" t="s">
        <v>11016</v>
      </c>
      <c r="C838" s="2" t="s">
        <v>11017</v>
      </c>
      <c r="D838" s="2" t="s">
        <v>11018</v>
      </c>
      <c r="F838" s="3" t="s">
        <v>58</v>
      </c>
      <c r="G838" s="3" t="s">
        <v>59</v>
      </c>
      <c r="H838" s="3" t="s">
        <v>58</v>
      </c>
      <c r="I838" s="3" t="s">
        <v>58</v>
      </c>
      <c r="J838" s="3" t="s">
        <v>60</v>
      </c>
      <c r="K838" s="2" t="s">
        <v>11019</v>
      </c>
      <c r="L838" s="2" t="s">
        <v>11020</v>
      </c>
      <c r="M838" s="3" t="s">
        <v>1419</v>
      </c>
      <c r="N838" s="2" t="s">
        <v>543</v>
      </c>
      <c r="O838" s="3" t="s">
        <v>65</v>
      </c>
      <c r="P838" s="3" t="s">
        <v>148</v>
      </c>
      <c r="R838" s="3" t="s">
        <v>67</v>
      </c>
      <c r="S838" s="4">
        <v>33</v>
      </c>
      <c r="T838" s="4">
        <v>33</v>
      </c>
      <c r="U838" s="5" t="s">
        <v>2983</v>
      </c>
      <c r="V838" s="5" t="s">
        <v>2983</v>
      </c>
      <c r="W838" s="5" t="s">
        <v>11021</v>
      </c>
      <c r="X838" s="5" t="s">
        <v>11021</v>
      </c>
      <c r="Y838" s="4">
        <v>614</v>
      </c>
      <c r="Z838" s="4">
        <v>566</v>
      </c>
      <c r="AA838" s="4">
        <v>584</v>
      </c>
      <c r="AB838" s="4">
        <v>2</v>
      </c>
      <c r="AC838" s="4">
        <v>2</v>
      </c>
      <c r="AD838" s="4">
        <v>23</v>
      </c>
      <c r="AE838" s="4">
        <v>23</v>
      </c>
      <c r="AF838" s="4">
        <v>6</v>
      </c>
      <c r="AG838" s="4">
        <v>6</v>
      </c>
      <c r="AH838" s="4">
        <v>2</v>
      </c>
      <c r="AI838" s="4">
        <v>2</v>
      </c>
      <c r="AJ838" s="4">
        <v>5</v>
      </c>
      <c r="AK838" s="4">
        <v>5</v>
      </c>
      <c r="AL838" s="4">
        <v>1</v>
      </c>
      <c r="AM838" s="4">
        <v>1</v>
      </c>
      <c r="AN838" s="4">
        <v>11</v>
      </c>
      <c r="AO838" s="4">
        <v>11</v>
      </c>
      <c r="AP838" s="3" t="s">
        <v>58</v>
      </c>
      <c r="AQ838" s="3" t="s">
        <v>58</v>
      </c>
      <c r="AS838" s="6" t="str">
        <f>HYPERLINK("https://creighton-primo.hosted.exlibrisgroup.com/primo-explore/search?tab=default_tab&amp;search_scope=EVERYTHING&amp;vid=01CRU&amp;lang=en_US&amp;offset=0&amp;query=any,contains,991004564289702656","Catalog Record")</f>
        <v>Catalog Record</v>
      </c>
      <c r="AT838" s="6" t="str">
        <f>HYPERLINK("http://www.worldcat.org/oclc/4004124","WorldCat Record")</f>
        <v>WorldCat Record</v>
      </c>
      <c r="AU838" s="3" t="s">
        <v>11022</v>
      </c>
      <c r="AV838" s="3" t="s">
        <v>11023</v>
      </c>
      <c r="AW838" s="3" t="s">
        <v>11024</v>
      </c>
      <c r="AX838" s="3" t="s">
        <v>11024</v>
      </c>
      <c r="AY838" s="3" t="s">
        <v>11025</v>
      </c>
      <c r="AZ838" s="3" t="s">
        <v>74</v>
      </c>
      <c r="BB838" s="3" t="s">
        <v>11026</v>
      </c>
      <c r="BC838" s="3" t="s">
        <v>11027</v>
      </c>
      <c r="BD838" s="3" t="s">
        <v>11028</v>
      </c>
    </row>
    <row r="839" spans="1:56" ht="45.75" customHeight="1" x14ac:dyDescent="0.25">
      <c r="A839" s="7" t="s">
        <v>58</v>
      </c>
      <c r="B839" s="2" t="s">
        <v>11029</v>
      </c>
      <c r="C839" s="2" t="s">
        <v>11030</v>
      </c>
      <c r="D839" s="2" t="s">
        <v>11031</v>
      </c>
      <c r="F839" s="3" t="s">
        <v>58</v>
      </c>
      <c r="G839" s="3" t="s">
        <v>59</v>
      </c>
      <c r="H839" s="3" t="s">
        <v>58</v>
      </c>
      <c r="I839" s="3" t="s">
        <v>58</v>
      </c>
      <c r="J839" s="3" t="s">
        <v>60</v>
      </c>
      <c r="K839" s="2" t="s">
        <v>11032</v>
      </c>
      <c r="L839" s="2" t="s">
        <v>11033</v>
      </c>
      <c r="M839" s="3" t="s">
        <v>1998</v>
      </c>
      <c r="O839" s="3" t="s">
        <v>65</v>
      </c>
      <c r="P839" s="3" t="s">
        <v>101</v>
      </c>
      <c r="R839" s="3" t="s">
        <v>67</v>
      </c>
      <c r="S839" s="4">
        <v>4</v>
      </c>
      <c r="T839" s="4">
        <v>4</v>
      </c>
      <c r="U839" s="5" t="s">
        <v>11008</v>
      </c>
      <c r="V839" s="5" t="s">
        <v>11008</v>
      </c>
      <c r="W839" s="5" t="s">
        <v>11034</v>
      </c>
      <c r="X839" s="5" t="s">
        <v>11034</v>
      </c>
      <c r="Y839" s="4">
        <v>112</v>
      </c>
      <c r="Z839" s="4">
        <v>70</v>
      </c>
      <c r="AA839" s="4">
        <v>70</v>
      </c>
      <c r="AB839" s="4">
        <v>1</v>
      </c>
      <c r="AC839" s="4">
        <v>1</v>
      </c>
      <c r="AD839" s="4">
        <v>2</v>
      </c>
      <c r="AE839" s="4">
        <v>2</v>
      </c>
      <c r="AF839" s="4">
        <v>1</v>
      </c>
      <c r="AG839" s="4">
        <v>1</v>
      </c>
      <c r="AH839" s="4">
        <v>1</v>
      </c>
      <c r="AI839" s="4">
        <v>1</v>
      </c>
      <c r="AJ839" s="4">
        <v>1</v>
      </c>
      <c r="AK839" s="4">
        <v>1</v>
      </c>
      <c r="AL839" s="4">
        <v>0</v>
      </c>
      <c r="AM839" s="4">
        <v>0</v>
      </c>
      <c r="AN839" s="4">
        <v>0</v>
      </c>
      <c r="AO839" s="4">
        <v>0</v>
      </c>
      <c r="AP839" s="3" t="s">
        <v>58</v>
      </c>
      <c r="AQ839" s="3" t="s">
        <v>58</v>
      </c>
      <c r="AS839" s="6" t="str">
        <f>HYPERLINK("https://creighton-primo.hosted.exlibrisgroup.com/primo-explore/search?tab=default_tab&amp;search_scope=EVERYTHING&amp;vid=01CRU&amp;lang=en_US&amp;offset=0&amp;query=any,contains,991003721829702656","Catalog Record")</f>
        <v>Catalog Record</v>
      </c>
      <c r="AT839" s="6" t="str">
        <f>HYPERLINK("http://www.worldcat.org/oclc/1366416","WorldCat Record")</f>
        <v>WorldCat Record</v>
      </c>
      <c r="AU839" s="3" t="s">
        <v>11035</v>
      </c>
      <c r="AV839" s="3" t="s">
        <v>11036</v>
      </c>
      <c r="AW839" s="3" t="s">
        <v>11037</v>
      </c>
      <c r="AX839" s="3" t="s">
        <v>11037</v>
      </c>
      <c r="AY839" s="3" t="s">
        <v>11038</v>
      </c>
      <c r="AZ839" s="3" t="s">
        <v>74</v>
      </c>
      <c r="BB839" s="3" t="s">
        <v>11039</v>
      </c>
      <c r="BC839" s="3" t="s">
        <v>11040</v>
      </c>
      <c r="BD839" s="3" t="s">
        <v>11041</v>
      </c>
    </row>
    <row r="840" spans="1:56" ht="45.75" customHeight="1" x14ac:dyDescent="0.25">
      <c r="A840" s="7" t="s">
        <v>58</v>
      </c>
      <c r="B840" s="2" t="s">
        <v>11042</v>
      </c>
      <c r="C840" s="2" t="s">
        <v>11043</v>
      </c>
      <c r="D840" s="2" t="s">
        <v>11044</v>
      </c>
      <c r="F840" s="3" t="s">
        <v>58</v>
      </c>
      <c r="G840" s="3" t="s">
        <v>59</v>
      </c>
      <c r="H840" s="3" t="s">
        <v>58</v>
      </c>
      <c r="I840" s="3" t="s">
        <v>58</v>
      </c>
      <c r="J840" s="3" t="s">
        <v>60</v>
      </c>
      <c r="K840" s="2" t="s">
        <v>11045</v>
      </c>
      <c r="L840" s="2" t="s">
        <v>11046</v>
      </c>
      <c r="M840" s="3" t="s">
        <v>220</v>
      </c>
      <c r="O840" s="3" t="s">
        <v>65</v>
      </c>
      <c r="P840" s="3" t="s">
        <v>1238</v>
      </c>
      <c r="R840" s="3" t="s">
        <v>67</v>
      </c>
      <c r="S840" s="4">
        <v>2</v>
      </c>
      <c r="T840" s="4">
        <v>2</v>
      </c>
      <c r="U840" s="5" t="s">
        <v>11047</v>
      </c>
      <c r="V840" s="5" t="s">
        <v>11047</v>
      </c>
      <c r="W840" s="5" t="s">
        <v>6146</v>
      </c>
      <c r="X840" s="5" t="s">
        <v>6146</v>
      </c>
      <c r="Y840" s="4">
        <v>311</v>
      </c>
      <c r="Z840" s="4">
        <v>225</v>
      </c>
      <c r="AA840" s="4">
        <v>248</v>
      </c>
      <c r="AB840" s="4">
        <v>3</v>
      </c>
      <c r="AC840" s="4">
        <v>3</v>
      </c>
      <c r="AD840" s="4">
        <v>14</v>
      </c>
      <c r="AE840" s="4">
        <v>15</v>
      </c>
      <c r="AF840" s="4">
        <v>1</v>
      </c>
      <c r="AG840" s="4">
        <v>1</v>
      </c>
      <c r="AH840" s="4">
        <v>0</v>
      </c>
      <c r="AI840" s="4">
        <v>0</v>
      </c>
      <c r="AJ840" s="4">
        <v>6</v>
      </c>
      <c r="AK840" s="4">
        <v>7</v>
      </c>
      <c r="AL840" s="4">
        <v>2</v>
      </c>
      <c r="AM840" s="4">
        <v>2</v>
      </c>
      <c r="AN840" s="4">
        <v>5</v>
      </c>
      <c r="AO840" s="4">
        <v>5</v>
      </c>
      <c r="AP840" s="3" t="s">
        <v>58</v>
      </c>
      <c r="AQ840" s="3" t="s">
        <v>58</v>
      </c>
      <c r="AS840" s="6" t="str">
        <f>HYPERLINK("https://creighton-primo.hosted.exlibrisgroup.com/primo-explore/search?tab=default_tab&amp;search_scope=EVERYTHING&amp;vid=01CRU&amp;lang=en_US&amp;offset=0&amp;query=any,contains,991003653899702656","Catalog Record")</f>
        <v>Catalog Record</v>
      </c>
      <c r="AT840" s="6" t="str">
        <f>HYPERLINK("http://www.worldcat.org/oclc/39195274","WorldCat Record")</f>
        <v>WorldCat Record</v>
      </c>
      <c r="AU840" s="3" t="s">
        <v>11048</v>
      </c>
      <c r="AV840" s="3" t="s">
        <v>11049</v>
      </c>
      <c r="AW840" s="3" t="s">
        <v>11050</v>
      </c>
      <c r="AX840" s="3" t="s">
        <v>11050</v>
      </c>
      <c r="AY840" s="3" t="s">
        <v>11051</v>
      </c>
      <c r="AZ840" s="3" t="s">
        <v>74</v>
      </c>
      <c r="BB840" s="3" t="s">
        <v>11052</v>
      </c>
      <c r="BC840" s="3" t="s">
        <v>11053</v>
      </c>
      <c r="BD840" s="3" t="s">
        <v>11054</v>
      </c>
    </row>
    <row r="841" spans="1:56" ht="45.75" customHeight="1" x14ac:dyDescent="0.25">
      <c r="A841" s="7" t="s">
        <v>58</v>
      </c>
      <c r="B841" s="2" t="s">
        <v>11055</v>
      </c>
      <c r="C841" s="2" t="s">
        <v>11056</v>
      </c>
      <c r="D841" s="2" t="s">
        <v>11057</v>
      </c>
      <c r="F841" s="3" t="s">
        <v>58</v>
      </c>
      <c r="G841" s="3" t="s">
        <v>59</v>
      </c>
      <c r="H841" s="3" t="s">
        <v>58</v>
      </c>
      <c r="I841" s="3" t="s">
        <v>87</v>
      </c>
      <c r="J841" s="3" t="s">
        <v>60</v>
      </c>
      <c r="K841" s="2" t="s">
        <v>11058</v>
      </c>
      <c r="L841" s="2" t="s">
        <v>8112</v>
      </c>
      <c r="M841" s="3" t="s">
        <v>573</v>
      </c>
      <c r="N841" s="2" t="s">
        <v>543</v>
      </c>
      <c r="O841" s="3" t="s">
        <v>65</v>
      </c>
      <c r="P841" s="3" t="s">
        <v>84</v>
      </c>
      <c r="R841" s="3" t="s">
        <v>67</v>
      </c>
      <c r="S841" s="4">
        <v>1</v>
      </c>
      <c r="T841" s="4">
        <v>1</v>
      </c>
      <c r="U841" s="5" t="s">
        <v>11059</v>
      </c>
      <c r="V841" s="5" t="s">
        <v>11059</v>
      </c>
      <c r="W841" s="5" t="s">
        <v>11059</v>
      </c>
      <c r="X841" s="5" t="s">
        <v>11059</v>
      </c>
      <c r="Y841" s="4">
        <v>990</v>
      </c>
      <c r="Z841" s="4">
        <v>935</v>
      </c>
      <c r="AA841" s="4">
        <v>1087</v>
      </c>
      <c r="AB841" s="4">
        <v>8</v>
      </c>
      <c r="AC841" s="4">
        <v>11</v>
      </c>
      <c r="AD841" s="4">
        <v>38</v>
      </c>
      <c r="AE841" s="4">
        <v>43</v>
      </c>
      <c r="AF841" s="4">
        <v>13</v>
      </c>
      <c r="AG841" s="4">
        <v>14</v>
      </c>
      <c r="AH841" s="4">
        <v>7</v>
      </c>
      <c r="AI841" s="4">
        <v>8</v>
      </c>
      <c r="AJ841" s="4">
        <v>16</v>
      </c>
      <c r="AK841" s="4">
        <v>17</v>
      </c>
      <c r="AL841" s="4">
        <v>7</v>
      </c>
      <c r="AM841" s="4">
        <v>9</v>
      </c>
      <c r="AN841" s="4">
        <v>4</v>
      </c>
      <c r="AO841" s="4">
        <v>4</v>
      </c>
      <c r="AP841" s="3" t="s">
        <v>58</v>
      </c>
      <c r="AQ841" s="3" t="s">
        <v>87</v>
      </c>
      <c r="AR841" s="6" t="str">
        <f>HYPERLINK("http://catalog.hathitrust.org/Record/004314679","HathiTrust Record")</f>
        <v>HathiTrust Record</v>
      </c>
      <c r="AS841" s="6" t="str">
        <f>HYPERLINK("https://creighton-primo.hosted.exlibrisgroup.com/primo-explore/search?tab=default_tab&amp;search_scope=EVERYTHING&amp;vid=01CRU&amp;lang=en_US&amp;offset=0&amp;query=any,contains,991004077779702656","Catalog Record")</f>
        <v>Catalog Record</v>
      </c>
      <c r="AT841" s="6" t="str">
        <f>HYPERLINK("http://www.worldcat.org/oclc/51022970","WorldCat Record")</f>
        <v>WorldCat Record</v>
      </c>
      <c r="AU841" s="3" t="s">
        <v>11060</v>
      </c>
      <c r="AV841" s="3" t="s">
        <v>11061</v>
      </c>
      <c r="AW841" s="3" t="s">
        <v>11062</v>
      </c>
      <c r="AX841" s="3" t="s">
        <v>11062</v>
      </c>
      <c r="AY841" s="3" t="s">
        <v>11063</v>
      </c>
      <c r="AZ841" s="3" t="s">
        <v>74</v>
      </c>
      <c r="BB841" s="3" t="s">
        <v>11064</v>
      </c>
      <c r="BC841" s="3" t="s">
        <v>11065</v>
      </c>
      <c r="BD841" s="3" t="s">
        <v>11066</v>
      </c>
    </row>
    <row r="842" spans="1:56" ht="45.75" customHeight="1" x14ac:dyDescent="0.25">
      <c r="A842" s="7" t="s">
        <v>58</v>
      </c>
      <c r="B842" s="2" t="s">
        <v>11067</v>
      </c>
      <c r="C842" s="2" t="s">
        <v>11068</v>
      </c>
      <c r="D842" s="2" t="s">
        <v>11057</v>
      </c>
      <c r="F842" s="3" t="s">
        <v>58</v>
      </c>
      <c r="G842" s="3" t="s">
        <v>59</v>
      </c>
      <c r="H842" s="3" t="s">
        <v>58</v>
      </c>
      <c r="I842" s="3" t="s">
        <v>87</v>
      </c>
      <c r="J842" s="3" t="s">
        <v>60</v>
      </c>
      <c r="K842" s="2" t="s">
        <v>11058</v>
      </c>
      <c r="L842" s="2" t="s">
        <v>11069</v>
      </c>
      <c r="M842" s="3" t="s">
        <v>147</v>
      </c>
      <c r="N842" s="2" t="s">
        <v>11070</v>
      </c>
      <c r="O842" s="3" t="s">
        <v>65</v>
      </c>
      <c r="P842" s="3" t="s">
        <v>84</v>
      </c>
      <c r="R842" s="3" t="s">
        <v>67</v>
      </c>
      <c r="S842" s="4">
        <v>1</v>
      </c>
      <c r="T842" s="4">
        <v>1</v>
      </c>
      <c r="U842" s="5" t="s">
        <v>11071</v>
      </c>
      <c r="V842" s="5" t="s">
        <v>11071</v>
      </c>
      <c r="W842" s="5" t="s">
        <v>11071</v>
      </c>
      <c r="X842" s="5" t="s">
        <v>11071</v>
      </c>
      <c r="Y842" s="4">
        <v>147</v>
      </c>
      <c r="Z842" s="4">
        <v>133</v>
      </c>
      <c r="AA842" s="4">
        <v>1087</v>
      </c>
      <c r="AB842" s="4">
        <v>3</v>
      </c>
      <c r="AC842" s="4">
        <v>11</v>
      </c>
      <c r="AD842" s="4">
        <v>4</v>
      </c>
      <c r="AE842" s="4">
        <v>43</v>
      </c>
      <c r="AF842" s="4">
        <v>1</v>
      </c>
      <c r="AG842" s="4">
        <v>14</v>
      </c>
      <c r="AH842" s="4">
        <v>1</v>
      </c>
      <c r="AI842" s="4">
        <v>8</v>
      </c>
      <c r="AJ842" s="4">
        <v>1</v>
      </c>
      <c r="AK842" s="4">
        <v>17</v>
      </c>
      <c r="AL842" s="4">
        <v>1</v>
      </c>
      <c r="AM842" s="4">
        <v>9</v>
      </c>
      <c r="AN842" s="4">
        <v>0</v>
      </c>
      <c r="AO842" s="4">
        <v>4</v>
      </c>
      <c r="AP842" s="3" t="s">
        <v>58</v>
      </c>
      <c r="AQ842" s="3" t="s">
        <v>58</v>
      </c>
      <c r="AS842" s="6" t="str">
        <f>HYPERLINK("https://creighton-primo.hosted.exlibrisgroup.com/primo-explore/search?tab=default_tab&amp;search_scope=EVERYTHING&amp;vid=01CRU&amp;lang=en_US&amp;offset=0&amp;query=any,contains,991005394339702656","Catalog Record")</f>
        <v>Catalog Record</v>
      </c>
      <c r="AT842" s="6" t="str">
        <f>HYPERLINK("http://www.worldcat.org/oclc/54960073","WorldCat Record")</f>
        <v>WorldCat Record</v>
      </c>
      <c r="AU842" s="3" t="s">
        <v>11060</v>
      </c>
      <c r="AV842" s="3" t="s">
        <v>11072</v>
      </c>
      <c r="AW842" s="3" t="s">
        <v>11073</v>
      </c>
      <c r="AX842" s="3" t="s">
        <v>11073</v>
      </c>
      <c r="AY842" s="3" t="s">
        <v>11074</v>
      </c>
      <c r="AZ842" s="3" t="s">
        <v>74</v>
      </c>
      <c r="BB842" s="3" t="s">
        <v>11075</v>
      </c>
      <c r="BC842" s="3" t="s">
        <v>11076</v>
      </c>
      <c r="BD842" s="3" t="s">
        <v>11077</v>
      </c>
    </row>
    <row r="843" spans="1:56" ht="45.75" customHeight="1" x14ac:dyDescent="0.25">
      <c r="A843" s="7" t="s">
        <v>58</v>
      </c>
      <c r="B843" s="2" t="s">
        <v>11078</v>
      </c>
      <c r="C843" s="2" t="s">
        <v>11079</v>
      </c>
      <c r="D843" s="2" t="s">
        <v>11080</v>
      </c>
      <c r="F843" s="3" t="s">
        <v>58</v>
      </c>
      <c r="G843" s="3" t="s">
        <v>59</v>
      </c>
      <c r="H843" s="3" t="s">
        <v>58</v>
      </c>
      <c r="I843" s="3" t="s">
        <v>58</v>
      </c>
      <c r="J843" s="3" t="s">
        <v>60</v>
      </c>
      <c r="K843" s="2" t="s">
        <v>11081</v>
      </c>
      <c r="L843" s="2" t="s">
        <v>11082</v>
      </c>
      <c r="M843" s="3" t="s">
        <v>528</v>
      </c>
      <c r="O843" s="3" t="s">
        <v>65</v>
      </c>
      <c r="P843" s="3" t="s">
        <v>84</v>
      </c>
      <c r="R843" s="3" t="s">
        <v>67</v>
      </c>
      <c r="S843" s="4">
        <v>5</v>
      </c>
      <c r="T843" s="4">
        <v>5</v>
      </c>
      <c r="U843" s="5" t="s">
        <v>6242</v>
      </c>
      <c r="V843" s="5" t="s">
        <v>6242</v>
      </c>
      <c r="W843" s="5" t="s">
        <v>7353</v>
      </c>
      <c r="X843" s="5" t="s">
        <v>7353</v>
      </c>
      <c r="Y843" s="4">
        <v>709</v>
      </c>
      <c r="Z843" s="4">
        <v>616</v>
      </c>
      <c r="AA843" s="4">
        <v>627</v>
      </c>
      <c r="AB843" s="4">
        <v>6</v>
      </c>
      <c r="AC843" s="4">
        <v>6</v>
      </c>
      <c r="AD843" s="4">
        <v>29</v>
      </c>
      <c r="AE843" s="4">
        <v>30</v>
      </c>
      <c r="AF843" s="4">
        <v>8</v>
      </c>
      <c r="AG843" s="4">
        <v>9</v>
      </c>
      <c r="AH843" s="4">
        <v>5</v>
      </c>
      <c r="AI843" s="4">
        <v>6</v>
      </c>
      <c r="AJ843" s="4">
        <v>9</v>
      </c>
      <c r="AK843" s="4">
        <v>9</v>
      </c>
      <c r="AL843" s="4">
        <v>4</v>
      </c>
      <c r="AM843" s="4">
        <v>4</v>
      </c>
      <c r="AN843" s="4">
        <v>6</v>
      </c>
      <c r="AO843" s="4">
        <v>6</v>
      </c>
      <c r="AP843" s="3" t="s">
        <v>58</v>
      </c>
      <c r="AQ843" s="3" t="s">
        <v>58</v>
      </c>
      <c r="AS843" s="6" t="str">
        <f>HYPERLINK("https://creighton-primo.hosted.exlibrisgroup.com/primo-explore/search?tab=default_tab&amp;search_scope=EVERYTHING&amp;vid=01CRU&amp;lang=en_US&amp;offset=0&amp;query=any,contains,991001573709702656","Catalog Record")</f>
        <v>Catalog Record</v>
      </c>
      <c r="AT843" s="6" t="str">
        <f>HYPERLINK("http://www.worldcat.org/oclc/20418391","WorldCat Record")</f>
        <v>WorldCat Record</v>
      </c>
      <c r="AU843" s="3" t="s">
        <v>11083</v>
      </c>
      <c r="AV843" s="3" t="s">
        <v>11084</v>
      </c>
      <c r="AW843" s="3" t="s">
        <v>11085</v>
      </c>
      <c r="AX843" s="3" t="s">
        <v>11085</v>
      </c>
      <c r="AY843" s="3" t="s">
        <v>11086</v>
      </c>
      <c r="AZ843" s="3" t="s">
        <v>74</v>
      </c>
      <c r="BB843" s="3" t="s">
        <v>11087</v>
      </c>
      <c r="BC843" s="3" t="s">
        <v>11088</v>
      </c>
      <c r="BD843" s="3" t="s">
        <v>11089</v>
      </c>
    </row>
    <row r="844" spans="1:56" ht="45.75" customHeight="1" x14ac:dyDescent="0.25">
      <c r="A844" s="7" t="s">
        <v>58</v>
      </c>
      <c r="B844" s="2" t="s">
        <v>11090</v>
      </c>
      <c r="C844" s="2" t="s">
        <v>11091</v>
      </c>
      <c r="D844" s="2" t="s">
        <v>11092</v>
      </c>
      <c r="F844" s="3" t="s">
        <v>58</v>
      </c>
      <c r="G844" s="3" t="s">
        <v>59</v>
      </c>
      <c r="H844" s="3" t="s">
        <v>58</v>
      </c>
      <c r="I844" s="3" t="s">
        <v>58</v>
      </c>
      <c r="J844" s="3" t="s">
        <v>60</v>
      </c>
      <c r="K844" s="2" t="s">
        <v>11081</v>
      </c>
      <c r="L844" s="2" t="s">
        <v>2839</v>
      </c>
      <c r="M844" s="3" t="s">
        <v>2324</v>
      </c>
      <c r="O844" s="3" t="s">
        <v>65</v>
      </c>
      <c r="P844" s="3" t="s">
        <v>132</v>
      </c>
      <c r="R844" s="3" t="s">
        <v>67</v>
      </c>
      <c r="S844" s="4">
        <v>4</v>
      </c>
      <c r="T844" s="4">
        <v>4</v>
      </c>
      <c r="U844" s="5" t="s">
        <v>11093</v>
      </c>
      <c r="V844" s="5" t="s">
        <v>11093</v>
      </c>
      <c r="W844" s="5" t="s">
        <v>8836</v>
      </c>
      <c r="X844" s="5" t="s">
        <v>8836</v>
      </c>
      <c r="Y844" s="4">
        <v>741</v>
      </c>
      <c r="Z844" s="4">
        <v>614</v>
      </c>
      <c r="AA844" s="4">
        <v>615</v>
      </c>
      <c r="AB844" s="4">
        <v>8</v>
      </c>
      <c r="AC844" s="4">
        <v>8</v>
      </c>
      <c r="AD844" s="4">
        <v>45</v>
      </c>
      <c r="AE844" s="4">
        <v>45</v>
      </c>
      <c r="AF844" s="4">
        <v>14</v>
      </c>
      <c r="AG844" s="4">
        <v>14</v>
      </c>
      <c r="AH844" s="4">
        <v>7</v>
      </c>
      <c r="AI844" s="4">
        <v>7</v>
      </c>
      <c r="AJ844" s="4">
        <v>19</v>
      </c>
      <c r="AK844" s="4">
        <v>19</v>
      </c>
      <c r="AL844" s="4">
        <v>6</v>
      </c>
      <c r="AM844" s="4">
        <v>6</v>
      </c>
      <c r="AN844" s="4">
        <v>9</v>
      </c>
      <c r="AO844" s="4">
        <v>9</v>
      </c>
      <c r="AP844" s="3" t="s">
        <v>58</v>
      </c>
      <c r="AQ844" s="3" t="s">
        <v>58</v>
      </c>
      <c r="AS844" s="6" t="str">
        <f>HYPERLINK("https://creighton-primo.hosted.exlibrisgroup.com/primo-explore/search?tab=default_tab&amp;search_scope=EVERYTHING&amp;vid=01CRU&amp;lang=en_US&amp;offset=0&amp;query=any,contains,991000154509702656","Catalog Record")</f>
        <v>Catalog Record</v>
      </c>
      <c r="AT844" s="6" t="str">
        <f>HYPERLINK("http://www.worldcat.org/oclc/9219516","WorldCat Record")</f>
        <v>WorldCat Record</v>
      </c>
      <c r="AU844" s="3" t="s">
        <v>11094</v>
      </c>
      <c r="AV844" s="3" t="s">
        <v>11095</v>
      </c>
      <c r="AW844" s="3" t="s">
        <v>11096</v>
      </c>
      <c r="AX844" s="3" t="s">
        <v>11096</v>
      </c>
      <c r="AY844" s="3" t="s">
        <v>11097</v>
      </c>
      <c r="AZ844" s="3" t="s">
        <v>74</v>
      </c>
      <c r="BB844" s="3" t="s">
        <v>11098</v>
      </c>
      <c r="BC844" s="3" t="s">
        <v>11099</v>
      </c>
      <c r="BD844" s="3" t="s">
        <v>11100</v>
      </c>
    </row>
    <row r="845" spans="1:56" ht="45.75" customHeight="1" x14ac:dyDescent="0.25">
      <c r="A845" s="7" t="s">
        <v>58</v>
      </c>
      <c r="B845" s="2" t="s">
        <v>11101</v>
      </c>
      <c r="C845" s="2" t="s">
        <v>11102</v>
      </c>
      <c r="D845" s="2" t="s">
        <v>11103</v>
      </c>
      <c r="F845" s="3" t="s">
        <v>58</v>
      </c>
      <c r="G845" s="3" t="s">
        <v>59</v>
      </c>
      <c r="H845" s="3" t="s">
        <v>58</v>
      </c>
      <c r="I845" s="3" t="s">
        <v>58</v>
      </c>
      <c r="J845" s="3" t="s">
        <v>60</v>
      </c>
      <c r="L845" s="2" t="s">
        <v>11104</v>
      </c>
      <c r="M845" s="3" t="s">
        <v>937</v>
      </c>
      <c r="O845" s="3" t="s">
        <v>65</v>
      </c>
      <c r="P845" s="3" t="s">
        <v>84</v>
      </c>
      <c r="R845" s="3" t="s">
        <v>67</v>
      </c>
      <c r="S845" s="4">
        <v>4</v>
      </c>
      <c r="T845" s="4">
        <v>4</v>
      </c>
      <c r="U845" s="5" t="s">
        <v>11105</v>
      </c>
      <c r="V845" s="5" t="s">
        <v>11105</v>
      </c>
      <c r="W845" s="5" t="s">
        <v>6361</v>
      </c>
      <c r="X845" s="5" t="s">
        <v>6361</v>
      </c>
      <c r="Y845" s="4">
        <v>375</v>
      </c>
      <c r="Z845" s="4">
        <v>340</v>
      </c>
      <c r="AA845" s="4">
        <v>348</v>
      </c>
      <c r="AB845" s="4">
        <v>5</v>
      </c>
      <c r="AC845" s="4">
        <v>5</v>
      </c>
      <c r="AD845" s="4">
        <v>16</v>
      </c>
      <c r="AE845" s="4">
        <v>17</v>
      </c>
      <c r="AF845" s="4">
        <v>4</v>
      </c>
      <c r="AG845" s="4">
        <v>4</v>
      </c>
      <c r="AH845" s="4">
        <v>4</v>
      </c>
      <c r="AI845" s="4">
        <v>4</v>
      </c>
      <c r="AJ845" s="4">
        <v>5</v>
      </c>
      <c r="AK845" s="4">
        <v>6</v>
      </c>
      <c r="AL845" s="4">
        <v>4</v>
      </c>
      <c r="AM845" s="4">
        <v>4</v>
      </c>
      <c r="AN845" s="4">
        <v>3</v>
      </c>
      <c r="AO845" s="4">
        <v>3</v>
      </c>
      <c r="AP845" s="3" t="s">
        <v>58</v>
      </c>
      <c r="AQ845" s="3" t="s">
        <v>58</v>
      </c>
      <c r="AS845" s="6" t="str">
        <f>HYPERLINK("https://creighton-primo.hosted.exlibrisgroup.com/primo-explore/search?tab=default_tab&amp;search_scope=EVERYTHING&amp;vid=01CRU&amp;lang=en_US&amp;offset=0&amp;query=any,contains,991004262349702656","Catalog Record")</f>
        <v>Catalog Record</v>
      </c>
      <c r="AT845" s="6" t="str">
        <f>HYPERLINK("http://www.worldcat.org/oclc/2850321","WorldCat Record")</f>
        <v>WorldCat Record</v>
      </c>
      <c r="AU845" s="3" t="s">
        <v>11106</v>
      </c>
      <c r="AV845" s="3" t="s">
        <v>11107</v>
      </c>
      <c r="AW845" s="3" t="s">
        <v>11108</v>
      </c>
      <c r="AX845" s="3" t="s">
        <v>11108</v>
      </c>
      <c r="AY845" s="3" t="s">
        <v>11109</v>
      </c>
      <c r="AZ845" s="3" t="s">
        <v>74</v>
      </c>
      <c r="BB845" s="3" t="s">
        <v>11110</v>
      </c>
      <c r="BC845" s="3" t="s">
        <v>11111</v>
      </c>
      <c r="BD845" s="3" t="s">
        <v>11112</v>
      </c>
    </row>
    <row r="846" spans="1:56" ht="45.75" customHeight="1" x14ac:dyDescent="0.25">
      <c r="A846" s="7" t="s">
        <v>58</v>
      </c>
      <c r="B846" s="2" t="s">
        <v>11113</v>
      </c>
      <c r="C846" s="2" t="s">
        <v>11114</v>
      </c>
      <c r="D846" s="2" t="s">
        <v>11115</v>
      </c>
      <c r="F846" s="3" t="s">
        <v>58</v>
      </c>
      <c r="G846" s="3" t="s">
        <v>59</v>
      </c>
      <c r="H846" s="3" t="s">
        <v>58</v>
      </c>
      <c r="I846" s="3" t="s">
        <v>58</v>
      </c>
      <c r="J846" s="3" t="s">
        <v>60</v>
      </c>
      <c r="K846" s="2" t="s">
        <v>11116</v>
      </c>
      <c r="L846" s="2" t="s">
        <v>11117</v>
      </c>
      <c r="M846" s="3" t="s">
        <v>419</v>
      </c>
      <c r="O846" s="3" t="s">
        <v>65</v>
      </c>
      <c r="P846" s="3" t="s">
        <v>84</v>
      </c>
      <c r="R846" s="3" t="s">
        <v>67</v>
      </c>
      <c r="S846" s="4">
        <v>3</v>
      </c>
      <c r="T846" s="4">
        <v>3</v>
      </c>
      <c r="U846" s="5" t="s">
        <v>11118</v>
      </c>
      <c r="V846" s="5" t="s">
        <v>11118</v>
      </c>
      <c r="W846" s="5" t="s">
        <v>11119</v>
      </c>
      <c r="X846" s="5" t="s">
        <v>11119</v>
      </c>
      <c r="Y846" s="4">
        <v>269</v>
      </c>
      <c r="Z846" s="4">
        <v>209</v>
      </c>
      <c r="AA846" s="4">
        <v>230</v>
      </c>
      <c r="AB846" s="4">
        <v>1</v>
      </c>
      <c r="AC846" s="4">
        <v>1</v>
      </c>
      <c r="AD846" s="4">
        <v>6</v>
      </c>
      <c r="AE846" s="4">
        <v>6</v>
      </c>
      <c r="AF846" s="4">
        <v>3</v>
      </c>
      <c r="AG846" s="4">
        <v>3</v>
      </c>
      <c r="AH846" s="4">
        <v>1</v>
      </c>
      <c r="AI846" s="4">
        <v>1</v>
      </c>
      <c r="AJ846" s="4">
        <v>6</v>
      </c>
      <c r="AK846" s="4">
        <v>6</v>
      </c>
      <c r="AL846" s="4">
        <v>0</v>
      </c>
      <c r="AM846" s="4">
        <v>0</v>
      </c>
      <c r="AN846" s="4">
        <v>0</v>
      </c>
      <c r="AO846" s="4">
        <v>0</v>
      </c>
      <c r="AP846" s="3" t="s">
        <v>58</v>
      </c>
      <c r="AQ846" s="3" t="s">
        <v>87</v>
      </c>
      <c r="AR846" s="6" t="str">
        <f>HYPERLINK("http://catalog.hathitrust.org/Record/009807699","HathiTrust Record")</f>
        <v>HathiTrust Record</v>
      </c>
      <c r="AS846" s="6" t="str">
        <f>HYPERLINK("https://creighton-primo.hosted.exlibrisgroup.com/primo-explore/search?tab=default_tab&amp;search_scope=EVERYTHING&amp;vid=01CRU&amp;lang=en_US&amp;offset=0&amp;query=any,contains,991003704279702656","Catalog Record")</f>
        <v>Catalog Record</v>
      </c>
      <c r="AT846" s="6" t="str">
        <f>HYPERLINK("http://www.worldcat.org/oclc/43798508","WorldCat Record")</f>
        <v>WorldCat Record</v>
      </c>
      <c r="AU846" s="3" t="s">
        <v>11120</v>
      </c>
      <c r="AV846" s="3" t="s">
        <v>11121</v>
      </c>
      <c r="AW846" s="3" t="s">
        <v>11122</v>
      </c>
      <c r="AX846" s="3" t="s">
        <v>11122</v>
      </c>
      <c r="AY846" s="3" t="s">
        <v>11123</v>
      </c>
      <c r="AZ846" s="3" t="s">
        <v>74</v>
      </c>
      <c r="BB846" s="3" t="s">
        <v>11124</v>
      </c>
      <c r="BC846" s="3" t="s">
        <v>11125</v>
      </c>
      <c r="BD846" s="3" t="s">
        <v>11126</v>
      </c>
    </row>
    <row r="847" spans="1:56" ht="45.75" customHeight="1" x14ac:dyDescent="0.25">
      <c r="A847" s="7" t="s">
        <v>58</v>
      </c>
      <c r="B847" s="2" t="s">
        <v>11127</v>
      </c>
      <c r="C847" s="2" t="s">
        <v>11128</v>
      </c>
      <c r="D847" s="2" t="s">
        <v>11129</v>
      </c>
      <c r="F847" s="3" t="s">
        <v>58</v>
      </c>
      <c r="G847" s="3" t="s">
        <v>59</v>
      </c>
      <c r="H847" s="3" t="s">
        <v>58</v>
      </c>
      <c r="I847" s="3" t="s">
        <v>58</v>
      </c>
      <c r="J847" s="3" t="s">
        <v>60</v>
      </c>
      <c r="K847" s="2" t="s">
        <v>11130</v>
      </c>
      <c r="L847" s="2" t="s">
        <v>11131</v>
      </c>
      <c r="M847" s="3" t="s">
        <v>63</v>
      </c>
      <c r="N847" s="2" t="s">
        <v>543</v>
      </c>
      <c r="O847" s="3" t="s">
        <v>65</v>
      </c>
      <c r="P847" s="3" t="s">
        <v>3930</v>
      </c>
      <c r="R847" s="3" t="s">
        <v>67</v>
      </c>
      <c r="S847" s="4">
        <v>6</v>
      </c>
      <c r="T847" s="4">
        <v>6</v>
      </c>
      <c r="U847" s="5" t="s">
        <v>4015</v>
      </c>
      <c r="V847" s="5" t="s">
        <v>4015</v>
      </c>
      <c r="W847" s="5" t="s">
        <v>8320</v>
      </c>
      <c r="X847" s="5" t="s">
        <v>8320</v>
      </c>
      <c r="Y847" s="4">
        <v>370</v>
      </c>
      <c r="Z847" s="4">
        <v>323</v>
      </c>
      <c r="AA847" s="4">
        <v>333</v>
      </c>
      <c r="AB847" s="4">
        <v>4</v>
      </c>
      <c r="AC847" s="4">
        <v>4</v>
      </c>
      <c r="AD847" s="4">
        <v>19</v>
      </c>
      <c r="AE847" s="4">
        <v>19</v>
      </c>
      <c r="AF847" s="4">
        <v>5</v>
      </c>
      <c r="AG847" s="4">
        <v>5</v>
      </c>
      <c r="AH847" s="4">
        <v>5</v>
      </c>
      <c r="AI847" s="4">
        <v>5</v>
      </c>
      <c r="AJ847" s="4">
        <v>7</v>
      </c>
      <c r="AK847" s="4">
        <v>7</v>
      </c>
      <c r="AL847" s="4">
        <v>3</v>
      </c>
      <c r="AM847" s="4">
        <v>3</v>
      </c>
      <c r="AN847" s="4">
        <v>3</v>
      </c>
      <c r="AO847" s="4">
        <v>3</v>
      </c>
      <c r="AP847" s="3" t="s">
        <v>58</v>
      </c>
      <c r="AQ847" s="3" t="s">
        <v>87</v>
      </c>
      <c r="AR847" s="6" t="str">
        <f>HYPERLINK("http://catalog.hathitrust.org/Record/004983136","HathiTrust Record")</f>
        <v>HathiTrust Record</v>
      </c>
      <c r="AS847" s="6" t="str">
        <f>HYPERLINK("https://creighton-primo.hosted.exlibrisgroup.com/primo-explore/search?tab=default_tab&amp;search_scope=EVERYTHING&amp;vid=01CRU&amp;lang=en_US&amp;offset=0&amp;query=any,contains,991004657069702656","Catalog Record")</f>
        <v>Catalog Record</v>
      </c>
      <c r="AT847" s="6" t="str">
        <f>HYPERLINK("http://www.worldcat.org/oclc/55801003","WorldCat Record")</f>
        <v>WorldCat Record</v>
      </c>
      <c r="AU847" s="3" t="s">
        <v>11132</v>
      </c>
      <c r="AV847" s="3" t="s">
        <v>11133</v>
      </c>
      <c r="AW847" s="3" t="s">
        <v>11134</v>
      </c>
      <c r="AX847" s="3" t="s">
        <v>11134</v>
      </c>
      <c r="AY847" s="3" t="s">
        <v>11135</v>
      </c>
      <c r="AZ847" s="3" t="s">
        <v>74</v>
      </c>
      <c r="BB847" s="3" t="s">
        <v>11136</v>
      </c>
      <c r="BC847" s="3" t="s">
        <v>11137</v>
      </c>
      <c r="BD847" s="3" t="s">
        <v>11138</v>
      </c>
    </row>
    <row r="848" spans="1:56" ht="45.75" customHeight="1" x14ac:dyDescent="0.25">
      <c r="A848" s="7" t="s">
        <v>58</v>
      </c>
      <c r="B848" s="2" t="s">
        <v>11139</v>
      </c>
      <c r="C848" s="2" t="s">
        <v>11140</v>
      </c>
      <c r="D848" s="2" t="s">
        <v>11141</v>
      </c>
      <c r="F848" s="3" t="s">
        <v>58</v>
      </c>
      <c r="G848" s="3" t="s">
        <v>59</v>
      </c>
      <c r="H848" s="3" t="s">
        <v>58</v>
      </c>
      <c r="I848" s="3" t="s">
        <v>58</v>
      </c>
      <c r="J848" s="3" t="s">
        <v>60</v>
      </c>
      <c r="K848" s="2" t="s">
        <v>11142</v>
      </c>
      <c r="L848" s="2" t="s">
        <v>11143</v>
      </c>
      <c r="M848" s="3" t="s">
        <v>573</v>
      </c>
      <c r="N848" s="2" t="s">
        <v>543</v>
      </c>
      <c r="O848" s="3" t="s">
        <v>65</v>
      </c>
      <c r="P848" s="3" t="s">
        <v>84</v>
      </c>
      <c r="R848" s="3" t="s">
        <v>67</v>
      </c>
      <c r="S848" s="4">
        <v>4</v>
      </c>
      <c r="T848" s="4">
        <v>4</v>
      </c>
      <c r="U848" s="5" t="s">
        <v>11105</v>
      </c>
      <c r="V848" s="5" t="s">
        <v>11105</v>
      </c>
      <c r="W848" s="5" t="s">
        <v>4734</v>
      </c>
      <c r="X848" s="5" t="s">
        <v>4734</v>
      </c>
      <c r="Y848" s="4">
        <v>1563</v>
      </c>
      <c r="Z848" s="4">
        <v>1499</v>
      </c>
      <c r="AA848" s="4">
        <v>1651</v>
      </c>
      <c r="AB848" s="4">
        <v>15</v>
      </c>
      <c r="AC848" s="4">
        <v>17</v>
      </c>
      <c r="AD848" s="4">
        <v>41</v>
      </c>
      <c r="AE848" s="4">
        <v>44</v>
      </c>
      <c r="AF848" s="4">
        <v>11</v>
      </c>
      <c r="AG848" s="4">
        <v>13</v>
      </c>
      <c r="AH848" s="4">
        <v>6</v>
      </c>
      <c r="AI848" s="4">
        <v>6</v>
      </c>
      <c r="AJ848" s="4">
        <v>18</v>
      </c>
      <c r="AK848" s="4">
        <v>19</v>
      </c>
      <c r="AL848" s="4">
        <v>9</v>
      </c>
      <c r="AM848" s="4">
        <v>10</v>
      </c>
      <c r="AN848" s="4">
        <v>4</v>
      </c>
      <c r="AO848" s="4">
        <v>4</v>
      </c>
      <c r="AP848" s="3" t="s">
        <v>58</v>
      </c>
      <c r="AQ848" s="3" t="s">
        <v>87</v>
      </c>
      <c r="AR848" s="6" t="str">
        <f>HYPERLINK("http://catalog.hathitrust.org/Record/004310104","HathiTrust Record")</f>
        <v>HathiTrust Record</v>
      </c>
      <c r="AS848" s="6" t="str">
        <f>HYPERLINK("https://creighton-primo.hosted.exlibrisgroup.com/primo-explore/search?tab=default_tab&amp;search_scope=EVERYTHING&amp;vid=01CRU&amp;lang=en_US&amp;offset=0&amp;query=any,contains,991004003079702656","Catalog Record")</f>
        <v>Catalog Record</v>
      </c>
      <c r="AT848" s="6" t="str">
        <f>HYPERLINK("http://www.worldcat.org/oclc/51450511","WorldCat Record")</f>
        <v>WorldCat Record</v>
      </c>
      <c r="AU848" s="3" t="s">
        <v>11144</v>
      </c>
      <c r="AV848" s="3" t="s">
        <v>11145</v>
      </c>
      <c r="AW848" s="3" t="s">
        <v>11146</v>
      </c>
      <c r="AX848" s="3" t="s">
        <v>11146</v>
      </c>
      <c r="AY848" s="3" t="s">
        <v>11147</v>
      </c>
      <c r="AZ848" s="3" t="s">
        <v>74</v>
      </c>
      <c r="BB848" s="3" t="s">
        <v>11148</v>
      </c>
      <c r="BC848" s="3" t="s">
        <v>11149</v>
      </c>
      <c r="BD848" s="3" t="s">
        <v>11150</v>
      </c>
    </row>
    <row r="849" spans="1:56" ht="45.75" customHeight="1" x14ac:dyDescent="0.25">
      <c r="A849" s="7" t="s">
        <v>58</v>
      </c>
      <c r="B849" s="2" t="s">
        <v>11151</v>
      </c>
      <c r="C849" s="2" t="s">
        <v>11152</v>
      </c>
      <c r="D849" s="2" t="s">
        <v>11153</v>
      </c>
      <c r="F849" s="3" t="s">
        <v>58</v>
      </c>
      <c r="G849" s="3" t="s">
        <v>59</v>
      </c>
      <c r="H849" s="3" t="s">
        <v>58</v>
      </c>
      <c r="I849" s="3" t="s">
        <v>58</v>
      </c>
      <c r="J849" s="3" t="s">
        <v>60</v>
      </c>
      <c r="K849" s="2" t="s">
        <v>11154</v>
      </c>
      <c r="L849" s="2" t="s">
        <v>11155</v>
      </c>
      <c r="M849" s="3" t="s">
        <v>248</v>
      </c>
      <c r="O849" s="3" t="s">
        <v>65</v>
      </c>
      <c r="P849" s="3" t="s">
        <v>84</v>
      </c>
      <c r="R849" s="3" t="s">
        <v>67</v>
      </c>
      <c r="S849" s="4">
        <v>4</v>
      </c>
      <c r="T849" s="4">
        <v>4</v>
      </c>
      <c r="U849" s="5" t="s">
        <v>4015</v>
      </c>
      <c r="V849" s="5" t="s">
        <v>4015</v>
      </c>
      <c r="W849" s="5" t="s">
        <v>8244</v>
      </c>
      <c r="X849" s="5" t="s">
        <v>8244</v>
      </c>
      <c r="Y849" s="4">
        <v>647</v>
      </c>
      <c r="Z849" s="4">
        <v>561</v>
      </c>
      <c r="AA849" s="4">
        <v>833</v>
      </c>
      <c r="AB849" s="4">
        <v>5</v>
      </c>
      <c r="AC849" s="4">
        <v>8</v>
      </c>
      <c r="AD849" s="4">
        <v>28</v>
      </c>
      <c r="AE849" s="4">
        <v>40</v>
      </c>
      <c r="AF849" s="4">
        <v>10</v>
      </c>
      <c r="AG849" s="4">
        <v>14</v>
      </c>
      <c r="AH849" s="4">
        <v>5</v>
      </c>
      <c r="AI849" s="4">
        <v>9</v>
      </c>
      <c r="AJ849" s="4">
        <v>12</v>
      </c>
      <c r="AK849" s="4">
        <v>15</v>
      </c>
      <c r="AL849" s="4">
        <v>4</v>
      </c>
      <c r="AM849" s="4">
        <v>7</v>
      </c>
      <c r="AN849" s="4">
        <v>3</v>
      </c>
      <c r="AO849" s="4">
        <v>3</v>
      </c>
      <c r="AP849" s="3" t="s">
        <v>58</v>
      </c>
      <c r="AQ849" s="3" t="s">
        <v>58</v>
      </c>
      <c r="AS849" s="6" t="str">
        <f>HYPERLINK("https://creighton-primo.hosted.exlibrisgroup.com/primo-explore/search?tab=default_tab&amp;search_scope=EVERYTHING&amp;vid=01CRU&amp;lang=en_US&amp;offset=0&amp;query=any,contains,991005130919702656","Catalog Record")</f>
        <v>Catalog Record</v>
      </c>
      <c r="AT849" s="6" t="str">
        <f>HYPERLINK("http://www.worldcat.org/oclc/71173690","WorldCat Record")</f>
        <v>WorldCat Record</v>
      </c>
      <c r="AU849" s="3" t="s">
        <v>11156</v>
      </c>
      <c r="AV849" s="3" t="s">
        <v>11157</v>
      </c>
      <c r="AW849" s="3" t="s">
        <v>11158</v>
      </c>
      <c r="AX849" s="3" t="s">
        <v>11158</v>
      </c>
      <c r="AY849" s="3" t="s">
        <v>11159</v>
      </c>
      <c r="AZ849" s="3" t="s">
        <v>74</v>
      </c>
      <c r="BB849" s="3" t="s">
        <v>11160</v>
      </c>
      <c r="BC849" s="3" t="s">
        <v>11161</v>
      </c>
      <c r="BD849" s="3" t="s">
        <v>11162</v>
      </c>
    </row>
    <row r="850" spans="1:56" ht="45.75" customHeight="1" x14ac:dyDescent="0.25">
      <c r="A850" s="7" t="s">
        <v>58</v>
      </c>
      <c r="B850" s="2" t="s">
        <v>11163</v>
      </c>
      <c r="C850" s="2" t="s">
        <v>11164</v>
      </c>
      <c r="D850" s="2" t="s">
        <v>11165</v>
      </c>
      <c r="F850" s="3" t="s">
        <v>58</v>
      </c>
      <c r="G850" s="3" t="s">
        <v>59</v>
      </c>
      <c r="H850" s="3" t="s">
        <v>58</v>
      </c>
      <c r="I850" s="3" t="s">
        <v>58</v>
      </c>
      <c r="J850" s="3" t="s">
        <v>60</v>
      </c>
      <c r="K850" s="2" t="s">
        <v>5872</v>
      </c>
      <c r="L850" s="2" t="s">
        <v>11166</v>
      </c>
      <c r="M850" s="3" t="s">
        <v>2324</v>
      </c>
      <c r="O850" s="3" t="s">
        <v>65</v>
      </c>
      <c r="P850" s="3" t="s">
        <v>587</v>
      </c>
      <c r="R850" s="3" t="s">
        <v>67</v>
      </c>
      <c r="S850" s="4">
        <v>16</v>
      </c>
      <c r="T850" s="4">
        <v>16</v>
      </c>
      <c r="U850" s="5" t="s">
        <v>4015</v>
      </c>
      <c r="V850" s="5" t="s">
        <v>4015</v>
      </c>
      <c r="W850" s="5" t="s">
        <v>8824</v>
      </c>
      <c r="X850" s="5" t="s">
        <v>8824</v>
      </c>
      <c r="Y850" s="4">
        <v>967</v>
      </c>
      <c r="Z850" s="4">
        <v>830</v>
      </c>
      <c r="AA850" s="4">
        <v>1478</v>
      </c>
      <c r="AB850" s="4">
        <v>5</v>
      </c>
      <c r="AC850" s="4">
        <v>12</v>
      </c>
      <c r="AD850" s="4">
        <v>43</v>
      </c>
      <c r="AE850" s="4">
        <v>71</v>
      </c>
      <c r="AF850" s="4">
        <v>13</v>
      </c>
      <c r="AG850" s="4">
        <v>24</v>
      </c>
      <c r="AH850" s="4">
        <v>7</v>
      </c>
      <c r="AI850" s="4">
        <v>11</v>
      </c>
      <c r="AJ850" s="4">
        <v>17</v>
      </c>
      <c r="AK850" s="4">
        <v>25</v>
      </c>
      <c r="AL850" s="4">
        <v>3</v>
      </c>
      <c r="AM850" s="4">
        <v>10</v>
      </c>
      <c r="AN850" s="4">
        <v>13</v>
      </c>
      <c r="AO850" s="4">
        <v>14</v>
      </c>
      <c r="AP850" s="3" t="s">
        <v>58</v>
      </c>
      <c r="AQ850" s="3" t="s">
        <v>58</v>
      </c>
      <c r="AS850" s="6" t="str">
        <f>HYPERLINK("https://creighton-primo.hosted.exlibrisgroup.com/primo-explore/search?tab=default_tab&amp;search_scope=EVERYTHING&amp;vid=01CRU&amp;lang=en_US&amp;offset=0&amp;query=any,contains,991000135009702656","Catalog Record")</f>
        <v>Catalog Record</v>
      </c>
      <c r="AT850" s="6" t="str">
        <f>HYPERLINK("http://www.worldcat.org/oclc/9131891","WorldCat Record")</f>
        <v>WorldCat Record</v>
      </c>
      <c r="AU850" s="3" t="s">
        <v>11167</v>
      </c>
      <c r="AV850" s="3" t="s">
        <v>11168</v>
      </c>
      <c r="AW850" s="3" t="s">
        <v>11169</v>
      </c>
      <c r="AX850" s="3" t="s">
        <v>11169</v>
      </c>
      <c r="AY850" s="3" t="s">
        <v>11170</v>
      </c>
      <c r="AZ850" s="3" t="s">
        <v>74</v>
      </c>
      <c r="BB850" s="3" t="s">
        <v>11171</v>
      </c>
      <c r="BC850" s="3" t="s">
        <v>11172</v>
      </c>
      <c r="BD850" s="3" t="s">
        <v>11173</v>
      </c>
    </row>
    <row r="851" spans="1:56" ht="45.75" customHeight="1" x14ac:dyDescent="0.25">
      <c r="A851" s="7" t="s">
        <v>58</v>
      </c>
      <c r="B851" s="2" t="s">
        <v>11174</v>
      </c>
      <c r="C851" s="2" t="s">
        <v>11175</v>
      </c>
      <c r="D851" s="2" t="s">
        <v>11176</v>
      </c>
      <c r="F851" s="3" t="s">
        <v>58</v>
      </c>
      <c r="G851" s="3" t="s">
        <v>59</v>
      </c>
      <c r="H851" s="3" t="s">
        <v>58</v>
      </c>
      <c r="I851" s="3" t="s">
        <v>58</v>
      </c>
      <c r="J851" s="3" t="s">
        <v>60</v>
      </c>
      <c r="K851" s="2" t="s">
        <v>11177</v>
      </c>
      <c r="L851" s="2" t="s">
        <v>11178</v>
      </c>
      <c r="M851" s="3" t="s">
        <v>116</v>
      </c>
      <c r="O851" s="3" t="s">
        <v>65</v>
      </c>
      <c r="P851" s="3" t="s">
        <v>336</v>
      </c>
      <c r="R851" s="3" t="s">
        <v>67</v>
      </c>
      <c r="S851" s="4">
        <v>12</v>
      </c>
      <c r="T851" s="4">
        <v>12</v>
      </c>
      <c r="U851" s="5" t="s">
        <v>11179</v>
      </c>
      <c r="V851" s="5" t="s">
        <v>11179</v>
      </c>
      <c r="W851" s="5" t="s">
        <v>11180</v>
      </c>
      <c r="X851" s="5" t="s">
        <v>11180</v>
      </c>
      <c r="Y851" s="4">
        <v>498</v>
      </c>
      <c r="Z851" s="4">
        <v>341</v>
      </c>
      <c r="AA851" s="4">
        <v>357</v>
      </c>
      <c r="AB851" s="4">
        <v>3</v>
      </c>
      <c r="AC851" s="4">
        <v>3</v>
      </c>
      <c r="AD851" s="4">
        <v>18</v>
      </c>
      <c r="AE851" s="4">
        <v>18</v>
      </c>
      <c r="AF851" s="4">
        <v>5</v>
      </c>
      <c r="AG851" s="4">
        <v>5</v>
      </c>
      <c r="AH851" s="4">
        <v>2</v>
      </c>
      <c r="AI851" s="4">
        <v>2</v>
      </c>
      <c r="AJ851" s="4">
        <v>6</v>
      </c>
      <c r="AK851" s="4">
        <v>6</v>
      </c>
      <c r="AL851" s="4">
        <v>2</v>
      </c>
      <c r="AM851" s="4">
        <v>2</v>
      </c>
      <c r="AN851" s="4">
        <v>8</v>
      </c>
      <c r="AO851" s="4">
        <v>8</v>
      </c>
      <c r="AP851" s="3" t="s">
        <v>58</v>
      </c>
      <c r="AQ851" s="3" t="s">
        <v>58</v>
      </c>
      <c r="AS851" s="6" t="str">
        <f>HYPERLINK("https://creighton-primo.hosted.exlibrisgroup.com/primo-explore/search?tab=default_tab&amp;search_scope=EVERYTHING&amp;vid=01CRU&amp;lang=en_US&amp;offset=0&amp;query=any,contains,991002890959702656","Catalog Record")</f>
        <v>Catalog Record</v>
      </c>
      <c r="AT851" s="6" t="str">
        <f>HYPERLINK("http://www.worldcat.org/oclc/38090875","WorldCat Record")</f>
        <v>WorldCat Record</v>
      </c>
      <c r="AU851" s="3" t="s">
        <v>11181</v>
      </c>
      <c r="AV851" s="3" t="s">
        <v>11182</v>
      </c>
      <c r="AW851" s="3" t="s">
        <v>11183</v>
      </c>
      <c r="AX851" s="3" t="s">
        <v>11183</v>
      </c>
      <c r="AY851" s="3" t="s">
        <v>11184</v>
      </c>
      <c r="AZ851" s="3" t="s">
        <v>74</v>
      </c>
      <c r="BB851" s="3" t="s">
        <v>11185</v>
      </c>
      <c r="BC851" s="3" t="s">
        <v>11186</v>
      </c>
      <c r="BD851" s="3" t="s">
        <v>11187</v>
      </c>
    </row>
    <row r="852" spans="1:56" ht="45.75" customHeight="1" x14ac:dyDescent="0.25">
      <c r="A852" s="7" t="s">
        <v>58</v>
      </c>
      <c r="B852" s="2" t="s">
        <v>11188</v>
      </c>
      <c r="C852" s="2" t="s">
        <v>11189</v>
      </c>
      <c r="D852" s="2" t="s">
        <v>11190</v>
      </c>
      <c r="F852" s="3" t="s">
        <v>58</v>
      </c>
      <c r="G852" s="3" t="s">
        <v>59</v>
      </c>
      <c r="H852" s="3" t="s">
        <v>58</v>
      </c>
      <c r="I852" s="3" t="s">
        <v>58</v>
      </c>
      <c r="J852" s="3" t="s">
        <v>60</v>
      </c>
      <c r="K852" s="2" t="s">
        <v>11191</v>
      </c>
      <c r="L852" s="2" t="s">
        <v>11192</v>
      </c>
      <c r="M852" s="3" t="s">
        <v>307</v>
      </c>
      <c r="N852" s="2" t="s">
        <v>543</v>
      </c>
      <c r="O852" s="3" t="s">
        <v>65</v>
      </c>
      <c r="P852" s="3" t="s">
        <v>132</v>
      </c>
      <c r="Q852" s="2" t="s">
        <v>11193</v>
      </c>
      <c r="R852" s="3" t="s">
        <v>67</v>
      </c>
      <c r="S852" s="4">
        <v>13</v>
      </c>
      <c r="T852" s="4">
        <v>13</v>
      </c>
      <c r="U852" s="5" t="s">
        <v>11194</v>
      </c>
      <c r="V852" s="5" t="s">
        <v>11194</v>
      </c>
      <c r="W852" s="5" t="s">
        <v>11195</v>
      </c>
      <c r="X852" s="5" t="s">
        <v>11195</v>
      </c>
      <c r="Y852" s="4">
        <v>452</v>
      </c>
      <c r="Z852" s="4">
        <v>330</v>
      </c>
      <c r="AA852" s="4">
        <v>852</v>
      </c>
      <c r="AB852" s="4">
        <v>2</v>
      </c>
      <c r="AC852" s="4">
        <v>3</v>
      </c>
      <c r="AD852" s="4">
        <v>15</v>
      </c>
      <c r="AE852" s="4">
        <v>25</v>
      </c>
      <c r="AF852" s="4">
        <v>2</v>
      </c>
      <c r="AG852" s="4">
        <v>8</v>
      </c>
      <c r="AH852" s="4">
        <v>4</v>
      </c>
      <c r="AI852" s="4">
        <v>5</v>
      </c>
      <c r="AJ852" s="4">
        <v>5</v>
      </c>
      <c r="AK852" s="4">
        <v>9</v>
      </c>
      <c r="AL852" s="4">
        <v>1</v>
      </c>
      <c r="AM852" s="4">
        <v>2</v>
      </c>
      <c r="AN852" s="4">
        <v>6</v>
      </c>
      <c r="AO852" s="4">
        <v>6</v>
      </c>
      <c r="AP852" s="3" t="s">
        <v>58</v>
      </c>
      <c r="AQ852" s="3" t="s">
        <v>58</v>
      </c>
      <c r="AS852" s="6" t="str">
        <f>HYPERLINK("https://creighton-primo.hosted.exlibrisgroup.com/primo-explore/search?tab=default_tab&amp;search_scope=EVERYTHING&amp;vid=01CRU&amp;lang=en_US&amp;offset=0&amp;query=any,contains,991002544079702656","Catalog Record")</f>
        <v>Catalog Record</v>
      </c>
      <c r="AT852" s="6" t="str">
        <f>HYPERLINK("http://www.worldcat.org/oclc/33058274","WorldCat Record")</f>
        <v>WorldCat Record</v>
      </c>
      <c r="AU852" s="3" t="s">
        <v>11196</v>
      </c>
      <c r="AV852" s="3" t="s">
        <v>11197</v>
      </c>
      <c r="AW852" s="3" t="s">
        <v>11198</v>
      </c>
      <c r="AX852" s="3" t="s">
        <v>11198</v>
      </c>
      <c r="AY852" s="3" t="s">
        <v>11199</v>
      </c>
      <c r="AZ852" s="3" t="s">
        <v>74</v>
      </c>
      <c r="BB852" s="3" t="s">
        <v>11200</v>
      </c>
      <c r="BC852" s="3" t="s">
        <v>11201</v>
      </c>
      <c r="BD852" s="3" t="s">
        <v>11202</v>
      </c>
    </row>
    <row r="853" spans="1:56" ht="45.75" customHeight="1" x14ac:dyDescent="0.25">
      <c r="A853" s="7" t="s">
        <v>58</v>
      </c>
      <c r="B853" s="2" t="s">
        <v>11203</v>
      </c>
      <c r="C853" s="2" t="s">
        <v>11204</v>
      </c>
      <c r="D853" s="2" t="s">
        <v>11205</v>
      </c>
      <c r="F853" s="3" t="s">
        <v>58</v>
      </c>
      <c r="G853" s="3" t="s">
        <v>59</v>
      </c>
      <c r="H853" s="3" t="s">
        <v>58</v>
      </c>
      <c r="I853" s="3" t="s">
        <v>58</v>
      </c>
      <c r="J853" s="3" t="s">
        <v>60</v>
      </c>
      <c r="L853" s="2" t="s">
        <v>11206</v>
      </c>
      <c r="M853" s="3" t="s">
        <v>116</v>
      </c>
      <c r="O853" s="3" t="s">
        <v>65</v>
      </c>
      <c r="P853" s="3" t="s">
        <v>84</v>
      </c>
      <c r="R853" s="3" t="s">
        <v>67</v>
      </c>
      <c r="S853" s="4">
        <v>7</v>
      </c>
      <c r="T853" s="4">
        <v>7</v>
      </c>
      <c r="U853" s="5" t="s">
        <v>11207</v>
      </c>
      <c r="V853" s="5" t="s">
        <v>11207</v>
      </c>
      <c r="W853" s="5" t="s">
        <v>11208</v>
      </c>
      <c r="X853" s="5" t="s">
        <v>11208</v>
      </c>
      <c r="Y853" s="4">
        <v>334</v>
      </c>
      <c r="Z853" s="4">
        <v>243</v>
      </c>
      <c r="AA853" s="4">
        <v>244</v>
      </c>
      <c r="AB853" s="4">
        <v>1</v>
      </c>
      <c r="AC853" s="4">
        <v>1</v>
      </c>
      <c r="AD853" s="4">
        <v>11</v>
      </c>
      <c r="AE853" s="4">
        <v>11</v>
      </c>
      <c r="AF853" s="4">
        <v>4</v>
      </c>
      <c r="AG853" s="4">
        <v>4</v>
      </c>
      <c r="AH853" s="4">
        <v>3</v>
      </c>
      <c r="AI853" s="4">
        <v>3</v>
      </c>
      <c r="AJ853" s="4">
        <v>6</v>
      </c>
      <c r="AK853" s="4">
        <v>6</v>
      </c>
      <c r="AL853" s="4">
        <v>0</v>
      </c>
      <c r="AM853" s="4">
        <v>0</v>
      </c>
      <c r="AN853" s="4">
        <v>1</v>
      </c>
      <c r="AO853" s="4">
        <v>1</v>
      </c>
      <c r="AP853" s="3" t="s">
        <v>58</v>
      </c>
      <c r="AQ853" s="3" t="s">
        <v>87</v>
      </c>
      <c r="AR853" s="6" t="str">
        <f>HYPERLINK("http://catalog.hathitrust.org/Record/007154340","HathiTrust Record")</f>
        <v>HathiTrust Record</v>
      </c>
      <c r="AS853" s="6" t="str">
        <f>HYPERLINK("https://creighton-primo.hosted.exlibrisgroup.com/primo-explore/search?tab=default_tab&amp;search_scope=EVERYTHING&amp;vid=01CRU&amp;lang=en_US&amp;offset=0&amp;query=any,contains,991002832129702656","Catalog Record")</f>
        <v>Catalog Record</v>
      </c>
      <c r="AT853" s="6" t="str">
        <f>HYPERLINK("http://www.worldcat.org/oclc/37300658","WorldCat Record")</f>
        <v>WorldCat Record</v>
      </c>
      <c r="AU853" s="3" t="s">
        <v>11209</v>
      </c>
      <c r="AV853" s="3" t="s">
        <v>11210</v>
      </c>
      <c r="AW853" s="3" t="s">
        <v>11211</v>
      </c>
      <c r="AX853" s="3" t="s">
        <v>11211</v>
      </c>
      <c r="AY853" s="3" t="s">
        <v>11212</v>
      </c>
      <c r="AZ853" s="3" t="s">
        <v>74</v>
      </c>
      <c r="BB853" s="3" t="s">
        <v>11213</v>
      </c>
      <c r="BC853" s="3" t="s">
        <v>11214</v>
      </c>
      <c r="BD853" s="3" t="s">
        <v>11215</v>
      </c>
    </row>
    <row r="854" spans="1:56" ht="45.75" customHeight="1" x14ac:dyDescent="0.25">
      <c r="A854" s="7" t="s">
        <v>58</v>
      </c>
      <c r="B854" s="2" t="s">
        <v>11216</v>
      </c>
      <c r="C854" s="2" t="s">
        <v>11217</v>
      </c>
      <c r="D854" s="2" t="s">
        <v>11218</v>
      </c>
      <c r="F854" s="3" t="s">
        <v>58</v>
      </c>
      <c r="G854" s="3" t="s">
        <v>59</v>
      </c>
      <c r="H854" s="3" t="s">
        <v>58</v>
      </c>
      <c r="I854" s="3" t="s">
        <v>58</v>
      </c>
      <c r="J854" s="3" t="s">
        <v>60</v>
      </c>
      <c r="K854" s="2" t="s">
        <v>11219</v>
      </c>
      <c r="L854" s="2" t="s">
        <v>11220</v>
      </c>
      <c r="M854" s="3" t="s">
        <v>116</v>
      </c>
      <c r="O854" s="3" t="s">
        <v>65</v>
      </c>
      <c r="P854" s="3" t="s">
        <v>84</v>
      </c>
      <c r="R854" s="3" t="s">
        <v>67</v>
      </c>
      <c r="S854" s="4">
        <v>2</v>
      </c>
      <c r="T854" s="4">
        <v>2</v>
      </c>
      <c r="U854" s="5" t="s">
        <v>11221</v>
      </c>
      <c r="V854" s="5" t="s">
        <v>11221</v>
      </c>
      <c r="W854" s="5" t="s">
        <v>2190</v>
      </c>
      <c r="X854" s="5" t="s">
        <v>2190</v>
      </c>
      <c r="Y854" s="4">
        <v>433</v>
      </c>
      <c r="Z854" s="4">
        <v>332</v>
      </c>
      <c r="AA854" s="4">
        <v>917</v>
      </c>
      <c r="AB854" s="4">
        <v>3</v>
      </c>
      <c r="AC854" s="4">
        <v>7</v>
      </c>
      <c r="AD854" s="4">
        <v>19</v>
      </c>
      <c r="AE854" s="4">
        <v>39</v>
      </c>
      <c r="AF854" s="4">
        <v>3</v>
      </c>
      <c r="AG854" s="4">
        <v>10</v>
      </c>
      <c r="AH854" s="4">
        <v>2</v>
      </c>
      <c r="AI854" s="4">
        <v>5</v>
      </c>
      <c r="AJ854" s="4">
        <v>7</v>
      </c>
      <c r="AK854" s="4">
        <v>13</v>
      </c>
      <c r="AL854" s="4">
        <v>2</v>
      </c>
      <c r="AM854" s="4">
        <v>6</v>
      </c>
      <c r="AN854" s="4">
        <v>8</v>
      </c>
      <c r="AO854" s="4">
        <v>11</v>
      </c>
      <c r="AP854" s="3" t="s">
        <v>58</v>
      </c>
      <c r="AQ854" s="3" t="s">
        <v>58</v>
      </c>
      <c r="AS854" s="6" t="str">
        <f>HYPERLINK("https://creighton-primo.hosted.exlibrisgroup.com/primo-explore/search?tab=default_tab&amp;search_scope=EVERYTHING&amp;vid=01CRU&amp;lang=en_US&amp;offset=0&amp;query=any,contains,991004979669702656","Catalog Record")</f>
        <v>Catalog Record</v>
      </c>
      <c r="AT854" s="6" t="str">
        <f>HYPERLINK("http://www.worldcat.org/oclc/39322950","WorldCat Record")</f>
        <v>WorldCat Record</v>
      </c>
      <c r="AU854" s="3" t="s">
        <v>11222</v>
      </c>
      <c r="AV854" s="3" t="s">
        <v>11223</v>
      </c>
      <c r="AW854" s="3" t="s">
        <v>11224</v>
      </c>
      <c r="AX854" s="3" t="s">
        <v>11224</v>
      </c>
      <c r="AY854" s="3" t="s">
        <v>11225</v>
      </c>
      <c r="AZ854" s="3" t="s">
        <v>74</v>
      </c>
      <c r="BB854" s="3" t="s">
        <v>11226</v>
      </c>
      <c r="BC854" s="3" t="s">
        <v>11227</v>
      </c>
      <c r="BD854" s="3" t="s">
        <v>11228</v>
      </c>
    </row>
    <row r="855" spans="1:56" ht="45.75" customHeight="1" x14ac:dyDescent="0.25">
      <c r="A855" s="7" t="s">
        <v>58</v>
      </c>
      <c r="B855" s="2" t="s">
        <v>11229</v>
      </c>
      <c r="C855" s="2" t="s">
        <v>11230</v>
      </c>
      <c r="D855" s="2" t="s">
        <v>11231</v>
      </c>
      <c r="F855" s="3" t="s">
        <v>58</v>
      </c>
      <c r="G855" s="3" t="s">
        <v>59</v>
      </c>
      <c r="H855" s="3" t="s">
        <v>58</v>
      </c>
      <c r="I855" s="3" t="s">
        <v>58</v>
      </c>
      <c r="J855" s="3" t="s">
        <v>60</v>
      </c>
      <c r="K855" s="2" t="s">
        <v>11232</v>
      </c>
      <c r="L855" s="2" t="s">
        <v>7480</v>
      </c>
      <c r="M855" s="3" t="s">
        <v>147</v>
      </c>
      <c r="O855" s="3" t="s">
        <v>65</v>
      </c>
      <c r="P855" s="3" t="s">
        <v>132</v>
      </c>
      <c r="Q855" s="2" t="s">
        <v>4829</v>
      </c>
      <c r="R855" s="3" t="s">
        <v>67</v>
      </c>
      <c r="S855" s="4">
        <v>3</v>
      </c>
      <c r="T855" s="4">
        <v>3</v>
      </c>
      <c r="U855" s="5" t="s">
        <v>11233</v>
      </c>
      <c r="V855" s="5" t="s">
        <v>11233</v>
      </c>
      <c r="W855" s="5" t="s">
        <v>11234</v>
      </c>
      <c r="X855" s="5" t="s">
        <v>11234</v>
      </c>
      <c r="Y855" s="4">
        <v>888</v>
      </c>
      <c r="Z855" s="4">
        <v>812</v>
      </c>
      <c r="AA855" s="4">
        <v>1180</v>
      </c>
      <c r="AB855" s="4">
        <v>4</v>
      </c>
      <c r="AC855" s="4">
        <v>6</v>
      </c>
      <c r="AD855" s="4">
        <v>28</v>
      </c>
      <c r="AE855" s="4">
        <v>37</v>
      </c>
      <c r="AF855" s="4">
        <v>12</v>
      </c>
      <c r="AG855" s="4">
        <v>19</v>
      </c>
      <c r="AH855" s="4">
        <v>4</v>
      </c>
      <c r="AI855" s="4">
        <v>5</v>
      </c>
      <c r="AJ855" s="4">
        <v>7</v>
      </c>
      <c r="AK855" s="4">
        <v>11</v>
      </c>
      <c r="AL855" s="4">
        <v>2</v>
      </c>
      <c r="AM855" s="4">
        <v>4</v>
      </c>
      <c r="AN855" s="4">
        <v>7</v>
      </c>
      <c r="AO855" s="4">
        <v>7</v>
      </c>
      <c r="AP855" s="3" t="s">
        <v>58</v>
      </c>
      <c r="AQ855" s="3" t="s">
        <v>58</v>
      </c>
      <c r="AS855" s="6" t="str">
        <f>HYPERLINK("https://creighton-primo.hosted.exlibrisgroup.com/primo-explore/search?tab=default_tab&amp;search_scope=EVERYTHING&amp;vid=01CRU&amp;lang=en_US&amp;offset=0&amp;query=any,contains,991004414999702656","Catalog Record")</f>
        <v>Catalog Record</v>
      </c>
      <c r="AT855" s="6" t="str">
        <f>HYPERLINK("http://www.worldcat.org/oclc/55682154","WorldCat Record")</f>
        <v>WorldCat Record</v>
      </c>
      <c r="AU855" s="3" t="s">
        <v>11235</v>
      </c>
      <c r="AV855" s="3" t="s">
        <v>11236</v>
      </c>
      <c r="AW855" s="3" t="s">
        <v>11237</v>
      </c>
      <c r="AX855" s="3" t="s">
        <v>11237</v>
      </c>
      <c r="AY855" s="3" t="s">
        <v>11238</v>
      </c>
      <c r="AZ855" s="3" t="s">
        <v>74</v>
      </c>
      <c r="BB855" s="3" t="s">
        <v>11239</v>
      </c>
      <c r="BC855" s="3" t="s">
        <v>11240</v>
      </c>
      <c r="BD855" s="3" t="s">
        <v>11241</v>
      </c>
    </row>
    <row r="856" spans="1:56" ht="45.75" customHeight="1" x14ac:dyDescent="0.25">
      <c r="A856" s="7" t="s">
        <v>58</v>
      </c>
      <c r="B856" s="2" t="s">
        <v>11242</v>
      </c>
      <c r="C856" s="2" t="s">
        <v>11243</v>
      </c>
      <c r="D856" s="2" t="s">
        <v>11244</v>
      </c>
      <c r="F856" s="3" t="s">
        <v>58</v>
      </c>
      <c r="G856" s="3" t="s">
        <v>59</v>
      </c>
      <c r="H856" s="3" t="s">
        <v>58</v>
      </c>
      <c r="I856" s="3" t="s">
        <v>58</v>
      </c>
      <c r="J856" s="3" t="s">
        <v>60</v>
      </c>
      <c r="K856" s="2" t="s">
        <v>11245</v>
      </c>
      <c r="L856" s="2" t="s">
        <v>11246</v>
      </c>
      <c r="M856" s="3" t="s">
        <v>573</v>
      </c>
      <c r="O856" s="3" t="s">
        <v>65</v>
      </c>
      <c r="P856" s="3" t="s">
        <v>132</v>
      </c>
      <c r="R856" s="3" t="s">
        <v>67</v>
      </c>
      <c r="S856" s="4">
        <v>1</v>
      </c>
      <c r="T856" s="4">
        <v>1</v>
      </c>
      <c r="U856" s="5" t="s">
        <v>4097</v>
      </c>
      <c r="V856" s="5" t="s">
        <v>4097</v>
      </c>
      <c r="W856" s="5" t="s">
        <v>4097</v>
      </c>
      <c r="X856" s="5" t="s">
        <v>4097</v>
      </c>
      <c r="Y856" s="4">
        <v>363</v>
      </c>
      <c r="Z856" s="4">
        <v>328</v>
      </c>
      <c r="AA856" s="4">
        <v>761</v>
      </c>
      <c r="AB856" s="4">
        <v>3</v>
      </c>
      <c r="AC856" s="4">
        <v>7</v>
      </c>
      <c r="AD856" s="4">
        <v>9</v>
      </c>
      <c r="AE856" s="4">
        <v>29</v>
      </c>
      <c r="AF856" s="4">
        <v>5</v>
      </c>
      <c r="AG856" s="4">
        <v>10</v>
      </c>
      <c r="AH856" s="4">
        <v>1</v>
      </c>
      <c r="AI856" s="4">
        <v>7</v>
      </c>
      <c r="AJ856" s="4">
        <v>4</v>
      </c>
      <c r="AK856" s="4">
        <v>10</v>
      </c>
      <c r="AL856" s="4">
        <v>0</v>
      </c>
      <c r="AM856" s="4">
        <v>4</v>
      </c>
      <c r="AN856" s="4">
        <v>0</v>
      </c>
      <c r="AO856" s="4">
        <v>1</v>
      </c>
      <c r="AP856" s="3" t="s">
        <v>58</v>
      </c>
      <c r="AQ856" s="3" t="s">
        <v>58</v>
      </c>
      <c r="AS856" s="6" t="str">
        <f>HYPERLINK("https://creighton-primo.hosted.exlibrisgroup.com/primo-explore/search?tab=default_tab&amp;search_scope=EVERYTHING&amp;vid=01CRU&amp;lang=en_US&amp;offset=0&amp;query=any,contains,991004176839702656","Catalog Record")</f>
        <v>Catalog Record</v>
      </c>
      <c r="AT856" s="6" t="str">
        <f>HYPERLINK("http://www.worldcat.org/oclc/51447107","WorldCat Record")</f>
        <v>WorldCat Record</v>
      </c>
      <c r="AU856" s="3" t="s">
        <v>11247</v>
      </c>
      <c r="AV856" s="3" t="s">
        <v>11248</v>
      </c>
      <c r="AW856" s="3" t="s">
        <v>11249</v>
      </c>
      <c r="AX856" s="3" t="s">
        <v>11249</v>
      </c>
      <c r="AY856" s="3" t="s">
        <v>11250</v>
      </c>
      <c r="AZ856" s="3" t="s">
        <v>74</v>
      </c>
      <c r="BB856" s="3" t="s">
        <v>11251</v>
      </c>
      <c r="BC856" s="3" t="s">
        <v>11252</v>
      </c>
      <c r="BD856" s="3" t="s">
        <v>11253</v>
      </c>
    </row>
    <row r="857" spans="1:56" ht="45.75" customHeight="1" x14ac:dyDescent="0.25">
      <c r="A857" s="7" t="s">
        <v>58</v>
      </c>
      <c r="B857" s="2" t="s">
        <v>11254</v>
      </c>
      <c r="C857" s="2" t="s">
        <v>11255</v>
      </c>
      <c r="D857" s="2" t="s">
        <v>11256</v>
      </c>
      <c r="F857" s="3" t="s">
        <v>58</v>
      </c>
      <c r="G857" s="3" t="s">
        <v>59</v>
      </c>
      <c r="H857" s="3" t="s">
        <v>58</v>
      </c>
      <c r="I857" s="3" t="s">
        <v>58</v>
      </c>
      <c r="J857" s="3" t="s">
        <v>60</v>
      </c>
      <c r="K857" s="2" t="s">
        <v>11257</v>
      </c>
      <c r="L857" s="2" t="s">
        <v>11258</v>
      </c>
      <c r="M857" s="3" t="s">
        <v>1419</v>
      </c>
      <c r="N857" s="2" t="s">
        <v>543</v>
      </c>
      <c r="O857" s="3" t="s">
        <v>65</v>
      </c>
      <c r="P857" s="3" t="s">
        <v>84</v>
      </c>
      <c r="R857" s="3" t="s">
        <v>67</v>
      </c>
      <c r="S857" s="4">
        <v>3</v>
      </c>
      <c r="T857" s="4">
        <v>3</v>
      </c>
      <c r="U857" s="5" t="s">
        <v>11259</v>
      </c>
      <c r="V857" s="5" t="s">
        <v>11259</v>
      </c>
      <c r="W857" s="5" t="s">
        <v>11260</v>
      </c>
      <c r="X857" s="5" t="s">
        <v>11260</v>
      </c>
      <c r="Y857" s="4">
        <v>729</v>
      </c>
      <c r="Z857" s="4">
        <v>655</v>
      </c>
      <c r="AA857" s="4">
        <v>710</v>
      </c>
      <c r="AB857" s="4">
        <v>4</v>
      </c>
      <c r="AC857" s="4">
        <v>6</v>
      </c>
      <c r="AD857" s="4">
        <v>24</v>
      </c>
      <c r="AE857" s="4">
        <v>30</v>
      </c>
      <c r="AF857" s="4">
        <v>6</v>
      </c>
      <c r="AG857" s="4">
        <v>9</v>
      </c>
      <c r="AH857" s="4">
        <v>5</v>
      </c>
      <c r="AI857" s="4">
        <v>5</v>
      </c>
      <c r="AJ857" s="4">
        <v>9</v>
      </c>
      <c r="AK857" s="4">
        <v>12</v>
      </c>
      <c r="AL857" s="4">
        <v>2</v>
      </c>
      <c r="AM857" s="4">
        <v>4</v>
      </c>
      <c r="AN857" s="4">
        <v>5</v>
      </c>
      <c r="AO857" s="4">
        <v>5</v>
      </c>
      <c r="AP857" s="3" t="s">
        <v>58</v>
      </c>
      <c r="AQ857" s="3" t="s">
        <v>87</v>
      </c>
      <c r="AR857" s="6" t="str">
        <f>HYPERLINK("http://catalog.hathitrust.org/Record/000087445","HathiTrust Record")</f>
        <v>HathiTrust Record</v>
      </c>
      <c r="AS857" s="6" t="str">
        <f>HYPERLINK("https://creighton-primo.hosted.exlibrisgroup.com/primo-explore/search?tab=default_tab&amp;search_scope=EVERYTHING&amp;vid=01CRU&amp;lang=en_US&amp;offset=0&amp;query=any,contains,991004445589702656","Catalog Record")</f>
        <v>Catalog Record</v>
      </c>
      <c r="AT857" s="6" t="str">
        <f>HYPERLINK("http://www.worldcat.org/oclc/3481380","WorldCat Record")</f>
        <v>WorldCat Record</v>
      </c>
      <c r="AU857" s="3" t="s">
        <v>11261</v>
      </c>
      <c r="AV857" s="3" t="s">
        <v>11262</v>
      </c>
      <c r="AW857" s="3" t="s">
        <v>11263</v>
      </c>
      <c r="AX857" s="3" t="s">
        <v>11263</v>
      </c>
      <c r="AY857" s="3" t="s">
        <v>11264</v>
      </c>
      <c r="AZ857" s="3" t="s">
        <v>74</v>
      </c>
      <c r="BB857" s="3" t="s">
        <v>11265</v>
      </c>
      <c r="BC857" s="3" t="s">
        <v>11266</v>
      </c>
      <c r="BD857" s="3" t="s">
        <v>11267</v>
      </c>
    </row>
    <row r="858" spans="1:56" ht="45.75" customHeight="1" x14ac:dyDescent="0.25">
      <c r="A858" s="7" t="s">
        <v>58</v>
      </c>
      <c r="B858" s="2" t="s">
        <v>11268</v>
      </c>
      <c r="C858" s="2" t="s">
        <v>11269</v>
      </c>
      <c r="D858" s="2" t="s">
        <v>11270</v>
      </c>
      <c r="F858" s="3" t="s">
        <v>58</v>
      </c>
      <c r="G858" s="3" t="s">
        <v>59</v>
      </c>
      <c r="H858" s="3" t="s">
        <v>58</v>
      </c>
      <c r="I858" s="3" t="s">
        <v>58</v>
      </c>
      <c r="J858" s="3" t="s">
        <v>60</v>
      </c>
      <c r="K858" s="2" t="s">
        <v>11271</v>
      </c>
      <c r="L858" s="2" t="s">
        <v>11272</v>
      </c>
      <c r="M858" s="3" t="s">
        <v>63</v>
      </c>
      <c r="N858" s="2" t="s">
        <v>64</v>
      </c>
      <c r="O858" s="3" t="s">
        <v>65</v>
      </c>
      <c r="P858" s="3" t="s">
        <v>132</v>
      </c>
      <c r="Q858" s="2" t="s">
        <v>4829</v>
      </c>
      <c r="R858" s="3" t="s">
        <v>67</v>
      </c>
      <c r="S858" s="4">
        <v>3</v>
      </c>
      <c r="T858" s="4">
        <v>3</v>
      </c>
      <c r="U858" s="5" t="s">
        <v>11273</v>
      </c>
      <c r="V858" s="5" t="s">
        <v>11273</v>
      </c>
      <c r="W858" s="5" t="s">
        <v>11274</v>
      </c>
      <c r="X858" s="5" t="s">
        <v>11274</v>
      </c>
      <c r="Y858" s="4">
        <v>842</v>
      </c>
      <c r="Z858" s="4">
        <v>786</v>
      </c>
      <c r="AA858" s="4">
        <v>2638</v>
      </c>
      <c r="AB858" s="4">
        <v>6</v>
      </c>
      <c r="AC858" s="4">
        <v>17</v>
      </c>
      <c r="AD858" s="4">
        <v>18</v>
      </c>
      <c r="AE858" s="4">
        <v>62</v>
      </c>
      <c r="AF858" s="4">
        <v>9</v>
      </c>
      <c r="AG858" s="4">
        <v>22</v>
      </c>
      <c r="AH858" s="4">
        <v>2</v>
      </c>
      <c r="AI858" s="4">
        <v>9</v>
      </c>
      <c r="AJ858" s="4">
        <v>7</v>
      </c>
      <c r="AK858" s="4">
        <v>22</v>
      </c>
      <c r="AL858" s="4">
        <v>2</v>
      </c>
      <c r="AM858" s="4">
        <v>10</v>
      </c>
      <c r="AN858" s="4">
        <v>1</v>
      </c>
      <c r="AO858" s="4">
        <v>10</v>
      </c>
      <c r="AP858" s="3" t="s">
        <v>58</v>
      </c>
      <c r="AQ858" s="3" t="s">
        <v>87</v>
      </c>
      <c r="AR858" s="6" t="str">
        <f>HYPERLINK("http://catalog.hathitrust.org/Record/005123259","HathiTrust Record")</f>
        <v>HathiTrust Record</v>
      </c>
      <c r="AS858" s="6" t="str">
        <f>HYPERLINK("https://creighton-primo.hosted.exlibrisgroup.com/primo-explore/search?tab=default_tab&amp;search_scope=EVERYTHING&amp;vid=01CRU&amp;lang=en_US&amp;offset=0&amp;query=any,contains,991004548459702656","Catalog Record")</f>
        <v>Catalog Record</v>
      </c>
      <c r="AT858" s="6" t="str">
        <f>HYPERLINK("http://www.worldcat.org/oclc/58526782","WorldCat Record")</f>
        <v>WorldCat Record</v>
      </c>
      <c r="AU858" s="3" t="s">
        <v>11275</v>
      </c>
      <c r="AV858" s="3" t="s">
        <v>11276</v>
      </c>
      <c r="AW858" s="3" t="s">
        <v>11277</v>
      </c>
      <c r="AX858" s="3" t="s">
        <v>11277</v>
      </c>
      <c r="AY858" s="3" t="s">
        <v>11278</v>
      </c>
      <c r="AZ858" s="3" t="s">
        <v>74</v>
      </c>
      <c r="BB858" s="3" t="s">
        <v>11279</v>
      </c>
      <c r="BC858" s="3" t="s">
        <v>11280</v>
      </c>
      <c r="BD858" s="3" t="s">
        <v>11281</v>
      </c>
    </row>
    <row r="859" spans="1:56" ht="45.75" customHeight="1" x14ac:dyDescent="0.25">
      <c r="A859" s="7" t="s">
        <v>58</v>
      </c>
      <c r="B859" s="2" t="s">
        <v>11282</v>
      </c>
      <c r="C859" s="2" t="s">
        <v>11283</v>
      </c>
      <c r="D859" s="2" t="s">
        <v>11284</v>
      </c>
      <c r="F859" s="3" t="s">
        <v>58</v>
      </c>
      <c r="G859" s="3" t="s">
        <v>59</v>
      </c>
      <c r="H859" s="3" t="s">
        <v>58</v>
      </c>
      <c r="I859" s="3" t="s">
        <v>58</v>
      </c>
      <c r="J859" s="3" t="s">
        <v>60</v>
      </c>
      <c r="L859" s="2" t="s">
        <v>11285</v>
      </c>
      <c r="M859" s="3" t="s">
        <v>147</v>
      </c>
      <c r="O859" s="3" t="s">
        <v>65</v>
      </c>
      <c r="P859" s="3" t="s">
        <v>132</v>
      </c>
      <c r="R859" s="3" t="s">
        <v>67</v>
      </c>
      <c r="S859" s="4">
        <v>2</v>
      </c>
      <c r="T859" s="4">
        <v>2</v>
      </c>
      <c r="U859" s="5" t="s">
        <v>11273</v>
      </c>
      <c r="V859" s="5" t="s">
        <v>11273</v>
      </c>
      <c r="W859" s="5" t="s">
        <v>2894</v>
      </c>
      <c r="X859" s="5" t="s">
        <v>2894</v>
      </c>
      <c r="Y859" s="4">
        <v>313</v>
      </c>
      <c r="Z859" s="4">
        <v>252</v>
      </c>
      <c r="AA859" s="4">
        <v>256</v>
      </c>
      <c r="AB859" s="4">
        <v>3</v>
      </c>
      <c r="AC859" s="4">
        <v>3</v>
      </c>
      <c r="AD859" s="4">
        <v>13</v>
      </c>
      <c r="AE859" s="4">
        <v>13</v>
      </c>
      <c r="AF859" s="4">
        <v>5</v>
      </c>
      <c r="AG859" s="4">
        <v>5</v>
      </c>
      <c r="AH859" s="4">
        <v>2</v>
      </c>
      <c r="AI859" s="4">
        <v>2</v>
      </c>
      <c r="AJ859" s="4">
        <v>5</v>
      </c>
      <c r="AK859" s="4">
        <v>5</v>
      </c>
      <c r="AL859" s="4">
        <v>2</v>
      </c>
      <c r="AM859" s="4">
        <v>2</v>
      </c>
      <c r="AN859" s="4">
        <v>2</v>
      </c>
      <c r="AO859" s="4">
        <v>2</v>
      </c>
      <c r="AP859" s="3" t="s">
        <v>58</v>
      </c>
      <c r="AQ859" s="3" t="s">
        <v>87</v>
      </c>
      <c r="AR859" s="6" t="str">
        <f>HYPERLINK("http://catalog.hathitrust.org/Record/004349845","HathiTrust Record")</f>
        <v>HathiTrust Record</v>
      </c>
      <c r="AS859" s="6" t="str">
        <f>HYPERLINK("https://creighton-primo.hosted.exlibrisgroup.com/primo-explore/search?tab=default_tab&amp;search_scope=EVERYTHING&amp;vid=01CRU&amp;lang=en_US&amp;offset=0&amp;query=any,contains,991004364299702656","Catalog Record")</f>
        <v>Catalog Record</v>
      </c>
      <c r="AT859" s="6" t="str">
        <f>HYPERLINK("http://www.worldcat.org/oclc/52430910","WorldCat Record")</f>
        <v>WorldCat Record</v>
      </c>
      <c r="AU859" s="3" t="s">
        <v>11286</v>
      </c>
      <c r="AV859" s="3" t="s">
        <v>11287</v>
      </c>
      <c r="AW859" s="3" t="s">
        <v>11288</v>
      </c>
      <c r="AX859" s="3" t="s">
        <v>11288</v>
      </c>
      <c r="AY859" s="3" t="s">
        <v>11289</v>
      </c>
      <c r="AZ859" s="3" t="s">
        <v>74</v>
      </c>
      <c r="BB859" s="3" t="s">
        <v>11290</v>
      </c>
      <c r="BC859" s="3" t="s">
        <v>11291</v>
      </c>
      <c r="BD859" s="3" t="s">
        <v>11292</v>
      </c>
    </row>
    <row r="860" spans="1:56" ht="45.75" customHeight="1" x14ac:dyDescent="0.25">
      <c r="A860" s="7" t="s">
        <v>58</v>
      </c>
      <c r="B860" s="2" t="s">
        <v>11293</v>
      </c>
      <c r="C860" s="2" t="s">
        <v>11294</v>
      </c>
      <c r="D860" s="2" t="s">
        <v>11295</v>
      </c>
      <c r="F860" s="3" t="s">
        <v>58</v>
      </c>
      <c r="G860" s="3" t="s">
        <v>59</v>
      </c>
      <c r="H860" s="3" t="s">
        <v>58</v>
      </c>
      <c r="I860" s="3" t="s">
        <v>58</v>
      </c>
      <c r="J860" s="3" t="s">
        <v>60</v>
      </c>
      <c r="L860" s="2" t="s">
        <v>11296</v>
      </c>
      <c r="M860" s="3" t="s">
        <v>248</v>
      </c>
      <c r="O860" s="3" t="s">
        <v>65</v>
      </c>
      <c r="P860" s="3" t="s">
        <v>8794</v>
      </c>
      <c r="Q860" s="2" t="s">
        <v>11297</v>
      </c>
      <c r="R860" s="3" t="s">
        <v>67</v>
      </c>
      <c r="S860" s="4">
        <v>1</v>
      </c>
      <c r="T860" s="4">
        <v>1</v>
      </c>
      <c r="U860" s="5" t="s">
        <v>11298</v>
      </c>
      <c r="V860" s="5" t="s">
        <v>11298</v>
      </c>
      <c r="W860" s="5" t="s">
        <v>11298</v>
      </c>
      <c r="X860" s="5" t="s">
        <v>11298</v>
      </c>
      <c r="Y860" s="4">
        <v>354</v>
      </c>
      <c r="Z860" s="4">
        <v>332</v>
      </c>
      <c r="AA860" s="4">
        <v>333</v>
      </c>
      <c r="AB860" s="4">
        <v>3</v>
      </c>
      <c r="AC860" s="4">
        <v>3</v>
      </c>
      <c r="AD860" s="4">
        <v>2</v>
      </c>
      <c r="AE860" s="4">
        <v>2</v>
      </c>
      <c r="AF860" s="4">
        <v>2</v>
      </c>
      <c r="AG860" s="4">
        <v>2</v>
      </c>
      <c r="AH860" s="4">
        <v>1</v>
      </c>
      <c r="AI860" s="4">
        <v>1</v>
      </c>
      <c r="AJ860" s="4">
        <v>0</v>
      </c>
      <c r="AK860" s="4">
        <v>0</v>
      </c>
      <c r="AL860" s="4">
        <v>0</v>
      </c>
      <c r="AM860" s="4">
        <v>0</v>
      </c>
      <c r="AN860" s="4">
        <v>0</v>
      </c>
      <c r="AO860" s="4">
        <v>0</v>
      </c>
      <c r="AP860" s="3" t="s">
        <v>58</v>
      </c>
      <c r="AQ860" s="3" t="s">
        <v>87</v>
      </c>
      <c r="AR860" s="6" t="str">
        <f>HYPERLINK("http://catalog.hathitrust.org/Record/007059106","HathiTrust Record")</f>
        <v>HathiTrust Record</v>
      </c>
      <c r="AS860" s="6" t="str">
        <f>HYPERLINK("https://creighton-primo.hosted.exlibrisgroup.com/primo-explore/search?tab=default_tab&amp;search_scope=EVERYTHING&amp;vid=01CRU&amp;lang=en_US&amp;offset=0&amp;query=any,contains,991005166739702656","Catalog Record")</f>
        <v>Catalog Record</v>
      </c>
      <c r="AT860" s="6" t="str">
        <f>HYPERLINK("http://www.worldcat.org/oclc/71275453","WorldCat Record")</f>
        <v>WorldCat Record</v>
      </c>
      <c r="AU860" s="3" t="s">
        <v>11299</v>
      </c>
      <c r="AV860" s="3" t="s">
        <v>11300</v>
      </c>
      <c r="AW860" s="3" t="s">
        <v>11301</v>
      </c>
      <c r="AX860" s="3" t="s">
        <v>11301</v>
      </c>
      <c r="AY860" s="3" t="s">
        <v>11302</v>
      </c>
      <c r="AZ860" s="3" t="s">
        <v>74</v>
      </c>
      <c r="BB860" s="3" t="s">
        <v>11303</v>
      </c>
      <c r="BC860" s="3" t="s">
        <v>11304</v>
      </c>
      <c r="BD860" s="3" t="s">
        <v>11305</v>
      </c>
    </row>
    <row r="861" spans="1:56" ht="45.75" customHeight="1" x14ac:dyDescent="0.25">
      <c r="A861" s="7" t="s">
        <v>58</v>
      </c>
      <c r="B861" s="2" t="s">
        <v>11306</v>
      </c>
      <c r="C861" s="2" t="s">
        <v>11307</v>
      </c>
      <c r="D861" s="2" t="s">
        <v>11308</v>
      </c>
      <c r="F861" s="3" t="s">
        <v>58</v>
      </c>
      <c r="G861" s="3" t="s">
        <v>59</v>
      </c>
      <c r="H861" s="3" t="s">
        <v>58</v>
      </c>
      <c r="I861" s="3" t="s">
        <v>58</v>
      </c>
      <c r="J861" s="3" t="s">
        <v>60</v>
      </c>
      <c r="K861" s="2" t="s">
        <v>11309</v>
      </c>
      <c r="L861" s="2" t="s">
        <v>11310</v>
      </c>
      <c r="M861" s="3" t="s">
        <v>4710</v>
      </c>
      <c r="O861" s="3" t="s">
        <v>65</v>
      </c>
      <c r="P861" s="3" t="s">
        <v>8794</v>
      </c>
      <c r="R861" s="3" t="s">
        <v>67</v>
      </c>
      <c r="S861" s="4">
        <v>4</v>
      </c>
      <c r="T861" s="4">
        <v>4</v>
      </c>
      <c r="U861" s="5" t="s">
        <v>11311</v>
      </c>
      <c r="V861" s="5" t="s">
        <v>11311</v>
      </c>
      <c r="W861" s="5" t="s">
        <v>11312</v>
      </c>
      <c r="X861" s="5" t="s">
        <v>11312</v>
      </c>
      <c r="Y861" s="4">
        <v>935</v>
      </c>
      <c r="Z861" s="4">
        <v>828</v>
      </c>
      <c r="AA861" s="4">
        <v>914</v>
      </c>
      <c r="AB861" s="4">
        <v>7</v>
      </c>
      <c r="AC861" s="4">
        <v>8</v>
      </c>
      <c r="AD861" s="4">
        <v>32</v>
      </c>
      <c r="AE861" s="4">
        <v>35</v>
      </c>
      <c r="AF861" s="4">
        <v>12</v>
      </c>
      <c r="AG861" s="4">
        <v>12</v>
      </c>
      <c r="AH861" s="4">
        <v>6</v>
      </c>
      <c r="AI861" s="4">
        <v>7</v>
      </c>
      <c r="AJ861" s="4">
        <v>11</v>
      </c>
      <c r="AK861" s="4">
        <v>13</v>
      </c>
      <c r="AL861" s="4">
        <v>5</v>
      </c>
      <c r="AM861" s="4">
        <v>6</v>
      </c>
      <c r="AN861" s="4">
        <v>3</v>
      </c>
      <c r="AO861" s="4">
        <v>3</v>
      </c>
      <c r="AP861" s="3" t="s">
        <v>58</v>
      </c>
      <c r="AQ861" s="3" t="s">
        <v>58</v>
      </c>
      <c r="AR861" s="6" t="str">
        <f>HYPERLINK("http://catalog.hathitrust.org/Record/001120390","HathiTrust Record")</f>
        <v>HathiTrust Record</v>
      </c>
      <c r="AS861" s="6" t="str">
        <f>HYPERLINK("https://creighton-primo.hosted.exlibrisgroup.com/primo-explore/search?tab=default_tab&amp;search_scope=EVERYTHING&amp;vid=01CRU&amp;lang=en_US&amp;offset=0&amp;query=any,contains,991002082999702656","Catalog Record")</f>
        <v>Catalog Record</v>
      </c>
      <c r="AT861" s="6" t="str">
        <f>HYPERLINK("http://www.worldcat.org/oclc/265012","WorldCat Record")</f>
        <v>WorldCat Record</v>
      </c>
      <c r="AU861" s="3" t="s">
        <v>11313</v>
      </c>
      <c r="AV861" s="3" t="s">
        <v>11314</v>
      </c>
      <c r="AW861" s="3" t="s">
        <v>11315</v>
      </c>
      <c r="AX861" s="3" t="s">
        <v>11315</v>
      </c>
      <c r="AY861" s="3" t="s">
        <v>11316</v>
      </c>
      <c r="AZ861" s="3" t="s">
        <v>74</v>
      </c>
      <c r="BC861" s="3" t="s">
        <v>11317</v>
      </c>
      <c r="BD861" s="3" t="s">
        <v>11318</v>
      </c>
    </row>
    <row r="862" spans="1:56" ht="45.75" customHeight="1" x14ac:dyDescent="0.25">
      <c r="A862" s="7" t="s">
        <v>58</v>
      </c>
      <c r="B862" s="2" t="s">
        <v>11319</v>
      </c>
      <c r="C862" s="2" t="s">
        <v>11320</v>
      </c>
      <c r="D862" s="2" t="s">
        <v>11321</v>
      </c>
      <c r="F862" s="3" t="s">
        <v>58</v>
      </c>
      <c r="G862" s="3" t="s">
        <v>59</v>
      </c>
      <c r="H862" s="3" t="s">
        <v>87</v>
      </c>
      <c r="I862" s="3" t="s">
        <v>58</v>
      </c>
      <c r="J862" s="3" t="s">
        <v>60</v>
      </c>
      <c r="K862" s="2" t="s">
        <v>11322</v>
      </c>
      <c r="L862" s="2" t="s">
        <v>11323</v>
      </c>
      <c r="M862" s="3" t="s">
        <v>2506</v>
      </c>
      <c r="O862" s="3" t="s">
        <v>65</v>
      </c>
      <c r="P862" s="3" t="s">
        <v>84</v>
      </c>
      <c r="R862" s="3" t="s">
        <v>67</v>
      </c>
      <c r="S862" s="4">
        <v>5</v>
      </c>
      <c r="T862" s="4">
        <v>5</v>
      </c>
      <c r="U862" s="5" t="s">
        <v>2204</v>
      </c>
      <c r="V862" s="5" t="s">
        <v>2204</v>
      </c>
      <c r="W862" s="5" t="s">
        <v>9575</v>
      </c>
      <c r="X862" s="5" t="s">
        <v>6038</v>
      </c>
      <c r="Y862" s="4">
        <v>1644</v>
      </c>
      <c r="Z862" s="4">
        <v>1532</v>
      </c>
      <c r="AA862" s="4">
        <v>1633</v>
      </c>
      <c r="AB862" s="4">
        <v>14</v>
      </c>
      <c r="AC862" s="4">
        <v>15</v>
      </c>
      <c r="AD862" s="4">
        <v>68</v>
      </c>
      <c r="AE862" s="4">
        <v>73</v>
      </c>
      <c r="AF862" s="4">
        <v>23</v>
      </c>
      <c r="AG862" s="4">
        <v>24</v>
      </c>
      <c r="AH862" s="4">
        <v>9</v>
      </c>
      <c r="AI862" s="4">
        <v>9</v>
      </c>
      <c r="AJ862" s="4">
        <v>22</v>
      </c>
      <c r="AK862" s="4">
        <v>22</v>
      </c>
      <c r="AL862" s="4">
        <v>7</v>
      </c>
      <c r="AM862" s="4">
        <v>8</v>
      </c>
      <c r="AN862" s="4">
        <v>19</v>
      </c>
      <c r="AO862" s="4">
        <v>22</v>
      </c>
      <c r="AP862" s="3" t="s">
        <v>58</v>
      </c>
      <c r="AQ862" s="3" t="s">
        <v>87</v>
      </c>
      <c r="AR862" s="6" t="str">
        <f>HYPERLINK("http://catalog.hathitrust.org/Record/001134598","HathiTrust Record")</f>
        <v>HathiTrust Record</v>
      </c>
      <c r="AS862" s="6" t="str">
        <f>HYPERLINK("https://creighton-primo.hosted.exlibrisgroup.com/primo-explore/search?tab=default_tab&amp;search_scope=EVERYTHING&amp;vid=01CRU&amp;lang=en_US&amp;offset=0&amp;query=any,contains,991001706229702656","Catalog Record")</f>
        <v>Catalog Record</v>
      </c>
      <c r="AT862" s="6" t="str">
        <f>HYPERLINK("http://www.worldcat.org/oclc/102206","WorldCat Record")</f>
        <v>WorldCat Record</v>
      </c>
      <c r="AU862" s="3" t="s">
        <v>11324</v>
      </c>
      <c r="AV862" s="3" t="s">
        <v>11325</v>
      </c>
      <c r="AW862" s="3" t="s">
        <v>11326</v>
      </c>
      <c r="AX862" s="3" t="s">
        <v>11326</v>
      </c>
      <c r="AY862" s="3" t="s">
        <v>11327</v>
      </c>
      <c r="AZ862" s="3" t="s">
        <v>74</v>
      </c>
      <c r="BB862" s="3" t="s">
        <v>11328</v>
      </c>
      <c r="BC862" s="3" t="s">
        <v>11329</v>
      </c>
      <c r="BD862" s="3" t="s">
        <v>11330</v>
      </c>
    </row>
    <row r="863" spans="1:56" ht="45.75" customHeight="1" x14ac:dyDescent="0.25">
      <c r="A863" s="7" t="s">
        <v>58</v>
      </c>
      <c r="B863" s="2" t="s">
        <v>11331</v>
      </c>
      <c r="C863" s="2" t="s">
        <v>11332</v>
      </c>
      <c r="D863" s="2" t="s">
        <v>11333</v>
      </c>
      <c r="F863" s="3" t="s">
        <v>58</v>
      </c>
      <c r="G863" s="3" t="s">
        <v>59</v>
      </c>
      <c r="H863" s="3" t="s">
        <v>58</v>
      </c>
      <c r="I863" s="3" t="s">
        <v>58</v>
      </c>
      <c r="J863" s="3" t="s">
        <v>60</v>
      </c>
      <c r="K863" s="2" t="s">
        <v>11334</v>
      </c>
      <c r="L863" s="2" t="s">
        <v>11335</v>
      </c>
      <c r="M863" s="3" t="s">
        <v>2506</v>
      </c>
      <c r="O863" s="3" t="s">
        <v>65</v>
      </c>
      <c r="P863" s="3" t="s">
        <v>190</v>
      </c>
      <c r="R863" s="3" t="s">
        <v>67</v>
      </c>
      <c r="S863" s="4">
        <v>4</v>
      </c>
      <c r="T863" s="4">
        <v>4</v>
      </c>
      <c r="U863" s="5" t="s">
        <v>10132</v>
      </c>
      <c r="V863" s="5" t="s">
        <v>10132</v>
      </c>
      <c r="W863" s="5" t="s">
        <v>11336</v>
      </c>
      <c r="X863" s="5" t="s">
        <v>11336</v>
      </c>
      <c r="Y863" s="4">
        <v>337</v>
      </c>
      <c r="Z863" s="4">
        <v>289</v>
      </c>
      <c r="AA863" s="4">
        <v>455</v>
      </c>
      <c r="AB863" s="4">
        <v>4</v>
      </c>
      <c r="AC863" s="4">
        <v>5</v>
      </c>
      <c r="AD863" s="4">
        <v>20</v>
      </c>
      <c r="AE863" s="4">
        <v>25</v>
      </c>
      <c r="AF863" s="4">
        <v>5</v>
      </c>
      <c r="AG863" s="4">
        <v>6</v>
      </c>
      <c r="AH863" s="4">
        <v>6</v>
      </c>
      <c r="AI863" s="4">
        <v>6</v>
      </c>
      <c r="AJ863" s="4">
        <v>5</v>
      </c>
      <c r="AK863" s="4">
        <v>6</v>
      </c>
      <c r="AL863" s="4">
        <v>2</v>
      </c>
      <c r="AM863" s="4">
        <v>3</v>
      </c>
      <c r="AN863" s="4">
        <v>5</v>
      </c>
      <c r="AO863" s="4">
        <v>7</v>
      </c>
      <c r="AP863" s="3" t="s">
        <v>58</v>
      </c>
      <c r="AQ863" s="3" t="s">
        <v>58</v>
      </c>
      <c r="AS863" s="6" t="str">
        <f>HYPERLINK("https://creighton-primo.hosted.exlibrisgroup.com/primo-explore/search?tab=default_tab&amp;search_scope=EVERYTHING&amp;vid=01CRU&amp;lang=en_US&amp;offset=0&amp;query=any,contains,991000640939702656","Catalog Record")</f>
        <v>Catalog Record</v>
      </c>
      <c r="AT863" s="6" t="str">
        <f>HYPERLINK("http://www.worldcat.org/oclc/109679","WorldCat Record")</f>
        <v>WorldCat Record</v>
      </c>
      <c r="AU863" s="3" t="s">
        <v>11337</v>
      </c>
      <c r="AV863" s="3" t="s">
        <v>11338</v>
      </c>
      <c r="AW863" s="3" t="s">
        <v>11339</v>
      </c>
      <c r="AX863" s="3" t="s">
        <v>11339</v>
      </c>
      <c r="AY863" s="3" t="s">
        <v>11340</v>
      </c>
      <c r="AZ863" s="3" t="s">
        <v>74</v>
      </c>
      <c r="BC863" s="3" t="s">
        <v>11341</v>
      </c>
      <c r="BD863" s="3" t="s">
        <v>11342</v>
      </c>
    </row>
    <row r="864" spans="1:56" ht="45.75" customHeight="1" x14ac:dyDescent="0.25">
      <c r="A864" s="7" t="s">
        <v>58</v>
      </c>
      <c r="B864" s="2" t="s">
        <v>11343</v>
      </c>
      <c r="C864" s="2" t="s">
        <v>11344</v>
      </c>
      <c r="D864" s="2" t="s">
        <v>11345</v>
      </c>
      <c r="F864" s="3" t="s">
        <v>58</v>
      </c>
      <c r="G864" s="3" t="s">
        <v>59</v>
      </c>
      <c r="H864" s="3" t="s">
        <v>58</v>
      </c>
      <c r="I864" s="3" t="s">
        <v>58</v>
      </c>
      <c r="J864" s="3" t="s">
        <v>60</v>
      </c>
      <c r="L864" s="2" t="s">
        <v>11346</v>
      </c>
      <c r="M864" s="3" t="s">
        <v>923</v>
      </c>
      <c r="O864" s="3" t="s">
        <v>65</v>
      </c>
      <c r="P864" s="3" t="s">
        <v>132</v>
      </c>
      <c r="R864" s="3" t="s">
        <v>67</v>
      </c>
      <c r="S864" s="4">
        <v>10</v>
      </c>
      <c r="T864" s="4">
        <v>10</v>
      </c>
      <c r="U864" s="5" t="s">
        <v>11347</v>
      </c>
      <c r="V864" s="5" t="s">
        <v>11347</v>
      </c>
      <c r="W864" s="5" t="s">
        <v>11348</v>
      </c>
      <c r="X864" s="5" t="s">
        <v>11348</v>
      </c>
      <c r="Y864" s="4">
        <v>534</v>
      </c>
      <c r="Z864" s="4">
        <v>425</v>
      </c>
      <c r="AA864" s="4">
        <v>432</v>
      </c>
      <c r="AB864" s="4">
        <v>5</v>
      </c>
      <c r="AC864" s="4">
        <v>5</v>
      </c>
      <c r="AD864" s="4">
        <v>25</v>
      </c>
      <c r="AE864" s="4">
        <v>25</v>
      </c>
      <c r="AF864" s="4">
        <v>9</v>
      </c>
      <c r="AG864" s="4">
        <v>9</v>
      </c>
      <c r="AH864" s="4">
        <v>5</v>
      </c>
      <c r="AI864" s="4">
        <v>5</v>
      </c>
      <c r="AJ864" s="4">
        <v>13</v>
      </c>
      <c r="AK864" s="4">
        <v>13</v>
      </c>
      <c r="AL864" s="4">
        <v>4</v>
      </c>
      <c r="AM864" s="4">
        <v>4</v>
      </c>
      <c r="AN864" s="4">
        <v>2</v>
      </c>
      <c r="AO864" s="4">
        <v>2</v>
      </c>
      <c r="AP864" s="3" t="s">
        <v>58</v>
      </c>
      <c r="AQ864" s="3" t="s">
        <v>58</v>
      </c>
      <c r="AS864" s="6" t="str">
        <f>HYPERLINK("https://creighton-primo.hosted.exlibrisgroup.com/primo-explore/search?tab=default_tab&amp;search_scope=EVERYTHING&amp;vid=01CRU&amp;lang=en_US&amp;offset=0&amp;query=any,contains,991005207789702656","Catalog Record")</f>
        <v>Catalog Record</v>
      </c>
      <c r="AT864" s="6" t="str">
        <f>HYPERLINK("http://www.worldcat.org/oclc/8132543","WorldCat Record")</f>
        <v>WorldCat Record</v>
      </c>
      <c r="AU864" s="3" t="s">
        <v>11349</v>
      </c>
      <c r="AV864" s="3" t="s">
        <v>11350</v>
      </c>
      <c r="AW864" s="3" t="s">
        <v>11351</v>
      </c>
      <c r="AX864" s="3" t="s">
        <v>11351</v>
      </c>
      <c r="AY864" s="3" t="s">
        <v>11352</v>
      </c>
      <c r="AZ864" s="3" t="s">
        <v>74</v>
      </c>
      <c r="BB864" s="3" t="s">
        <v>11353</v>
      </c>
      <c r="BC864" s="3" t="s">
        <v>11354</v>
      </c>
      <c r="BD864" s="3" t="s">
        <v>11355</v>
      </c>
    </row>
    <row r="865" spans="1:56" ht="45.75" customHeight="1" x14ac:dyDescent="0.25">
      <c r="A865" s="7" t="s">
        <v>58</v>
      </c>
      <c r="B865" s="2" t="s">
        <v>11356</v>
      </c>
      <c r="C865" s="2" t="s">
        <v>11357</v>
      </c>
      <c r="D865" s="2" t="s">
        <v>11358</v>
      </c>
      <c r="F865" s="3" t="s">
        <v>58</v>
      </c>
      <c r="G865" s="3" t="s">
        <v>59</v>
      </c>
      <c r="H865" s="3" t="s">
        <v>58</v>
      </c>
      <c r="I865" s="3" t="s">
        <v>58</v>
      </c>
      <c r="J865" s="3" t="s">
        <v>60</v>
      </c>
      <c r="K865" s="2" t="s">
        <v>11359</v>
      </c>
      <c r="L865" s="2" t="s">
        <v>11360</v>
      </c>
      <c r="M865" s="3" t="s">
        <v>1209</v>
      </c>
      <c r="N865" s="2" t="s">
        <v>64</v>
      </c>
      <c r="O865" s="3" t="s">
        <v>65</v>
      </c>
      <c r="P865" s="3" t="s">
        <v>84</v>
      </c>
      <c r="R865" s="3" t="s">
        <v>67</v>
      </c>
      <c r="S865" s="4">
        <v>15</v>
      </c>
      <c r="T865" s="4">
        <v>15</v>
      </c>
      <c r="U865" s="5" t="s">
        <v>11361</v>
      </c>
      <c r="V865" s="5" t="s">
        <v>11361</v>
      </c>
      <c r="W865" s="5" t="s">
        <v>11362</v>
      </c>
      <c r="X865" s="5" t="s">
        <v>11362</v>
      </c>
      <c r="Y865" s="4">
        <v>144</v>
      </c>
      <c r="Z865" s="4">
        <v>119</v>
      </c>
      <c r="AA865" s="4">
        <v>284</v>
      </c>
      <c r="AB865" s="4">
        <v>1</v>
      </c>
      <c r="AC865" s="4">
        <v>3</v>
      </c>
      <c r="AD865" s="4">
        <v>4</v>
      </c>
      <c r="AE865" s="4">
        <v>12</v>
      </c>
      <c r="AF865" s="4">
        <v>0</v>
      </c>
      <c r="AG865" s="4">
        <v>3</v>
      </c>
      <c r="AH865" s="4">
        <v>1</v>
      </c>
      <c r="AI865" s="4">
        <v>1</v>
      </c>
      <c r="AJ865" s="4">
        <v>1</v>
      </c>
      <c r="AK865" s="4">
        <v>3</v>
      </c>
      <c r="AL865" s="4">
        <v>0</v>
      </c>
      <c r="AM865" s="4">
        <v>1</v>
      </c>
      <c r="AN865" s="4">
        <v>3</v>
      </c>
      <c r="AO865" s="4">
        <v>5</v>
      </c>
      <c r="AP865" s="3" t="s">
        <v>58</v>
      </c>
      <c r="AQ865" s="3" t="s">
        <v>87</v>
      </c>
      <c r="AR865" s="6" t="str">
        <f>HYPERLINK("http://catalog.hathitrust.org/Record/002995540","HathiTrust Record")</f>
        <v>HathiTrust Record</v>
      </c>
      <c r="AS865" s="6" t="str">
        <f>HYPERLINK("https://creighton-primo.hosted.exlibrisgroup.com/primo-explore/search?tab=default_tab&amp;search_scope=EVERYTHING&amp;vid=01CRU&amp;lang=en_US&amp;offset=0&amp;query=any,contains,991000952269702656","Catalog Record")</f>
        <v>Catalog Record</v>
      </c>
      <c r="AT865" s="6" t="str">
        <f>HYPERLINK("http://www.worldcat.org/oclc/14691961","WorldCat Record")</f>
        <v>WorldCat Record</v>
      </c>
      <c r="AU865" s="3" t="s">
        <v>11363</v>
      </c>
      <c r="AV865" s="3" t="s">
        <v>11364</v>
      </c>
      <c r="AW865" s="3" t="s">
        <v>11365</v>
      </c>
      <c r="AX865" s="3" t="s">
        <v>11365</v>
      </c>
      <c r="AY865" s="3" t="s">
        <v>11366</v>
      </c>
      <c r="AZ865" s="3" t="s">
        <v>74</v>
      </c>
      <c r="BB865" s="3" t="s">
        <v>11367</v>
      </c>
      <c r="BC865" s="3" t="s">
        <v>11368</v>
      </c>
      <c r="BD865" s="3" t="s">
        <v>11369</v>
      </c>
    </row>
    <row r="866" spans="1:56" ht="45.75" customHeight="1" x14ac:dyDescent="0.25">
      <c r="A866" s="7" t="s">
        <v>58</v>
      </c>
      <c r="B866" s="2" t="s">
        <v>11370</v>
      </c>
      <c r="C866" s="2" t="s">
        <v>11371</v>
      </c>
      <c r="D866" s="2" t="s">
        <v>11372</v>
      </c>
      <c r="F866" s="3" t="s">
        <v>58</v>
      </c>
      <c r="G866" s="3" t="s">
        <v>59</v>
      </c>
      <c r="H866" s="3" t="s">
        <v>58</v>
      </c>
      <c r="I866" s="3" t="s">
        <v>58</v>
      </c>
      <c r="J866" s="3" t="s">
        <v>60</v>
      </c>
      <c r="L866" s="2" t="s">
        <v>11373</v>
      </c>
      <c r="M866" s="3" t="s">
        <v>629</v>
      </c>
      <c r="O866" s="3" t="s">
        <v>65</v>
      </c>
      <c r="P866" s="3" t="s">
        <v>132</v>
      </c>
      <c r="R866" s="3" t="s">
        <v>67</v>
      </c>
      <c r="S866" s="4">
        <v>20</v>
      </c>
      <c r="T866" s="4">
        <v>20</v>
      </c>
      <c r="U866" s="5" t="s">
        <v>11374</v>
      </c>
      <c r="V866" s="5" t="s">
        <v>11374</v>
      </c>
      <c r="W866" s="5" t="s">
        <v>11375</v>
      </c>
      <c r="X866" s="5" t="s">
        <v>11375</v>
      </c>
      <c r="Y866" s="4">
        <v>375</v>
      </c>
      <c r="Z866" s="4">
        <v>283</v>
      </c>
      <c r="AA866" s="4">
        <v>285</v>
      </c>
      <c r="AB866" s="4">
        <v>4</v>
      </c>
      <c r="AC866" s="4">
        <v>4</v>
      </c>
      <c r="AD866" s="4">
        <v>17</v>
      </c>
      <c r="AE866" s="4">
        <v>17</v>
      </c>
      <c r="AF866" s="4">
        <v>4</v>
      </c>
      <c r="AG866" s="4">
        <v>4</v>
      </c>
      <c r="AH866" s="4">
        <v>4</v>
      </c>
      <c r="AI866" s="4">
        <v>4</v>
      </c>
      <c r="AJ866" s="4">
        <v>5</v>
      </c>
      <c r="AK866" s="4">
        <v>5</v>
      </c>
      <c r="AL866" s="4">
        <v>3</v>
      </c>
      <c r="AM866" s="4">
        <v>3</v>
      </c>
      <c r="AN866" s="4">
        <v>4</v>
      </c>
      <c r="AO866" s="4">
        <v>4</v>
      </c>
      <c r="AP866" s="3" t="s">
        <v>58</v>
      </c>
      <c r="AQ866" s="3" t="s">
        <v>87</v>
      </c>
      <c r="AR866" s="6" t="str">
        <f>HYPERLINK("http://catalog.hathitrust.org/Record/002906992","HathiTrust Record")</f>
        <v>HathiTrust Record</v>
      </c>
      <c r="AS866" s="6" t="str">
        <f>HYPERLINK("https://creighton-primo.hosted.exlibrisgroup.com/primo-explore/search?tab=default_tab&amp;search_scope=EVERYTHING&amp;vid=01CRU&amp;lang=en_US&amp;offset=0&amp;query=any,contains,991002346519702656","Catalog Record")</f>
        <v>Catalog Record</v>
      </c>
      <c r="AT866" s="6" t="str">
        <f>HYPERLINK("http://www.worldcat.org/oclc/30545826","WorldCat Record")</f>
        <v>WorldCat Record</v>
      </c>
      <c r="AU866" s="3" t="s">
        <v>11376</v>
      </c>
      <c r="AV866" s="3" t="s">
        <v>11377</v>
      </c>
      <c r="AW866" s="3" t="s">
        <v>11378</v>
      </c>
      <c r="AX866" s="3" t="s">
        <v>11378</v>
      </c>
      <c r="AY866" s="3" t="s">
        <v>11379</v>
      </c>
      <c r="AZ866" s="3" t="s">
        <v>74</v>
      </c>
      <c r="BB866" s="3" t="s">
        <v>11380</v>
      </c>
      <c r="BC866" s="3" t="s">
        <v>11381</v>
      </c>
      <c r="BD866" s="3" t="s">
        <v>11382</v>
      </c>
    </row>
    <row r="867" spans="1:56" ht="45.75" customHeight="1" x14ac:dyDescent="0.25">
      <c r="A867" s="7" t="s">
        <v>58</v>
      </c>
      <c r="B867" s="2" t="s">
        <v>11383</v>
      </c>
      <c r="C867" s="2" t="s">
        <v>11384</v>
      </c>
      <c r="D867" s="2" t="s">
        <v>11385</v>
      </c>
      <c r="F867" s="3" t="s">
        <v>58</v>
      </c>
      <c r="G867" s="3" t="s">
        <v>59</v>
      </c>
      <c r="H867" s="3" t="s">
        <v>58</v>
      </c>
      <c r="I867" s="3" t="s">
        <v>58</v>
      </c>
      <c r="J867" s="3" t="s">
        <v>60</v>
      </c>
      <c r="K867" s="2" t="s">
        <v>11386</v>
      </c>
      <c r="L867" s="2" t="s">
        <v>11387</v>
      </c>
      <c r="M867" s="3" t="s">
        <v>131</v>
      </c>
      <c r="O867" s="3" t="s">
        <v>65</v>
      </c>
      <c r="P867" s="3" t="s">
        <v>587</v>
      </c>
      <c r="R867" s="3" t="s">
        <v>67</v>
      </c>
      <c r="S867" s="4">
        <v>2</v>
      </c>
      <c r="T867" s="4">
        <v>2</v>
      </c>
      <c r="U867" s="5" t="s">
        <v>3654</v>
      </c>
      <c r="V867" s="5" t="s">
        <v>3654</v>
      </c>
      <c r="W867" s="5" t="s">
        <v>7262</v>
      </c>
      <c r="X867" s="5" t="s">
        <v>7262</v>
      </c>
      <c r="Y867" s="4">
        <v>756</v>
      </c>
      <c r="Z867" s="4">
        <v>666</v>
      </c>
      <c r="AA867" s="4">
        <v>999</v>
      </c>
      <c r="AB867" s="4">
        <v>9</v>
      </c>
      <c r="AC867" s="4">
        <v>10</v>
      </c>
      <c r="AD867" s="4">
        <v>29</v>
      </c>
      <c r="AE867" s="4">
        <v>31</v>
      </c>
      <c r="AF867" s="4">
        <v>11</v>
      </c>
      <c r="AG867" s="4">
        <v>11</v>
      </c>
      <c r="AH867" s="4">
        <v>4</v>
      </c>
      <c r="AI867" s="4">
        <v>4</v>
      </c>
      <c r="AJ867" s="4">
        <v>11</v>
      </c>
      <c r="AK867" s="4">
        <v>12</v>
      </c>
      <c r="AL867" s="4">
        <v>8</v>
      </c>
      <c r="AM867" s="4">
        <v>9</v>
      </c>
      <c r="AN867" s="4">
        <v>2</v>
      </c>
      <c r="AO867" s="4">
        <v>2</v>
      </c>
      <c r="AP867" s="3" t="s">
        <v>58</v>
      </c>
      <c r="AQ867" s="3" t="s">
        <v>58</v>
      </c>
      <c r="AS867" s="6" t="str">
        <f>HYPERLINK("https://creighton-primo.hosted.exlibrisgroup.com/primo-explore/search?tab=default_tab&amp;search_scope=EVERYTHING&amp;vid=01CRU&amp;lang=en_US&amp;offset=0&amp;query=any,contains,991005135449702656","Catalog Record")</f>
        <v>Catalog Record</v>
      </c>
      <c r="AT867" s="6" t="str">
        <f>HYPERLINK("http://www.worldcat.org/oclc/68786754","WorldCat Record")</f>
        <v>WorldCat Record</v>
      </c>
      <c r="AU867" s="3" t="s">
        <v>11388</v>
      </c>
      <c r="AV867" s="3" t="s">
        <v>11389</v>
      </c>
      <c r="AW867" s="3" t="s">
        <v>11390</v>
      </c>
      <c r="AX867" s="3" t="s">
        <v>11390</v>
      </c>
      <c r="AY867" s="3" t="s">
        <v>11391</v>
      </c>
      <c r="AZ867" s="3" t="s">
        <v>74</v>
      </c>
      <c r="BB867" s="3" t="s">
        <v>11392</v>
      </c>
      <c r="BC867" s="3" t="s">
        <v>11393</v>
      </c>
      <c r="BD867" s="3" t="s">
        <v>11394</v>
      </c>
    </row>
    <row r="868" spans="1:56" ht="45.75" customHeight="1" x14ac:dyDescent="0.25">
      <c r="A868" s="7" t="s">
        <v>58</v>
      </c>
      <c r="B868" s="2" t="s">
        <v>11395</v>
      </c>
      <c r="C868" s="2" t="s">
        <v>11396</v>
      </c>
      <c r="D868" s="2" t="s">
        <v>11397</v>
      </c>
      <c r="F868" s="3" t="s">
        <v>58</v>
      </c>
      <c r="G868" s="3" t="s">
        <v>59</v>
      </c>
      <c r="H868" s="3" t="s">
        <v>87</v>
      </c>
      <c r="I868" s="3" t="s">
        <v>58</v>
      </c>
      <c r="J868" s="3" t="s">
        <v>60</v>
      </c>
      <c r="K868" s="2" t="s">
        <v>11398</v>
      </c>
      <c r="L868" s="2" t="s">
        <v>5965</v>
      </c>
      <c r="M868" s="3" t="s">
        <v>1419</v>
      </c>
      <c r="O868" s="3" t="s">
        <v>65</v>
      </c>
      <c r="P868" s="3" t="s">
        <v>148</v>
      </c>
      <c r="R868" s="3" t="s">
        <v>67</v>
      </c>
      <c r="S868" s="4">
        <v>12</v>
      </c>
      <c r="T868" s="4">
        <v>12</v>
      </c>
      <c r="U868" s="5" t="s">
        <v>11399</v>
      </c>
      <c r="V868" s="5" t="s">
        <v>11399</v>
      </c>
      <c r="W868" s="5" t="s">
        <v>11400</v>
      </c>
      <c r="X868" s="5" t="s">
        <v>11400</v>
      </c>
      <c r="Y868" s="4">
        <v>654</v>
      </c>
      <c r="Z868" s="4">
        <v>544</v>
      </c>
      <c r="AA868" s="4">
        <v>547</v>
      </c>
      <c r="AB868" s="4">
        <v>5</v>
      </c>
      <c r="AC868" s="4">
        <v>5</v>
      </c>
      <c r="AD868" s="4">
        <v>32</v>
      </c>
      <c r="AE868" s="4">
        <v>32</v>
      </c>
      <c r="AF868" s="4">
        <v>9</v>
      </c>
      <c r="AG868" s="4">
        <v>9</v>
      </c>
      <c r="AH868" s="4">
        <v>3</v>
      </c>
      <c r="AI868" s="4">
        <v>3</v>
      </c>
      <c r="AJ868" s="4">
        <v>9</v>
      </c>
      <c r="AK868" s="4">
        <v>9</v>
      </c>
      <c r="AL868" s="4">
        <v>3</v>
      </c>
      <c r="AM868" s="4">
        <v>3</v>
      </c>
      <c r="AN868" s="4">
        <v>14</v>
      </c>
      <c r="AO868" s="4">
        <v>14</v>
      </c>
      <c r="AP868" s="3" t="s">
        <v>58</v>
      </c>
      <c r="AQ868" s="3" t="s">
        <v>87</v>
      </c>
      <c r="AR868" s="6" t="str">
        <f>HYPERLINK("http://catalog.hathitrust.org/Record/000092496","HathiTrust Record")</f>
        <v>HathiTrust Record</v>
      </c>
      <c r="AS868" s="6" t="str">
        <f>HYPERLINK("https://creighton-primo.hosted.exlibrisgroup.com/primo-explore/search?tab=default_tab&amp;search_scope=EVERYTHING&amp;vid=01CRU&amp;lang=en_US&amp;offset=0&amp;query=any,contains,991001786179702656","Catalog Record")</f>
        <v>Catalog Record</v>
      </c>
      <c r="AT868" s="6" t="str">
        <f>HYPERLINK("http://www.worldcat.org/oclc/3631456","WorldCat Record")</f>
        <v>WorldCat Record</v>
      </c>
      <c r="AU868" s="3" t="s">
        <v>11401</v>
      </c>
      <c r="AV868" s="3" t="s">
        <v>11402</v>
      </c>
      <c r="AW868" s="3" t="s">
        <v>11403</v>
      </c>
      <c r="AX868" s="3" t="s">
        <v>11403</v>
      </c>
      <c r="AY868" s="3" t="s">
        <v>11404</v>
      </c>
      <c r="AZ868" s="3" t="s">
        <v>74</v>
      </c>
      <c r="BB868" s="3" t="s">
        <v>11405</v>
      </c>
      <c r="BC868" s="3" t="s">
        <v>11406</v>
      </c>
      <c r="BD868" s="3" t="s">
        <v>11407</v>
      </c>
    </row>
    <row r="869" spans="1:56" ht="45.75" customHeight="1" x14ac:dyDescent="0.25">
      <c r="A869" s="7" t="s">
        <v>58</v>
      </c>
      <c r="B869" s="2" t="s">
        <v>11408</v>
      </c>
      <c r="C869" s="2" t="s">
        <v>11409</v>
      </c>
      <c r="D869" s="2" t="s">
        <v>11410</v>
      </c>
      <c r="F869" s="3" t="s">
        <v>58</v>
      </c>
      <c r="G869" s="3" t="s">
        <v>59</v>
      </c>
      <c r="H869" s="3" t="s">
        <v>58</v>
      </c>
      <c r="I869" s="3" t="s">
        <v>58</v>
      </c>
      <c r="J869" s="3" t="s">
        <v>60</v>
      </c>
      <c r="L869" s="2" t="s">
        <v>11411</v>
      </c>
      <c r="M869" s="3" t="s">
        <v>1088</v>
      </c>
      <c r="O869" s="3" t="s">
        <v>65</v>
      </c>
      <c r="P869" s="3" t="s">
        <v>190</v>
      </c>
      <c r="R869" s="3" t="s">
        <v>67</v>
      </c>
      <c r="S869" s="4">
        <v>4</v>
      </c>
      <c r="T869" s="4">
        <v>4</v>
      </c>
      <c r="U869" s="5" t="s">
        <v>11412</v>
      </c>
      <c r="V869" s="5" t="s">
        <v>11412</v>
      </c>
      <c r="W869" s="5" t="s">
        <v>11348</v>
      </c>
      <c r="X869" s="5" t="s">
        <v>11348</v>
      </c>
      <c r="Y869" s="4">
        <v>352</v>
      </c>
      <c r="Z869" s="4">
        <v>320</v>
      </c>
      <c r="AA869" s="4">
        <v>532</v>
      </c>
      <c r="AB869" s="4">
        <v>5</v>
      </c>
      <c r="AC869" s="4">
        <v>7</v>
      </c>
      <c r="AD869" s="4">
        <v>15</v>
      </c>
      <c r="AE869" s="4">
        <v>25</v>
      </c>
      <c r="AF869" s="4">
        <v>4</v>
      </c>
      <c r="AG869" s="4">
        <v>6</v>
      </c>
      <c r="AH869" s="4">
        <v>3</v>
      </c>
      <c r="AI869" s="4">
        <v>6</v>
      </c>
      <c r="AJ869" s="4">
        <v>6</v>
      </c>
      <c r="AK869" s="4">
        <v>10</v>
      </c>
      <c r="AL869" s="4">
        <v>4</v>
      </c>
      <c r="AM869" s="4">
        <v>6</v>
      </c>
      <c r="AN869" s="4">
        <v>2</v>
      </c>
      <c r="AO869" s="4">
        <v>3</v>
      </c>
      <c r="AP869" s="3" t="s">
        <v>58</v>
      </c>
      <c r="AQ869" s="3" t="s">
        <v>58</v>
      </c>
      <c r="AS869" s="6" t="str">
        <f>HYPERLINK("https://creighton-primo.hosted.exlibrisgroup.com/primo-explore/search?tab=default_tab&amp;search_scope=EVERYTHING&amp;vid=01CRU&amp;lang=en_US&amp;offset=0&amp;query=any,contains,991000559929702656","Catalog Record")</f>
        <v>Catalog Record</v>
      </c>
      <c r="AT869" s="6" t="str">
        <f>HYPERLINK("http://www.worldcat.org/oclc/11575365","WorldCat Record")</f>
        <v>WorldCat Record</v>
      </c>
      <c r="AU869" s="3" t="s">
        <v>11413</v>
      </c>
      <c r="AV869" s="3" t="s">
        <v>11414</v>
      </c>
      <c r="AW869" s="3" t="s">
        <v>11415</v>
      </c>
      <c r="AX869" s="3" t="s">
        <v>11415</v>
      </c>
      <c r="AY869" s="3" t="s">
        <v>11416</v>
      </c>
      <c r="AZ869" s="3" t="s">
        <v>74</v>
      </c>
      <c r="BB869" s="3" t="s">
        <v>11417</v>
      </c>
      <c r="BC869" s="3" t="s">
        <v>11418</v>
      </c>
      <c r="BD869" s="3" t="s">
        <v>11419</v>
      </c>
    </row>
    <row r="870" spans="1:56" ht="45.75" customHeight="1" x14ac:dyDescent="0.25">
      <c r="A870" s="7" t="s">
        <v>58</v>
      </c>
      <c r="B870" s="2" t="s">
        <v>11420</v>
      </c>
      <c r="C870" s="2" t="s">
        <v>11421</v>
      </c>
      <c r="D870" s="2" t="s">
        <v>11422</v>
      </c>
      <c r="F870" s="3" t="s">
        <v>58</v>
      </c>
      <c r="G870" s="3" t="s">
        <v>59</v>
      </c>
      <c r="H870" s="3" t="s">
        <v>87</v>
      </c>
      <c r="I870" s="3" t="s">
        <v>58</v>
      </c>
      <c r="J870" s="3" t="s">
        <v>60</v>
      </c>
      <c r="L870" s="2" t="s">
        <v>5009</v>
      </c>
      <c r="M870" s="3" t="s">
        <v>908</v>
      </c>
      <c r="O870" s="3" t="s">
        <v>65</v>
      </c>
      <c r="P870" s="3" t="s">
        <v>132</v>
      </c>
      <c r="Q870" s="2" t="s">
        <v>11423</v>
      </c>
      <c r="R870" s="3" t="s">
        <v>67</v>
      </c>
      <c r="S870" s="4">
        <v>7</v>
      </c>
      <c r="T870" s="4">
        <v>7</v>
      </c>
      <c r="U870" s="5" t="s">
        <v>11424</v>
      </c>
      <c r="V870" s="5" t="s">
        <v>11424</v>
      </c>
      <c r="W870" s="5" t="s">
        <v>11425</v>
      </c>
      <c r="X870" s="5" t="s">
        <v>11425</v>
      </c>
      <c r="Y870" s="4">
        <v>491</v>
      </c>
      <c r="Z870" s="4">
        <v>410</v>
      </c>
      <c r="AA870" s="4">
        <v>416</v>
      </c>
      <c r="AB870" s="4">
        <v>4</v>
      </c>
      <c r="AC870" s="4">
        <v>4</v>
      </c>
      <c r="AD870" s="4">
        <v>24</v>
      </c>
      <c r="AE870" s="4">
        <v>24</v>
      </c>
      <c r="AF870" s="4">
        <v>3</v>
      </c>
      <c r="AG870" s="4">
        <v>3</v>
      </c>
      <c r="AH870" s="4">
        <v>3</v>
      </c>
      <c r="AI870" s="4">
        <v>3</v>
      </c>
      <c r="AJ870" s="4">
        <v>12</v>
      </c>
      <c r="AK870" s="4">
        <v>12</v>
      </c>
      <c r="AL870" s="4">
        <v>2</v>
      </c>
      <c r="AM870" s="4">
        <v>2</v>
      </c>
      <c r="AN870" s="4">
        <v>9</v>
      </c>
      <c r="AO870" s="4">
        <v>9</v>
      </c>
      <c r="AP870" s="3" t="s">
        <v>58</v>
      </c>
      <c r="AQ870" s="3" t="s">
        <v>87</v>
      </c>
      <c r="AR870" s="6" t="str">
        <f>HYPERLINK("http://catalog.hathitrust.org/Record/000085122","HathiTrust Record")</f>
        <v>HathiTrust Record</v>
      </c>
      <c r="AS870" s="6" t="str">
        <f>HYPERLINK("https://creighton-primo.hosted.exlibrisgroup.com/primo-explore/search?tab=default_tab&amp;search_scope=EVERYTHING&amp;vid=01CRU&amp;lang=en_US&amp;offset=0&amp;query=any,contains,991001809299702656","Catalog Record")</f>
        <v>Catalog Record</v>
      </c>
      <c r="AT870" s="6" t="str">
        <f>HYPERLINK("http://www.worldcat.org/oclc/5264258","WorldCat Record")</f>
        <v>WorldCat Record</v>
      </c>
      <c r="AU870" s="3" t="s">
        <v>11426</v>
      </c>
      <c r="AV870" s="3" t="s">
        <v>11427</v>
      </c>
      <c r="AW870" s="3" t="s">
        <v>11428</v>
      </c>
      <c r="AX870" s="3" t="s">
        <v>11428</v>
      </c>
      <c r="AY870" s="3" t="s">
        <v>11429</v>
      </c>
      <c r="AZ870" s="3" t="s">
        <v>74</v>
      </c>
      <c r="BB870" s="3" t="s">
        <v>11430</v>
      </c>
      <c r="BC870" s="3" t="s">
        <v>11431</v>
      </c>
      <c r="BD870" s="3" t="s">
        <v>11432</v>
      </c>
    </row>
    <row r="871" spans="1:56" ht="45.75" customHeight="1" x14ac:dyDescent="0.25">
      <c r="A871" s="7" t="s">
        <v>58</v>
      </c>
      <c r="B871" s="2" t="s">
        <v>11433</v>
      </c>
      <c r="C871" s="2" t="s">
        <v>11434</v>
      </c>
      <c r="D871" s="2" t="s">
        <v>11435</v>
      </c>
      <c r="F871" s="3" t="s">
        <v>58</v>
      </c>
      <c r="G871" s="3" t="s">
        <v>59</v>
      </c>
      <c r="H871" s="3" t="s">
        <v>58</v>
      </c>
      <c r="I871" s="3" t="s">
        <v>58</v>
      </c>
      <c r="J871" s="3" t="s">
        <v>60</v>
      </c>
      <c r="L871" s="2" t="s">
        <v>11436</v>
      </c>
      <c r="M871" s="3" t="s">
        <v>3601</v>
      </c>
      <c r="O871" s="3" t="s">
        <v>65</v>
      </c>
      <c r="P871" s="3" t="s">
        <v>66</v>
      </c>
      <c r="R871" s="3" t="s">
        <v>67</v>
      </c>
      <c r="S871" s="4">
        <v>7</v>
      </c>
      <c r="T871" s="4">
        <v>7</v>
      </c>
      <c r="U871" s="5" t="s">
        <v>11424</v>
      </c>
      <c r="V871" s="5" t="s">
        <v>11424</v>
      </c>
      <c r="W871" s="5" t="s">
        <v>6361</v>
      </c>
      <c r="X871" s="5" t="s">
        <v>6361</v>
      </c>
      <c r="Y871" s="4">
        <v>657</v>
      </c>
      <c r="Z871" s="4">
        <v>561</v>
      </c>
      <c r="AA871" s="4">
        <v>568</v>
      </c>
      <c r="AB871" s="4">
        <v>5</v>
      </c>
      <c r="AC871" s="4">
        <v>5</v>
      </c>
      <c r="AD871" s="4">
        <v>30</v>
      </c>
      <c r="AE871" s="4">
        <v>30</v>
      </c>
      <c r="AF871" s="4">
        <v>4</v>
      </c>
      <c r="AG871" s="4">
        <v>4</v>
      </c>
      <c r="AH871" s="4">
        <v>6</v>
      </c>
      <c r="AI871" s="4">
        <v>6</v>
      </c>
      <c r="AJ871" s="4">
        <v>8</v>
      </c>
      <c r="AK871" s="4">
        <v>8</v>
      </c>
      <c r="AL871" s="4">
        <v>3</v>
      </c>
      <c r="AM871" s="4">
        <v>3</v>
      </c>
      <c r="AN871" s="4">
        <v>13</v>
      </c>
      <c r="AO871" s="4">
        <v>13</v>
      </c>
      <c r="AP871" s="3" t="s">
        <v>58</v>
      </c>
      <c r="AQ871" s="3" t="s">
        <v>87</v>
      </c>
      <c r="AR871" s="6" t="str">
        <f>HYPERLINK("http://catalog.hathitrust.org/Record/001134641","HathiTrust Record")</f>
        <v>HathiTrust Record</v>
      </c>
      <c r="AS871" s="6" t="str">
        <f>HYPERLINK("https://creighton-primo.hosted.exlibrisgroup.com/primo-explore/search?tab=default_tab&amp;search_scope=EVERYTHING&amp;vid=01CRU&amp;lang=en_US&amp;offset=0&amp;query=any,contains,991003277619702656","Catalog Record")</f>
        <v>Catalog Record</v>
      </c>
      <c r="AT871" s="6" t="str">
        <f>HYPERLINK("http://www.worldcat.org/oclc/800830","WorldCat Record")</f>
        <v>WorldCat Record</v>
      </c>
      <c r="AU871" s="3" t="s">
        <v>11437</v>
      </c>
      <c r="AV871" s="3" t="s">
        <v>11438</v>
      </c>
      <c r="AW871" s="3" t="s">
        <v>11439</v>
      </c>
      <c r="AX871" s="3" t="s">
        <v>11439</v>
      </c>
      <c r="AY871" s="3" t="s">
        <v>11440</v>
      </c>
      <c r="AZ871" s="3" t="s">
        <v>74</v>
      </c>
      <c r="BB871" s="3" t="s">
        <v>11441</v>
      </c>
      <c r="BC871" s="3" t="s">
        <v>11442</v>
      </c>
      <c r="BD871" s="3" t="s">
        <v>11443</v>
      </c>
    </row>
    <row r="872" spans="1:56" ht="45.75" customHeight="1" x14ac:dyDescent="0.25">
      <c r="A872" s="7" t="s">
        <v>58</v>
      </c>
      <c r="B872" s="2" t="s">
        <v>11444</v>
      </c>
      <c r="C872" s="2" t="s">
        <v>11445</v>
      </c>
      <c r="D872" s="2" t="s">
        <v>11446</v>
      </c>
      <c r="F872" s="3" t="s">
        <v>58</v>
      </c>
      <c r="G872" s="3" t="s">
        <v>59</v>
      </c>
      <c r="H872" s="3" t="s">
        <v>58</v>
      </c>
      <c r="I872" s="3" t="s">
        <v>58</v>
      </c>
      <c r="J872" s="3" t="s">
        <v>60</v>
      </c>
      <c r="L872" s="2" t="s">
        <v>11447</v>
      </c>
      <c r="M872" s="3" t="s">
        <v>1254</v>
      </c>
      <c r="O872" s="3" t="s">
        <v>65</v>
      </c>
      <c r="P872" s="3" t="s">
        <v>772</v>
      </c>
      <c r="R872" s="3" t="s">
        <v>67</v>
      </c>
      <c r="S872" s="4">
        <v>6</v>
      </c>
      <c r="T872" s="4">
        <v>6</v>
      </c>
      <c r="U872" s="5" t="s">
        <v>11448</v>
      </c>
      <c r="V872" s="5" t="s">
        <v>11448</v>
      </c>
      <c r="W872" s="5" t="s">
        <v>11348</v>
      </c>
      <c r="X872" s="5" t="s">
        <v>11348</v>
      </c>
      <c r="Y872" s="4">
        <v>385</v>
      </c>
      <c r="Z872" s="4">
        <v>343</v>
      </c>
      <c r="AA872" s="4">
        <v>350</v>
      </c>
      <c r="AB872" s="4">
        <v>3</v>
      </c>
      <c r="AC872" s="4">
        <v>3</v>
      </c>
      <c r="AD872" s="4">
        <v>16</v>
      </c>
      <c r="AE872" s="4">
        <v>16</v>
      </c>
      <c r="AF872" s="4">
        <v>6</v>
      </c>
      <c r="AG872" s="4">
        <v>6</v>
      </c>
      <c r="AH872" s="4">
        <v>3</v>
      </c>
      <c r="AI872" s="4">
        <v>3</v>
      </c>
      <c r="AJ872" s="4">
        <v>9</v>
      </c>
      <c r="AK872" s="4">
        <v>9</v>
      </c>
      <c r="AL872" s="4">
        <v>2</v>
      </c>
      <c r="AM872" s="4">
        <v>2</v>
      </c>
      <c r="AN872" s="4">
        <v>3</v>
      </c>
      <c r="AO872" s="4">
        <v>3</v>
      </c>
      <c r="AP872" s="3" t="s">
        <v>58</v>
      </c>
      <c r="AQ872" s="3" t="s">
        <v>87</v>
      </c>
      <c r="AR872" s="6" t="str">
        <f>HYPERLINK("http://catalog.hathitrust.org/Record/000564232","HathiTrust Record")</f>
        <v>HathiTrust Record</v>
      </c>
      <c r="AS872" s="6" t="str">
        <f>HYPERLINK("https://creighton-primo.hosted.exlibrisgroup.com/primo-explore/search?tab=default_tab&amp;search_scope=EVERYTHING&amp;vid=01CRU&amp;lang=en_US&amp;offset=0&amp;query=any,contains,991000438339702656","Catalog Record")</f>
        <v>Catalog Record</v>
      </c>
      <c r="AT872" s="6" t="str">
        <f>HYPERLINK("http://www.worldcat.org/oclc/10800580","WorldCat Record")</f>
        <v>WorldCat Record</v>
      </c>
      <c r="AU872" s="3" t="s">
        <v>11449</v>
      </c>
      <c r="AV872" s="3" t="s">
        <v>11450</v>
      </c>
      <c r="AW872" s="3" t="s">
        <v>11451</v>
      </c>
      <c r="AX872" s="3" t="s">
        <v>11451</v>
      </c>
      <c r="AY872" s="3" t="s">
        <v>11452</v>
      </c>
      <c r="AZ872" s="3" t="s">
        <v>74</v>
      </c>
      <c r="BB872" s="3" t="s">
        <v>11453</v>
      </c>
      <c r="BC872" s="3" t="s">
        <v>11454</v>
      </c>
      <c r="BD872" s="3" t="s">
        <v>11455</v>
      </c>
    </row>
    <row r="873" spans="1:56" ht="45.75" customHeight="1" x14ac:dyDescent="0.25">
      <c r="A873" s="7" t="s">
        <v>58</v>
      </c>
      <c r="B873" s="2" t="s">
        <v>11456</v>
      </c>
      <c r="C873" s="2" t="s">
        <v>11457</v>
      </c>
      <c r="D873" s="2" t="s">
        <v>11458</v>
      </c>
      <c r="F873" s="3" t="s">
        <v>58</v>
      </c>
      <c r="G873" s="3" t="s">
        <v>59</v>
      </c>
      <c r="H873" s="3" t="s">
        <v>58</v>
      </c>
      <c r="I873" s="3" t="s">
        <v>58</v>
      </c>
      <c r="J873" s="3" t="s">
        <v>60</v>
      </c>
      <c r="K873" s="2" t="s">
        <v>11459</v>
      </c>
      <c r="L873" s="2" t="s">
        <v>11460</v>
      </c>
      <c r="M873" s="3" t="s">
        <v>1500</v>
      </c>
      <c r="O873" s="3" t="s">
        <v>65</v>
      </c>
      <c r="P873" s="3" t="s">
        <v>84</v>
      </c>
      <c r="R873" s="3" t="s">
        <v>67</v>
      </c>
      <c r="S873" s="4">
        <v>3</v>
      </c>
      <c r="T873" s="4">
        <v>3</v>
      </c>
      <c r="U873" s="5" t="s">
        <v>11461</v>
      </c>
      <c r="V873" s="5" t="s">
        <v>11461</v>
      </c>
      <c r="W873" s="5" t="s">
        <v>11348</v>
      </c>
      <c r="X873" s="5" t="s">
        <v>11348</v>
      </c>
      <c r="Y873" s="4">
        <v>468</v>
      </c>
      <c r="Z873" s="4">
        <v>393</v>
      </c>
      <c r="AA873" s="4">
        <v>1191</v>
      </c>
      <c r="AB873" s="4">
        <v>3</v>
      </c>
      <c r="AC873" s="4">
        <v>9</v>
      </c>
      <c r="AD873" s="4">
        <v>23</v>
      </c>
      <c r="AE873" s="4">
        <v>57</v>
      </c>
      <c r="AF873" s="4">
        <v>8</v>
      </c>
      <c r="AG873" s="4">
        <v>18</v>
      </c>
      <c r="AH873" s="4">
        <v>3</v>
      </c>
      <c r="AI873" s="4">
        <v>8</v>
      </c>
      <c r="AJ873" s="4">
        <v>7</v>
      </c>
      <c r="AK873" s="4">
        <v>18</v>
      </c>
      <c r="AL873" s="4">
        <v>2</v>
      </c>
      <c r="AM873" s="4">
        <v>8</v>
      </c>
      <c r="AN873" s="4">
        <v>7</v>
      </c>
      <c r="AO873" s="4">
        <v>16</v>
      </c>
      <c r="AP873" s="3" t="s">
        <v>58</v>
      </c>
      <c r="AQ873" s="3" t="s">
        <v>58</v>
      </c>
      <c r="AS873" s="6" t="str">
        <f>HYPERLINK("https://creighton-primo.hosted.exlibrisgroup.com/primo-explore/search?tab=default_tab&amp;search_scope=EVERYTHING&amp;vid=01CRU&amp;lang=en_US&amp;offset=0&amp;query=any,contains,991004936399702656","Catalog Record")</f>
        <v>Catalog Record</v>
      </c>
      <c r="AT873" s="6" t="str">
        <f>HYPERLINK("http://www.worldcat.org/oclc/6143477","WorldCat Record")</f>
        <v>WorldCat Record</v>
      </c>
      <c r="AU873" s="3" t="s">
        <v>11462</v>
      </c>
      <c r="AV873" s="3" t="s">
        <v>11463</v>
      </c>
      <c r="AW873" s="3" t="s">
        <v>11464</v>
      </c>
      <c r="AX873" s="3" t="s">
        <v>11464</v>
      </c>
      <c r="AY873" s="3" t="s">
        <v>11465</v>
      </c>
      <c r="AZ873" s="3" t="s">
        <v>74</v>
      </c>
      <c r="BB873" s="3" t="s">
        <v>11466</v>
      </c>
      <c r="BC873" s="3" t="s">
        <v>11467</v>
      </c>
      <c r="BD873" s="3" t="s">
        <v>11468</v>
      </c>
    </row>
    <row r="874" spans="1:56" ht="45.75" customHeight="1" x14ac:dyDescent="0.25">
      <c r="A874" s="7" t="s">
        <v>58</v>
      </c>
      <c r="B874" s="2" t="s">
        <v>11469</v>
      </c>
      <c r="C874" s="2" t="s">
        <v>11470</v>
      </c>
      <c r="D874" s="2" t="s">
        <v>11471</v>
      </c>
      <c r="F874" s="3" t="s">
        <v>58</v>
      </c>
      <c r="G874" s="3" t="s">
        <v>59</v>
      </c>
      <c r="H874" s="3" t="s">
        <v>58</v>
      </c>
      <c r="I874" s="3" t="s">
        <v>58</v>
      </c>
      <c r="J874" s="3" t="s">
        <v>60</v>
      </c>
      <c r="K874" s="2" t="s">
        <v>11472</v>
      </c>
      <c r="L874" s="2" t="s">
        <v>11473</v>
      </c>
      <c r="M874" s="3" t="s">
        <v>1058</v>
      </c>
      <c r="O874" s="3" t="s">
        <v>65</v>
      </c>
      <c r="P874" s="3" t="s">
        <v>84</v>
      </c>
      <c r="R874" s="3" t="s">
        <v>67</v>
      </c>
      <c r="S874" s="4">
        <v>7</v>
      </c>
      <c r="T874" s="4">
        <v>7</v>
      </c>
      <c r="U874" s="5" t="s">
        <v>11474</v>
      </c>
      <c r="V874" s="5" t="s">
        <v>11474</v>
      </c>
      <c r="W874" s="5" t="s">
        <v>1089</v>
      </c>
      <c r="X874" s="5" t="s">
        <v>1089</v>
      </c>
      <c r="Y874" s="4">
        <v>1117</v>
      </c>
      <c r="Z874" s="4">
        <v>949</v>
      </c>
      <c r="AA874" s="4">
        <v>958</v>
      </c>
      <c r="AB874" s="4">
        <v>4</v>
      </c>
      <c r="AC874" s="4">
        <v>4</v>
      </c>
      <c r="AD874" s="4">
        <v>42</v>
      </c>
      <c r="AE874" s="4">
        <v>42</v>
      </c>
      <c r="AF874" s="4">
        <v>17</v>
      </c>
      <c r="AG874" s="4">
        <v>17</v>
      </c>
      <c r="AH874" s="4">
        <v>7</v>
      </c>
      <c r="AI874" s="4">
        <v>7</v>
      </c>
      <c r="AJ874" s="4">
        <v>18</v>
      </c>
      <c r="AK874" s="4">
        <v>18</v>
      </c>
      <c r="AL874" s="4">
        <v>3</v>
      </c>
      <c r="AM874" s="4">
        <v>3</v>
      </c>
      <c r="AN874" s="4">
        <v>7</v>
      </c>
      <c r="AO874" s="4">
        <v>7</v>
      </c>
      <c r="AP874" s="3" t="s">
        <v>58</v>
      </c>
      <c r="AQ874" s="3" t="s">
        <v>58</v>
      </c>
      <c r="AS874" s="6" t="str">
        <f>HYPERLINK("https://creighton-primo.hosted.exlibrisgroup.com/primo-explore/search?tab=default_tab&amp;search_scope=EVERYTHING&amp;vid=01CRU&amp;lang=en_US&amp;offset=0&amp;query=any,contains,991001327989702656","Catalog Record")</f>
        <v>Catalog Record</v>
      </c>
      <c r="AT874" s="6" t="str">
        <f>HYPERLINK("http://www.worldcat.org/oclc/18291572","WorldCat Record")</f>
        <v>WorldCat Record</v>
      </c>
      <c r="AU874" s="3" t="s">
        <v>11475</v>
      </c>
      <c r="AV874" s="3" t="s">
        <v>11476</v>
      </c>
      <c r="AW874" s="3" t="s">
        <v>11477</v>
      </c>
      <c r="AX874" s="3" t="s">
        <v>11477</v>
      </c>
      <c r="AY874" s="3" t="s">
        <v>11478</v>
      </c>
      <c r="AZ874" s="3" t="s">
        <v>74</v>
      </c>
      <c r="BB874" s="3" t="s">
        <v>11479</v>
      </c>
      <c r="BC874" s="3" t="s">
        <v>11480</v>
      </c>
      <c r="BD874" s="3" t="s">
        <v>11481</v>
      </c>
    </row>
    <row r="875" spans="1:56" ht="45.75" customHeight="1" x14ac:dyDescent="0.25">
      <c r="A875" s="7" t="s">
        <v>58</v>
      </c>
      <c r="B875" s="2" t="s">
        <v>11482</v>
      </c>
      <c r="C875" s="2" t="s">
        <v>11483</v>
      </c>
      <c r="D875" s="2" t="s">
        <v>11484</v>
      </c>
      <c r="F875" s="3" t="s">
        <v>58</v>
      </c>
      <c r="G875" s="3" t="s">
        <v>59</v>
      </c>
      <c r="H875" s="3" t="s">
        <v>58</v>
      </c>
      <c r="I875" s="3" t="s">
        <v>58</v>
      </c>
      <c r="J875" s="3" t="s">
        <v>60</v>
      </c>
      <c r="K875" s="2" t="s">
        <v>11485</v>
      </c>
      <c r="L875" s="2" t="s">
        <v>11486</v>
      </c>
      <c r="M875" s="3" t="s">
        <v>1500</v>
      </c>
      <c r="O875" s="3" t="s">
        <v>65</v>
      </c>
      <c r="P875" s="3" t="s">
        <v>148</v>
      </c>
      <c r="R875" s="3" t="s">
        <v>67</v>
      </c>
      <c r="S875" s="4">
        <v>3</v>
      </c>
      <c r="T875" s="4">
        <v>3</v>
      </c>
      <c r="U875" s="5" t="s">
        <v>773</v>
      </c>
      <c r="V875" s="5" t="s">
        <v>773</v>
      </c>
      <c r="W875" s="5" t="s">
        <v>4070</v>
      </c>
      <c r="X875" s="5" t="s">
        <v>4070</v>
      </c>
      <c r="Y875" s="4">
        <v>634</v>
      </c>
      <c r="Z875" s="4">
        <v>570</v>
      </c>
      <c r="AA875" s="4">
        <v>571</v>
      </c>
      <c r="AB875" s="4">
        <v>5</v>
      </c>
      <c r="AC875" s="4">
        <v>5</v>
      </c>
      <c r="AD875" s="4">
        <v>34</v>
      </c>
      <c r="AE875" s="4">
        <v>34</v>
      </c>
      <c r="AF875" s="4">
        <v>8</v>
      </c>
      <c r="AG875" s="4">
        <v>8</v>
      </c>
      <c r="AH875" s="4">
        <v>6</v>
      </c>
      <c r="AI875" s="4">
        <v>6</v>
      </c>
      <c r="AJ875" s="4">
        <v>9</v>
      </c>
      <c r="AK875" s="4">
        <v>9</v>
      </c>
      <c r="AL875" s="4">
        <v>4</v>
      </c>
      <c r="AM875" s="4">
        <v>4</v>
      </c>
      <c r="AN875" s="4">
        <v>11</v>
      </c>
      <c r="AO875" s="4">
        <v>11</v>
      </c>
      <c r="AP875" s="3" t="s">
        <v>58</v>
      </c>
      <c r="AQ875" s="3" t="s">
        <v>58</v>
      </c>
      <c r="AS875" s="6" t="str">
        <f>HYPERLINK("https://creighton-primo.hosted.exlibrisgroup.com/primo-explore/search?tab=default_tab&amp;search_scope=EVERYTHING&amp;vid=01CRU&amp;lang=en_US&amp;offset=0&amp;query=any,contains,991004937339702656","Catalog Record")</f>
        <v>Catalog Record</v>
      </c>
      <c r="AT875" s="6" t="str">
        <f>HYPERLINK("http://www.worldcat.org/oclc/6144034","WorldCat Record")</f>
        <v>WorldCat Record</v>
      </c>
      <c r="AU875" s="3" t="s">
        <v>11487</v>
      </c>
      <c r="AV875" s="3" t="s">
        <v>11488</v>
      </c>
      <c r="AW875" s="3" t="s">
        <v>11489</v>
      </c>
      <c r="AX875" s="3" t="s">
        <v>11489</v>
      </c>
      <c r="AY875" s="3" t="s">
        <v>11490</v>
      </c>
      <c r="AZ875" s="3" t="s">
        <v>74</v>
      </c>
      <c r="BB875" s="3" t="s">
        <v>11491</v>
      </c>
      <c r="BC875" s="3" t="s">
        <v>11492</v>
      </c>
      <c r="BD875" s="3" t="s">
        <v>11493</v>
      </c>
    </row>
    <row r="876" spans="1:56" ht="45.75" customHeight="1" x14ac:dyDescent="0.25">
      <c r="A876" s="7" t="s">
        <v>58</v>
      </c>
      <c r="B876" s="2" t="s">
        <v>11494</v>
      </c>
      <c r="C876" s="2" t="s">
        <v>11495</v>
      </c>
      <c r="D876" s="2" t="s">
        <v>11496</v>
      </c>
      <c r="F876" s="3" t="s">
        <v>58</v>
      </c>
      <c r="G876" s="3" t="s">
        <v>59</v>
      </c>
      <c r="H876" s="3" t="s">
        <v>58</v>
      </c>
      <c r="I876" s="3" t="s">
        <v>58</v>
      </c>
      <c r="J876" s="3" t="s">
        <v>60</v>
      </c>
      <c r="K876" s="2" t="s">
        <v>11497</v>
      </c>
      <c r="L876" s="2" t="s">
        <v>11498</v>
      </c>
      <c r="M876" s="3" t="s">
        <v>2324</v>
      </c>
      <c r="O876" s="3" t="s">
        <v>65</v>
      </c>
      <c r="P876" s="3" t="s">
        <v>84</v>
      </c>
      <c r="R876" s="3" t="s">
        <v>67</v>
      </c>
      <c r="S876" s="4">
        <v>8</v>
      </c>
      <c r="T876" s="4">
        <v>8</v>
      </c>
      <c r="U876" s="5" t="s">
        <v>11424</v>
      </c>
      <c r="V876" s="5" t="s">
        <v>11424</v>
      </c>
      <c r="W876" s="5" t="s">
        <v>11499</v>
      </c>
      <c r="X876" s="5" t="s">
        <v>11499</v>
      </c>
      <c r="Y876" s="4">
        <v>372</v>
      </c>
      <c r="Z876" s="4">
        <v>335</v>
      </c>
      <c r="AA876" s="4">
        <v>388</v>
      </c>
      <c r="AB876" s="4">
        <v>3</v>
      </c>
      <c r="AC876" s="4">
        <v>3</v>
      </c>
      <c r="AD876" s="4">
        <v>20</v>
      </c>
      <c r="AE876" s="4">
        <v>22</v>
      </c>
      <c r="AF876" s="4">
        <v>8</v>
      </c>
      <c r="AG876" s="4">
        <v>8</v>
      </c>
      <c r="AH876" s="4">
        <v>3</v>
      </c>
      <c r="AI876" s="4">
        <v>4</v>
      </c>
      <c r="AJ876" s="4">
        <v>7</v>
      </c>
      <c r="AK876" s="4">
        <v>9</v>
      </c>
      <c r="AL876" s="4">
        <v>1</v>
      </c>
      <c r="AM876" s="4">
        <v>1</v>
      </c>
      <c r="AN876" s="4">
        <v>5</v>
      </c>
      <c r="AO876" s="4">
        <v>5</v>
      </c>
      <c r="AP876" s="3" t="s">
        <v>58</v>
      </c>
      <c r="AQ876" s="3" t="s">
        <v>58</v>
      </c>
      <c r="AS876" s="6" t="str">
        <f>HYPERLINK("https://creighton-primo.hosted.exlibrisgroup.com/primo-explore/search?tab=default_tab&amp;search_scope=EVERYTHING&amp;vid=01CRU&amp;lang=en_US&amp;offset=0&amp;query=any,contains,991005242759702656","Catalog Record")</f>
        <v>Catalog Record</v>
      </c>
      <c r="AT876" s="6" t="str">
        <f>HYPERLINK("http://www.worldcat.org/oclc/8431334","WorldCat Record")</f>
        <v>WorldCat Record</v>
      </c>
      <c r="AU876" s="3" t="s">
        <v>11500</v>
      </c>
      <c r="AV876" s="3" t="s">
        <v>11501</v>
      </c>
      <c r="AW876" s="3" t="s">
        <v>11502</v>
      </c>
      <c r="AX876" s="3" t="s">
        <v>11502</v>
      </c>
      <c r="AY876" s="3" t="s">
        <v>11503</v>
      </c>
      <c r="AZ876" s="3" t="s">
        <v>74</v>
      </c>
      <c r="BB876" s="3" t="s">
        <v>11504</v>
      </c>
      <c r="BC876" s="3" t="s">
        <v>11505</v>
      </c>
      <c r="BD876" s="3" t="s">
        <v>11506</v>
      </c>
    </row>
    <row r="877" spans="1:56" ht="45.75" customHeight="1" x14ac:dyDescent="0.25">
      <c r="A877" s="7" t="s">
        <v>58</v>
      </c>
      <c r="B877" s="2" t="s">
        <v>11507</v>
      </c>
      <c r="C877" s="2" t="s">
        <v>11508</v>
      </c>
      <c r="D877" s="2" t="s">
        <v>11509</v>
      </c>
      <c r="F877" s="3" t="s">
        <v>58</v>
      </c>
      <c r="G877" s="3" t="s">
        <v>59</v>
      </c>
      <c r="H877" s="3" t="s">
        <v>58</v>
      </c>
      <c r="I877" s="3" t="s">
        <v>58</v>
      </c>
      <c r="J877" s="3" t="s">
        <v>60</v>
      </c>
      <c r="L877" s="2" t="s">
        <v>11510</v>
      </c>
      <c r="M877" s="3" t="s">
        <v>923</v>
      </c>
      <c r="O877" s="3" t="s">
        <v>65</v>
      </c>
      <c r="P877" s="3" t="s">
        <v>336</v>
      </c>
      <c r="R877" s="3" t="s">
        <v>67</v>
      </c>
      <c r="S877" s="4">
        <v>17</v>
      </c>
      <c r="T877" s="4">
        <v>17</v>
      </c>
      <c r="U877" s="5" t="s">
        <v>11511</v>
      </c>
      <c r="V877" s="5" t="s">
        <v>11511</v>
      </c>
      <c r="W877" s="5" t="s">
        <v>11348</v>
      </c>
      <c r="X877" s="5" t="s">
        <v>11348</v>
      </c>
      <c r="Y877" s="4">
        <v>374</v>
      </c>
      <c r="Z877" s="4">
        <v>331</v>
      </c>
      <c r="AA877" s="4">
        <v>344</v>
      </c>
      <c r="AB877" s="4">
        <v>5</v>
      </c>
      <c r="AC877" s="4">
        <v>5</v>
      </c>
      <c r="AD877" s="4">
        <v>19</v>
      </c>
      <c r="AE877" s="4">
        <v>19</v>
      </c>
      <c r="AF877" s="4">
        <v>4</v>
      </c>
      <c r="AG877" s="4">
        <v>4</v>
      </c>
      <c r="AH877" s="4">
        <v>2</v>
      </c>
      <c r="AI877" s="4">
        <v>2</v>
      </c>
      <c r="AJ877" s="4">
        <v>5</v>
      </c>
      <c r="AK877" s="4">
        <v>5</v>
      </c>
      <c r="AL877" s="4">
        <v>4</v>
      </c>
      <c r="AM877" s="4">
        <v>4</v>
      </c>
      <c r="AN877" s="4">
        <v>6</v>
      </c>
      <c r="AO877" s="4">
        <v>6</v>
      </c>
      <c r="AP877" s="3" t="s">
        <v>58</v>
      </c>
      <c r="AQ877" s="3" t="s">
        <v>87</v>
      </c>
      <c r="AR877" s="6" t="str">
        <f>HYPERLINK("http://catalog.hathitrust.org/Record/000232765","HathiTrust Record")</f>
        <v>HathiTrust Record</v>
      </c>
      <c r="AS877" s="6" t="str">
        <f>HYPERLINK("https://creighton-primo.hosted.exlibrisgroup.com/primo-explore/search?tab=default_tab&amp;search_scope=EVERYTHING&amp;vid=01CRU&amp;lang=en_US&amp;offset=0&amp;query=any,contains,991005139869702656","Catalog Record")</f>
        <v>Catalog Record</v>
      </c>
      <c r="AT877" s="6" t="str">
        <f>HYPERLINK("http://www.worldcat.org/oclc/7597629","WorldCat Record")</f>
        <v>WorldCat Record</v>
      </c>
      <c r="AU877" s="3" t="s">
        <v>11512</v>
      </c>
      <c r="AV877" s="3" t="s">
        <v>11513</v>
      </c>
      <c r="AW877" s="3" t="s">
        <v>11514</v>
      </c>
      <c r="AX877" s="3" t="s">
        <v>11514</v>
      </c>
      <c r="AY877" s="3" t="s">
        <v>11515</v>
      </c>
      <c r="AZ877" s="3" t="s">
        <v>74</v>
      </c>
      <c r="BB877" s="3" t="s">
        <v>11516</v>
      </c>
      <c r="BC877" s="3" t="s">
        <v>11517</v>
      </c>
      <c r="BD877" s="3" t="s">
        <v>11518</v>
      </c>
    </row>
    <row r="878" spans="1:56" ht="45.75" customHeight="1" x14ac:dyDescent="0.25">
      <c r="A878" s="7" t="s">
        <v>58</v>
      </c>
      <c r="B878" s="2" t="s">
        <v>11519</v>
      </c>
      <c r="C878" s="2" t="s">
        <v>11520</v>
      </c>
      <c r="D878" s="2" t="s">
        <v>11521</v>
      </c>
      <c r="F878" s="3" t="s">
        <v>58</v>
      </c>
      <c r="G878" s="3" t="s">
        <v>59</v>
      </c>
      <c r="H878" s="3" t="s">
        <v>58</v>
      </c>
      <c r="I878" s="3" t="s">
        <v>58</v>
      </c>
      <c r="J878" s="3" t="s">
        <v>60</v>
      </c>
      <c r="K878" s="2" t="s">
        <v>11522</v>
      </c>
      <c r="L878" s="2" t="s">
        <v>11523</v>
      </c>
      <c r="M878" s="3" t="s">
        <v>528</v>
      </c>
      <c r="O878" s="3" t="s">
        <v>65</v>
      </c>
      <c r="P878" s="3" t="s">
        <v>84</v>
      </c>
      <c r="R878" s="3" t="s">
        <v>67</v>
      </c>
      <c r="S878" s="4">
        <v>5</v>
      </c>
      <c r="T878" s="4">
        <v>5</v>
      </c>
      <c r="U878" s="5" t="s">
        <v>11524</v>
      </c>
      <c r="V878" s="5" t="s">
        <v>11524</v>
      </c>
      <c r="W878" s="5" t="s">
        <v>11525</v>
      </c>
      <c r="X878" s="5" t="s">
        <v>11525</v>
      </c>
      <c r="Y878" s="4">
        <v>894</v>
      </c>
      <c r="Z878" s="4">
        <v>820</v>
      </c>
      <c r="AA878" s="4">
        <v>937</v>
      </c>
      <c r="AB878" s="4">
        <v>5</v>
      </c>
      <c r="AC878" s="4">
        <v>7</v>
      </c>
      <c r="AD878" s="4">
        <v>35</v>
      </c>
      <c r="AE878" s="4">
        <v>42</v>
      </c>
      <c r="AF878" s="4">
        <v>12</v>
      </c>
      <c r="AG878" s="4">
        <v>15</v>
      </c>
      <c r="AH878" s="4">
        <v>8</v>
      </c>
      <c r="AI878" s="4">
        <v>9</v>
      </c>
      <c r="AJ878" s="4">
        <v>18</v>
      </c>
      <c r="AK878" s="4">
        <v>19</v>
      </c>
      <c r="AL878" s="4">
        <v>4</v>
      </c>
      <c r="AM878" s="4">
        <v>6</v>
      </c>
      <c r="AN878" s="4">
        <v>3</v>
      </c>
      <c r="AO878" s="4">
        <v>3</v>
      </c>
      <c r="AP878" s="3" t="s">
        <v>58</v>
      </c>
      <c r="AQ878" s="3" t="s">
        <v>58</v>
      </c>
      <c r="AS878" s="6" t="str">
        <f>HYPERLINK("https://creighton-primo.hosted.exlibrisgroup.com/primo-explore/search?tab=default_tab&amp;search_scope=EVERYTHING&amp;vid=01CRU&amp;lang=en_US&amp;offset=0&amp;query=any,contains,991001677949702656","Catalog Record")</f>
        <v>Catalog Record</v>
      </c>
      <c r="AT878" s="6" t="str">
        <f>HYPERLINK("http://www.worldcat.org/oclc/21334519","WorldCat Record")</f>
        <v>WorldCat Record</v>
      </c>
      <c r="AU878" s="3" t="s">
        <v>11526</v>
      </c>
      <c r="AV878" s="3" t="s">
        <v>11527</v>
      </c>
      <c r="AW878" s="3" t="s">
        <v>11528</v>
      </c>
      <c r="AX878" s="3" t="s">
        <v>11528</v>
      </c>
      <c r="AY878" s="3" t="s">
        <v>11529</v>
      </c>
      <c r="AZ878" s="3" t="s">
        <v>74</v>
      </c>
      <c r="BB878" s="3" t="s">
        <v>11530</v>
      </c>
      <c r="BC878" s="3" t="s">
        <v>11531</v>
      </c>
      <c r="BD878" s="3" t="s">
        <v>11532</v>
      </c>
    </row>
    <row r="879" spans="1:56" ht="45.75" customHeight="1" x14ac:dyDescent="0.25">
      <c r="A879" s="7" t="s">
        <v>58</v>
      </c>
      <c r="B879" s="2" t="s">
        <v>11533</v>
      </c>
      <c r="C879" s="2" t="s">
        <v>11534</v>
      </c>
      <c r="D879" s="2" t="s">
        <v>11535</v>
      </c>
      <c r="F879" s="3" t="s">
        <v>58</v>
      </c>
      <c r="G879" s="3" t="s">
        <v>59</v>
      </c>
      <c r="H879" s="3" t="s">
        <v>58</v>
      </c>
      <c r="I879" s="3" t="s">
        <v>58</v>
      </c>
      <c r="J879" s="3" t="s">
        <v>60</v>
      </c>
      <c r="K879" s="2" t="s">
        <v>11536</v>
      </c>
      <c r="L879" s="2" t="s">
        <v>11537</v>
      </c>
      <c r="M879" s="3" t="s">
        <v>147</v>
      </c>
      <c r="O879" s="3" t="s">
        <v>65</v>
      </c>
      <c r="P879" s="3" t="s">
        <v>190</v>
      </c>
      <c r="R879" s="3" t="s">
        <v>67</v>
      </c>
      <c r="S879" s="4">
        <v>2</v>
      </c>
      <c r="T879" s="4">
        <v>2</v>
      </c>
      <c r="U879" s="5" t="s">
        <v>11538</v>
      </c>
      <c r="V879" s="5" t="s">
        <v>11538</v>
      </c>
      <c r="W879" s="5" t="s">
        <v>11538</v>
      </c>
      <c r="X879" s="5" t="s">
        <v>11538</v>
      </c>
      <c r="Y879" s="4">
        <v>688</v>
      </c>
      <c r="Z879" s="4">
        <v>629</v>
      </c>
      <c r="AA879" s="4">
        <v>672</v>
      </c>
      <c r="AB879" s="4">
        <v>4</v>
      </c>
      <c r="AC879" s="4">
        <v>4</v>
      </c>
      <c r="AD879" s="4">
        <v>26</v>
      </c>
      <c r="AE879" s="4">
        <v>27</v>
      </c>
      <c r="AF879" s="4">
        <v>13</v>
      </c>
      <c r="AG879" s="4">
        <v>13</v>
      </c>
      <c r="AH879" s="4">
        <v>6</v>
      </c>
      <c r="AI879" s="4">
        <v>6</v>
      </c>
      <c r="AJ879" s="4">
        <v>12</v>
      </c>
      <c r="AK879" s="4">
        <v>13</v>
      </c>
      <c r="AL879" s="4">
        <v>3</v>
      </c>
      <c r="AM879" s="4">
        <v>3</v>
      </c>
      <c r="AN879" s="4">
        <v>0</v>
      </c>
      <c r="AO879" s="4">
        <v>0</v>
      </c>
      <c r="AP879" s="3" t="s">
        <v>58</v>
      </c>
      <c r="AQ879" s="3" t="s">
        <v>58</v>
      </c>
      <c r="AS879" s="6" t="str">
        <f>HYPERLINK("https://creighton-primo.hosted.exlibrisgroup.com/primo-explore/search?tab=default_tab&amp;search_scope=EVERYTHING&amp;vid=01CRU&amp;lang=en_US&amp;offset=0&amp;query=any,contains,991004716939702656","Catalog Record")</f>
        <v>Catalog Record</v>
      </c>
      <c r="AT879" s="6" t="str">
        <f>HYPERLINK("http://www.worldcat.org/oclc/54529025","WorldCat Record")</f>
        <v>WorldCat Record</v>
      </c>
      <c r="AU879" s="3" t="s">
        <v>11539</v>
      </c>
      <c r="AV879" s="3" t="s">
        <v>11540</v>
      </c>
      <c r="AW879" s="3" t="s">
        <v>11541</v>
      </c>
      <c r="AX879" s="3" t="s">
        <v>11541</v>
      </c>
      <c r="AY879" s="3" t="s">
        <v>11542</v>
      </c>
      <c r="AZ879" s="3" t="s">
        <v>74</v>
      </c>
      <c r="BB879" s="3" t="s">
        <v>11543</v>
      </c>
      <c r="BC879" s="3" t="s">
        <v>11544</v>
      </c>
      <c r="BD879" s="3" t="s">
        <v>11545</v>
      </c>
    </row>
    <row r="880" spans="1:56" ht="45.75" customHeight="1" x14ac:dyDescent="0.25">
      <c r="A880" s="7" t="s">
        <v>58</v>
      </c>
      <c r="B880" s="2" t="s">
        <v>11546</v>
      </c>
      <c r="C880" s="2" t="s">
        <v>11547</v>
      </c>
      <c r="D880" s="2" t="s">
        <v>11548</v>
      </c>
      <c r="F880" s="3" t="s">
        <v>58</v>
      </c>
      <c r="G880" s="3" t="s">
        <v>59</v>
      </c>
      <c r="H880" s="3" t="s">
        <v>58</v>
      </c>
      <c r="I880" s="3" t="s">
        <v>58</v>
      </c>
      <c r="J880" s="3" t="s">
        <v>60</v>
      </c>
      <c r="L880" s="2" t="s">
        <v>5777</v>
      </c>
      <c r="M880" s="3" t="s">
        <v>742</v>
      </c>
      <c r="O880" s="3" t="s">
        <v>65</v>
      </c>
      <c r="P880" s="3" t="s">
        <v>132</v>
      </c>
      <c r="Q880" s="2" t="s">
        <v>11549</v>
      </c>
      <c r="R880" s="3" t="s">
        <v>67</v>
      </c>
      <c r="S880" s="4">
        <v>15</v>
      </c>
      <c r="T880" s="4">
        <v>15</v>
      </c>
      <c r="U880" s="5" t="s">
        <v>11374</v>
      </c>
      <c r="V880" s="5" t="s">
        <v>11374</v>
      </c>
      <c r="W880" s="5" t="s">
        <v>11550</v>
      </c>
      <c r="X880" s="5" t="s">
        <v>11550</v>
      </c>
      <c r="Y880" s="4">
        <v>492</v>
      </c>
      <c r="Z880" s="4">
        <v>399</v>
      </c>
      <c r="AA880" s="4">
        <v>408</v>
      </c>
      <c r="AB880" s="4">
        <v>5</v>
      </c>
      <c r="AC880" s="4">
        <v>5</v>
      </c>
      <c r="AD880" s="4">
        <v>17</v>
      </c>
      <c r="AE880" s="4">
        <v>17</v>
      </c>
      <c r="AF880" s="4">
        <v>4</v>
      </c>
      <c r="AG880" s="4">
        <v>4</v>
      </c>
      <c r="AH880" s="4">
        <v>3</v>
      </c>
      <c r="AI880" s="4">
        <v>3</v>
      </c>
      <c r="AJ880" s="4">
        <v>7</v>
      </c>
      <c r="AK880" s="4">
        <v>7</v>
      </c>
      <c r="AL880" s="4">
        <v>4</v>
      </c>
      <c r="AM880" s="4">
        <v>4</v>
      </c>
      <c r="AN880" s="4">
        <v>3</v>
      </c>
      <c r="AO880" s="4">
        <v>3</v>
      </c>
      <c r="AP880" s="3" t="s">
        <v>58</v>
      </c>
      <c r="AQ880" s="3" t="s">
        <v>87</v>
      </c>
      <c r="AR880" s="6" t="str">
        <f>HYPERLINK("http://catalog.hathitrust.org/Record/004414784","HathiTrust Record")</f>
        <v>HathiTrust Record</v>
      </c>
      <c r="AS880" s="6" t="str">
        <f>HYPERLINK("https://creighton-primo.hosted.exlibrisgroup.com/primo-explore/search?tab=default_tab&amp;search_scope=EVERYTHING&amp;vid=01CRU&amp;lang=en_US&amp;offset=0&amp;query=any,contains,991001323209702656","Catalog Record")</f>
        <v>Catalog Record</v>
      </c>
      <c r="AT880" s="6" t="str">
        <f>HYPERLINK("http://www.worldcat.org/oclc/18256280","WorldCat Record")</f>
        <v>WorldCat Record</v>
      </c>
      <c r="AU880" s="3" t="s">
        <v>11551</v>
      </c>
      <c r="AV880" s="3" t="s">
        <v>11552</v>
      </c>
      <c r="AW880" s="3" t="s">
        <v>11553</v>
      </c>
      <c r="AX880" s="3" t="s">
        <v>11553</v>
      </c>
      <c r="AY880" s="3" t="s">
        <v>11554</v>
      </c>
      <c r="AZ880" s="3" t="s">
        <v>74</v>
      </c>
      <c r="BB880" s="3" t="s">
        <v>11555</v>
      </c>
      <c r="BC880" s="3" t="s">
        <v>11556</v>
      </c>
      <c r="BD880" s="3" t="s">
        <v>11557</v>
      </c>
    </row>
    <row r="881" spans="1:56" ht="45.75" customHeight="1" x14ac:dyDescent="0.25">
      <c r="A881" s="7" t="s">
        <v>58</v>
      </c>
      <c r="B881" s="2" t="s">
        <v>11558</v>
      </c>
      <c r="C881" s="2" t="s">
        <v>11559</v>
      </c>
      <c r="D881" s="2" t="s">
        <v>11560</v>
      </c>
      <c r="F881" s="3" t="s">
        <v>58</v>
      </c>
      <c r="G881" s="3" t="s">
        <v>59</v>
      </c>
      <c r="H881" s="3" t="s">
        <v>58</v>
      </c>
      <c r="I881" s="3" t="s">
        <v>58</v>
      </c>
      <c r="J881" s="3" t="s">
        <v>60</v>
      </c>
      <c r="K881" s="2" t="s">
        <v>3888</v>
      </c>
      <c r="L881" s="2" t="s">
        <v>11561</v>
      </c>
      <c r="M881" s="3" t="s">
        <v>2324</v>
      </c>
      <c r="O881" s="3" t="s">
        <v>65</v>
      </c>
      <c r="P881" s="3" t="s">
        <v>84</v>
      </c>
      <c r="R881" s="3" t="s">
        <v>67</v>
      </c>
      <c r="S881" s="4">
        <v>13</v>
      </c>
      <c r="T881" s="4">
        <v>13</v>
      </c>
      <c r="U881" s="5" t="s">
        <v>11562</v>
      </c>
      <c r="V881" s="5" t="s">
        <v>11562</v>
      </c>
      <c r="W881" s="5" t="s">
        <v>11348</v>
      </c>
      <c r="X881" s="5" t="s">
        <v>11348</v>
      </c>
      <c r="Y881" s="4">
        <v>918</v>
      </c>
      <c r="Z881" s="4">
        <v>812</v>
      </c>
      <c r="AA881" s="4">
        <v>821</v>
      </c>
      <c r="AB881" s="4">
        <v>7</v>
      </c>
      <c r="AC881" s="4">
        <v>7</v>
      </c>
      <c r="AD881" s="4">
        <v>47</v>
      </c>
      <c r="AE881" s="4">
        <v>47</v>
      </c>
      <c r="AF881" s="4">
        <v>18</v>
      </c>
      <c r="AG881" s="4">
        <v>18</v>
      </c>
      <c r="AH881" s="4">
        <v>8</v>
      </c>
      <c r="AI881" s="4">
        <v>8</v>
      </c>
      <c r="AJ881" s="4">
        <v>17</v>
      </c>
      <c r="AK881" s="4">
        <v>17</v>
      </c>
      <c r="AL881" s="4">
        <v>5</v>
      </c>
      <c r="AM881" s="4">
        <v>5</v>
      </c>
      <c r="AN881" s="4">
        <v>9</v>
      </c>
      <c r="AO881" s="4">
        <v>9</v>
      </c>
      <c r="AP881" s="3" t="s">
        <v>58</v>
      </c>
      <c r="AQ881" s="3" t="s">
        <v>58</v>
      </c>
      <c r="AS881" s="6" t="str">
        <f>HYPERLINK("https://creighton-primo.hosted.exlibrisgroup.com/primo-explore/search?tab=default_tab&amp;search_scope=EVERYTHING&amp;vid=01CRU&amp;lang=en_US&amp;offset=0&amp;query=any,contains,991000164529702656","Catalog Record")</f>
        <v>Catalog Record</v>
      </c>
      <c r="AT881" s="6" t="str">
        <f>HYPERLINK("http://www.worldcat.org/oclc/9282412","WorldCat Record")</f>
        <v>WorldCat Record</v>
      </c>
      <c r="AU881" s="3" t="s">
        <v>11563</v>
      </c>
      <c r="AV881" s="3" t="s">
        <v>11564</v>
      </c>
      <c r="AW881" s="3" t="s">
        <v>11565</v>
      </c>
      <c r="AX881" s="3" t="s">
        <v>11565</v>
      </c>
      <c r="AY881" s="3" t="s">
        <v>11566</v>
      </c>
      <c r="AZ881" s="3" t="s">
        <v>74</v>
      </c>
      <c r="BB881" s="3" t="s">
        <v>11567</v>
      </c>
      <c r="BC881" s="3" t="s">
        <v>11568</v>
      </c>
      <c r="BD881" s="3" t="s">
        <v>11569</v>
      </c>
    </row>
    <row r="882" spans="1:56" ht="45.75" customHeight="1" x14ac:dyDescent="0.25">
      <c r="A882" s="7" t="s">
        <v>58</v>
      </c>
      <c r="B882" s="2" t="s">
        <v>11570</v>
      </c>
      <c r="C882" s="2" t="s">
        <v>11571</v>
      </c>
      <c r="D882" s="2" t="s">
        <v>11572</v>
      </c>
      <c r="F882" s="3" t="s">
        <v>58</v>
      </c>
      <c r="G882" s="3" t="s">
        <v>59</v>
      </c>
      <c r="H882" s="3" t="s">
        <v>58</v>
      </c>
      <c r="I882" s="3" t="s">
        <v>58</v>
      </c>
      <c r="J882" s="3" t="s">
        <v>60</v>
      </c>
      <c r="K882" s="2" t="s">
        <v>11573</v>
      </c>
      <c r="L882" s="2" t="s">
        <v>8421</v>
      </c>
      <c r="M882" s="3" t="s">
        <v>131</v>
      </c>
      <c r="N882" s="2" t="s">
        <v>543</v>
      </c>
      <c r="O882" s="3" t="s">
        <v>65</v>
      </c>
      <c r="P882" s="3" t="s">
        <v>84</v>
      </c>
      <c r="R882" s="3" t="s">
        <v>67</v>
      </c>
      <c r="S882" s="4">
        <v>4</v>
      </c>
      <c r="T882" s="4">
        <v>4</v>
      </c>
      <c r="U882" s="5" t="s">
        <v>11574</v>
      </c>
      <c r="V882" s="5" t="s">
        <v>11574</v>
      </c>
      <c r="W882" s="5" t="s">
        <v>10319</v>
      </c>
      <c r="X882" s="5" t="s">
        <v>10319</v>
      </c>
      <c r="Y882" s="4">
        <v>1125</v>
      </c>
      <c r="Z882" s="4">
        <v>1087</v>
      </c>
      <c r="AA882" s="4">
        <v>1171</v>
      </c>
      <c r="AB882" s="4">
        <v>9</v>
      </c>
      <c r="AC882" s="4">
        <v>9</v>
      </c>
      <c r="AD882" s="4">
        <v>13</v>
      </c>
      <c r="AE882" s="4">
        <v>13</v>
      </c>
      <c r="AF882" s="4">
        <v>4</v>
      </c>
      <c r="AG882" s="4">
        <v>4</v>
      </c>
      <c r="AH882" s="4">
        <v>3</v>
      </c>
      <c r="AI882" s="4">
        <v>3</v>
      </c>
      <c r="AJ882" s="4">
        <v>6</v>
      </c>
      <c r="AK882" s="4">
        <v>6</v>
      </c>
      <c r="AL882" s="4">
        <v>3</v>
      </c>
      <c r="AM882" s="4">
        <v>3</v>
      </c>
      <c r="AN882" s="4">
        <v>0</v>
      </c>
      <c r="AO882" s="4">
        <v>0</v>
      </c>
      <c r="AP882" s="3" t="s">
        <v>58</v>
      </c>
      <c r="AQ882" s="3" t="s">
        <v>58</v>
      </c>
      <c r="AS882" s="6" t="str">
        <f>HYPERLINK("https://creighton-primo.hosted.exlibrisgroup.com/primo-explore/search?tab=default_tab&amp;search_scope=EVERYTHING&amp;vid=01CRU&amp;lang=en_US&amp;offset=0&amp;query=any,contains,991004834069702656","Catalog Record")</f>
        <v>Catalog Record</v>
      </c>
      <c r="AT882" s="6" t="str">
        <f>HYPERLINK("http://www.worldcat.org/oclc/65186350","WorldCat Record")</f>
        <v>WorldCat Record</v>
      </c>
      <c r="AU882" s="3" t="s">
        <v>11575</v>
      </c>
      <c r="AV882" s="3" t="s">
        <v>11576</v>
      </c>
      <c r="AW882" s="3" t="s">
        <v>11577</v>
      </c>
      <c r="AX882" s="3" t="s">
        <v>11577</v>
      </c>
      <c r="AY882" s="3" t="s">
        <v>11578</v>
      </c>
      <c r="AZ882" s="3" t="s">
        <v>74</v>
      </c>
      <c r="BB882" s="3" t="s">
        <v>11579</v>
      </c>
      <c r="BC882" s="3" t="s">
        <v>11580</v>
      </c>
      <c r="BD882" s="3" t="s">
        <v>11581</v>
      </c>
    </row>
    <row r="883" spans="1:56" ht="45.75" customHeight="1" x14ac:dyDescent="0.25">
      <c r="A883" s="7" t="s">
        <v>58</v>
      </c>
      <c r="B883" s="2" t="s">
        <v>11582</v>
      </c>
      <c r="C883" s="2" t="s">
        <v>11583</v>
      </c>
      <c r="D883" s="2" t="s">
        <v>11584</v>
      </c>
      <c r="F883" s="3" t="s">
        <v>58</v>
      </c>
      <c r="G883" s="3" t="s">
        <v>59</v>
      </c>
      <c r="H883" s="3" t="s">
        <v>58</v>
      </c>
      <c r="I883" s="3" t="s">
        <v>58</v>
      </c>
      <c r="J883" s="3" t="s">
        <v>60</v>
      </c>
      <c r="K883" s="2" t="s">
        <v>11585</v>
      </c>
      <c r="L883" s="2" t="s">
        <v>11586</v>
      </c>
      <c r="M883" s="3" t="s">
        <v>2506</v>
      </c>
      <c r="O883" s="3" t="s">
        <v>65</v>
      </c>
      <c r="P883" s="3" t="s">
        <v>84</v>
      </c>
      <c r="R883" s="3" t="s">
        <v>67</v>
      </c>
      <c r="S883" s="4">
        <v>20</v>
      </c>
      <c r="T883" s="4">
        <v>20</v>
      </c>
      <c r="U883" s="5" t="s">
        <v>10569</v>
      </c>
      <c r="V883" s="5" t="s">
        <v>10569</v>
      </c>
      <c r="W883" s="5" t="s">
        <v>11587</v>
      </c>
      <c r="X883" s="5" t="s">
        <v>11587</v>
      </c>
      <c r="Y883" s="4">
        <v>200</v>
      </c>
      <c r="Z883" s="4">
        <v>194</v>
      </c>
      <c r="AA883" s="4">
        <v>319</v>
      </c>
      <c r="AB883" s="4">
        <v>3</v>
      </c>
      <c r="AC883" s="4">
        <v>4</v>
      </c>
      <c r="AD883" s="4">
        <v>3</v>
      </c>
      <c r="AE883" s="4">
        <v>10</v>
      </c>
      <c r="AF883" s="4">
        <v>0</v>
      </c>
      <c r="AG883" s="4">
        <v>2</v>
      </c>
      <c r="AH883" s="4">
        <v>2</v>
      </c>
      <c r="AI883" s="4">
        <v>5</v>
      </c>
      <c r="AJ883" s="4">
        <v>1</v>
      </c>
      <c r="AK883" s="4">
        <v>5</v>
      </c>
      <c r="AL883" s="4">
        <v>1</v>
      </c>
      <c r="AM883" s="4">
        <v>1</v>
      </c>
      <c r="AN883" s="4">
        <v>0</v>
      </c>
      <c r="AO883" s="4">
        <v>0</v>
      </c>
      <c r="AP883" s="3" t="s">
        <v>58</v>
      </c>
      <c r="AQ883" s="3" t="s">
        <v>87</v>
      </c>
      <c r="AR883" s="6" t="str">
        <f>HYPERLINK("http://catalog.hathitrust.org/Record/011239032","HathiTrust Record")</f>
        <v>HathiTrust Record</v>
      </c>
      <c r="AS883" s="6" t="str">
        <f>HYPERLINK("https://creighton-primo.hosted.exlibrisgroup.com/primo-explore/search?tab=default_tab&amp;search_scope=EVERYTHING&amp;vid=01CRU&amp;lang=en_US&amp;offset=0&amp;query=any,contains,991000512459702656","Catalog Record")</f>
        <v>Catalog Record</v>
      </c>
      <c r="AT883" s="6" t="str">
        <f>HYPERLINK("http://www.worldcat.org/oclc/83980","WorldCat Record")</f>
        <v>WorldCat Record</v>
      </c>
      <c r="AU883" s="3" t="s">
        <v>11588</v>
      </c>
      <c r="AV883" s="3" t="s">
        <v>11589</v>
      </c>
      <c r="AW883" s="3" t="s">
        <v>11590</v>
      </c>
      <c r="AX883" s="3" t="s">
        <v>11590</v>
      </c>
      <c r="AY883" s="3" t="s">
        <v>11591</v>
      </c>
      <c r="AZ883" s="3" t="s">
        <v>74</v>
      </c>
      <c r="BB883" s="3" t="s">
        <v>11592</v>
      </c>
      <c r="BC883" s="3" t="s">
        <v>11593</v>
      </c>
      <c r="BD883" s="3" t="s">
        <v>11594</v>
      </c>
    </row>
    <row r="884" spans="1:56" ht="45.75" customHeight="1" x14ac:dyDescent="0.25">
      <c r="A884" s="7" t="s">
        <v>58</v>
      </c>
      <c r="B884" s="2" t="s">
        <v>11595</v>
      </c>
      <c r="C884" s="2" t="s">
        <v>11596</v>
      </c>
      <c r="D884" s="2" t="s">
        <v>11597</v>
      </c>
      <c r="F884" s="3" t="s">
        <v>58</v>
      </c>
      <c r="G884" s="3" t="s">
        <v>59</v>
      </c>
      <c r="H884" s="3" t="s">
        <v>58</v>
      </c>
      <c r="I884" s="3" t="s">
        <v>58</v>
      </c>
      <c r="J884" s="3" t="s">
        <v>60</v>
      </c>
      <c r="K884" s="2" t="s">
        <v>11598</v>
      </c>
      <c r="L884" s="2" t="s">
        <v>11599</v>
      </c>
      <c r="M884" s="3" t="s">
        <v>203</v>
      </c>
      <c r="O884" s="3" t="s">
        <v>1527</v>
      </c>
      <c r="P884" s="3" t="s">
        <v>5707</v>
      </c>
      <c r="Q884" s="2" t="s">
        <v>11600</v>
      </c>
      <c r="R884" s="3" t="s">
        <v>67</v>
      </c>
      <c r="S884" s="4">
        <v>1</v>
      </c>
      <c r="T884" s="4">
        <v>1</v>
      </c>
      <c r="U884" s="5" t="s">
        <v>6874</v>
      </c>
      <c r="V884" s="5" t="s">
        <v>6874</v>
      </c>
      <c r="W884" s="5" t="s">
        <v>11601</v>
      </c>
      <c r="X884" s="5" t="s">
        <v>11601</v>
      </c>
      <c r="Y884" s="4">
        <v>10</v>
      </c>
      <c r="Z884" s="4">
        <v>10</v>
      </c>
      <c r="AA884" s="4">
        <v>10</v>
      </c>
      <c r="AB884" s="4">
        <v>1</v>
      </c>
      <c r="AC884" s="4">
        <v>1</v>
      </c>
      <c r="AD884" s="4">
        <v>0</v>
      </c>
      <c r="AE884" s="4">
        <v>0</v>
      </c>
      <c r="AF884" s="4">
        <v>0</v>
      </c>
      <c r="AG884" s="4">
        <v>0</v>
      </c>
      <c r="AH884" s="4">
        <v>0</v>
      </c>
      <c r="AI884" s="4">
        <v>0</v>
      </c>
      <c r="AJ884" s="4">
        <v>0</v>
      </c>
      <c r="AK884" s="4">
        <v>0</v>
      </c>
      <c r="AL884" s="4">
        <v>0</v>
      </c>
      <c r="AM884" s="4">
        <v>0</v>
      </c>
      <c r="AN884" s="4">
        <v>0</v>
      </c>
      <c r="AO884" s="4">
        <v>0</v>
      </c>
      <c r="AP884" s="3" t="s">
        <v>58</v>
      </c>
      <c r="AQ884" s="3" t="s">
        <v>58</v>
      </c>
      <c r="AS884" s="6" t="str">
        <f>HYPERLINK("https://creighton-primo.hosted.exlibrisgroup.com/primo-explore/search?tab=default_tab&amp;search_scope=EVERYTHING&amp;vid=01CRU&amp;lang=en_US&amp;offset=0&amp;query=any,contains,991004381619702656","Catalog Record")</f>
        <v>Catalog Record</v>
      </c>
      <c r="AT884" s="6" t="str">
        <f>HYPERLINK("http://www.worldcat.org/oclc/56122354","WorldCat Record")</f>
        <v>WorldCat Record</v>
      </c>
      <c r="AU884" s="3" t="s">
        <v>11602</v>
      </c>
      <c r="AV884" s="3" t="s">
        <v>11603</v>
      </c>
      <c r="AW884" s="3" t="s">
        <v>11604</v>
      </c>
      <c r="AX884" s="3" t="s">
        <v>11604</v>
      </c>
      <c r="AY884" s="3" t="s">
        <v>11605</v>
      </c>
      <c r="AZ884" s="3" t="s">
        <v>74</v>
      </c>
      <c r="BB884" s="3" t="s">
        <v>11606</v>
      </c>
      <c r="BC884" s="3" t="s">
        <v>11607</v>
      </c>
      <c r="BD884" s="3" t="s">
        <v>11608</v>
      </c>
    </row>
    <row r="885" spans="1:56" ht="45.75" customHeight="1" x14ac:dyDescent="0.25">
      <c r="A885" s="7" t="s">
        <v>58</v>
      </c>
      <c r="B885" s="2" t="s">
        <v>11609</v>
      </c>
      <c r="C885" s="2" t="s">
        <v>11610</v>
      </c>
      <c r="D885" s="2" t="s">
        <v>11611</v>
      </c>
      <c r="F885" s="3" t="s">
        <v>58</v>
      </c>
      <c r="G885" s="3" t="s">
        <v>59</v>
      </c>
      <c r="H885" s="3" t="s">
        <v>58</v>
      </c>
      <c r="I885" s="3" t="s">
        <v>58</v>
      </c>
      <c r="J885" s="3" t="s">
        <v>60</v>
      </c>
      <c r="K885" s="2" t="s">
        <v>11612</v>
      </c>
      <c r="L885" s="2" t="s">
        <v>11613</v>
      </c>
      <c r="M885" s="3" t="s">
        <v>419</v>
      </c>
      <c r="O885" s="3" t="s">
        <v>65</v>
      </c>
      <c r="P885" s="3" t="s">
        <v>84</v>
      </c>
      <c r="R885" s="3" t="s">
        <v>67</v>
      </c>
      <c r="S885" s="4">
        <v>1</v>
      </c>
      <c r="T885" s="4">
        <v>1</v>
      </c>
      <c r="U885" s="5" t="s">
        <v>1448</v>
      </c>
      <c r="V885" s="5" t="s">
        <v>1448</v>
      </c>
      <c r="W885" s="5" t="s">
        <v>645</v>
      </c>
      <c r="X885" s="5" t="s">
        <v>645</v>
      </c>
      <c r="Y885" s="4">
        <v>410</v>
      </c>
      <c r="Z885" s="4">
        <v>353</v>
      </c>
      <c r="AA885" s="4">
        <v>982</v>
      </c>
      <c r="AB885" s="4">
        <v>6</v>
      </c>
      <c r="AC885" s="4">
        <v>13</v>
      </c>
      <c r="AD885" s="4">
        <v>23</v>
      </c>
      <c r="AE885" s="4">
        <v>45</v>
      </c>
      <c r="AF885" s="4">
        <v>11</v>
      </c>
      <c r="AG885" s="4">
        <v>16</v>
      </c>
      <c r="AH885" s="4">
        <v>4</v>
      </c>
      <c r="AI885" s="4">
        <v>10</v>
      </c>
      <c r="AJ885" s="4">
        <v>7</v>
      </c>
      <c r="AK885" s="4">
        <v>14</v>
      </c>
      <c r="AL885" s="4">
        <v>5</v>
      </c>
      <c r="AM885" s="4">
        <v>11</v>
      </c>
      <c r="AN885" s="4">
        <v>0</v>
      </c>
      <c r="AO885" s="4">
        <v>1</v>
      </c>
      <c r="AP885" s="3" t="s">
        <v>58</v>
      </c>
      <c r="AQ885" s="3" t="s">
        <v>87</v>
      </c>
      <c r="AR885" s="6" t="str">
        <f>HYPERLINK("http://catalog.hathitrust.org/Record/004129645","HathiTrust Record")</f>
        <v>HathiTrust Record</v>
      </c>
      <c r="AS885" s="6" t="str">
        <f>HYPERLINK("https://creighton-primo.hosted.exlibrisgroup.com/primo-explore/search?tab=default_tab&amp;search_scope=EVERYTHING&amp;vid=01CRU&amp;lang=en_US&amp;offset=0&amp;query=any,contains,991003028849702656","Catalog Record")</f>
        <v>Catalog Record</v>
      </c>
      <c r="AT885" s="6" t="str">
        <f>HYPERLINK("http://www.worldcat.org/oclc/41445645","WorldCat Record")</f>
        <v>WorldCat Record</v>
      </c>
      <c r="AU885" s="3" t="s">
        <v>11614</v>
      </c>
      <c r="AV885" s="3" t="s">
        <v>11615</v>
      </c>
      <c r="AW885" s="3" t="s">
        <v>11616</v>
      </c>
      <c r="AX885" s="3" t="s">
        <v>11616</v>
      </c>
      <c r="AY885" s="3" t="s">
        <v>11617</v>
      </c>
      <c r="AZ885" s="3" t="s">
        <v>74</v>
      </c>
      <c r="BB885" s="3" t="s">
        <v>11618</v>
      </c>
      <c r="BC885" s="3" t="s">
        <v>11619</v>
      </c>
      <c r="BD885" s="3" t="s">
        <v>11620</v>
      </c>
    </row>
    <row r="886" spans="1:56" ht="45.75" customHeight="1" x14ac:dyDescent="0.25">
      <c r="A886" s="7" t="s">
        <v>58</v>
      </c>
      <c r="B886" s="2" t="s">
        <v>11621</v>
      </c>
      <c r="C886" s="2" t="s">
        <v>11622</v>
      </c>
      <c r="D886" s="2" t="s">
        <v>11623</v>
      </c>
      <c r="F886" s="3" t="s">
        <v>58</v>
      </c>
      <c r="G886" s="3" t="s">
        <v>59</v>
      </c>
      <c r="H886" s="3" t="s">
        <v>58</v>
      </c>
      <c r="I886" s="3" t="s">
        <v>58</v>
      </c>
      <c r="J886" s="3" t="s">
        <v>60</v>
      </c>
      <c r="K886" s="2" t="s">
        <v>11624</v>
      </c>
      <c r="L886" s="2" t="s">
        <v>11625</v>
      </c>
      <c r="M886" s="3" t="s">
        <v>147</v>
      </c>
      <c r="N886" s="2" t="s">
        <v>64</v>
      </c>
      <c r="O886" s="3" t="s">
        <v>65</v>
      </c>
      <c r="P886" s="3" t="s">
        <v>84</v>
      </c>
      <c r="Q886" s="2" t="s">
        <v>3167</v>
      </c>
      <c r="R886" s="3" t="s">
        <v>67</v>
      </c>
      <c r="S886" s="4">
        <v>2</v>
      </c>
      <c r="T886" s="4">
        <v>2</v>
      </c>
      <c r="U886" s="5" t="s">
        <v>11626</v>
      </c>
      <c r="V886" s="5" t="s">
        <v>11626</v>
      </c>
      <c r="W886" s="5" t="s">
        <v>11626</v>
      </c>
      <c r="X886" s="5" t="s">
        <v>11626</v>
      </c>
      <c r="Y886" s="4">
        <v>213</v>
      </c>
      <c r="Z886" s="4">
        <v>171</v>
      </c>
      <c r="AA886" s="4">
        <v>200</v>
      </c>
      <c r="AB886" s="4">
        <v>2</v>
      </c>
      <c r="AC886" s="4">
        <v>2</v>
      </c>
      <c r="AD886" s="4">
        <v>6</v>
      </c>
      <c r="AE886" s="4">
        <v>6</v>
      </c>
      <c r="AF886" s="4">
        <v>2</v>
      </c>
      <c r="AG886" s="4">
        <v>2</v>
      </c>
      <c r="AH886" s="4">
        <v>1</v>
      </c>
      <c r="AI886" s="4">
        <v>1</v>
      </c>
      <c r="AJ886" s="4">
        <v>3</v>
      </c>
      <c r="AK886" s="4">
        <v>3</v>
      </c>
      <c r="AL886" s="4">
        <v>1</v>
      </c>
      <c r="AM886" s="4">
        <v>1</v>
      </c>
      <c r="AN886" s="4">
        <v>0</v>
      </c>
      <c r="AO886" s="4">
        <v>0</v>
      </c>
      <c r="AP886" s="3" t="s">
        <v>58</v>
      </c>
      <c r="AQ886" s="3" t="s">
        <v>87</v>
      </c>
      <c r="AR886" s="6" t="str">
        <f>HYPERLINK("http://catalog.hathitrust.org/Record/004366278","HathiTrust Record")</f>
        <v>HathiTrust Record</v>
      </c>
      <c r="AS886" s="6" t="str">
        <f>HYPERLINK("https://creighton-primo.hosted.exlibrisgroup.com/primo-explore/search?tab=default_tab&amp;search_scope=EVERYTHING&amp;vid=01CRU&amp;lang=en_US&amp;offset=0&amp;query=any,contains,991004424439702656","Catalog Record")</f>
        <v>Catalog Record</v>
      </c>
      <c r="AT886" s="6" t="str">
        <f>HYPERLINK("http://www.worldcat.org/oclc/52594609","WorldCat Record")</f>
        <v>WorldCat Record</v>
      </c>
      <c r="AU886" s="3" t="s">
        <v>11627</v>
      </c>
      <c r="AV886" s="3" t="s">
        <v>11628</v>
      </c>
      <c r="AW886" s="3" t="s">
        <v>11629</v>
      </c>
      <c r="AX886" s="3" t="s">
        <v>11629</v>
      </c>
      <c r="AY886" s="3" t="s">
        <v>11630</v>
      </c>
      <c r="AZ886" s="3" t="s">
        <v>74</v>
      </c>
      <c r="BB886" s="3" t="s">
        <v>11631</v>
      </c>
      <c r="BC886" s="3" t="s">
        <v>11632</v>
      </c>
      <c r="BD886" s="3" t="s">
        <v>11633</v>
      </c>
    </row>
    <row r="887" spans="1:56" ht="45.75" customHeight="1" x14ac:dyDescent="0.25">
      <c r="A887" s="7" t="s">
        <v>58</v>
      </c>
      <c r="B887" s="2" t="s">
        <v>11634</v>
      </c>
      <c r="C887" s="2" t="s">
        <v>11635</v>
      </c>
      <c r="D887" s="2" t="s">
        <v>11636</v>
      </c>
      <c r="F887" s="3" t="s">
        <v>58</v>
      </c>
      <c r="G887" s="3" t="s">
        <v>59</v>
      </c>
      <c r="H887" s="3" t="s">
        <v>87</v>
      </c>
      <c r="I887" s="3" t="s">
        <v>58</v>
      </c>
      <c r="J887" s="3" t="s">
        <v>60</v>
      </c>
      <c r="L887" s="2" t="s">
        <v>11637</v>
      </c>
      <c r="M887" s="3" t="s">
        <v>83</v>
      </c>
      <c r="O887" s="3" t="s">
        <v>65</v>
      </c>
      <c r="P887" s="3" t="s">
        <v>84</v>
      </c>
      <c r="R887" s="3" t="s">
        <v>67</v>
      </c>
      <c r="S887" s="4">
        <v>2</v>
      </c>
      <c r="T887" s="4">
        <v>8</v>
      </c>
      <c r="U887" s="5" t="s">
        <v>11638</v>
      </c>
      <c r="V887" s="5" t="s">
        <v>11639</v>
      </c>
      <c r="W887" s="5" t="s">
        <v>11640</v>
      </c>
      <c r="X887" s="5" t="s">
        <v>11640</v>
      </c>
      <c r="Y887" s="4">
        <v>281</v>
      </c>
      <c r="Z887" s="4">
        <v>244</v>
      </c>
      <c r="AA887" s="4">
        <v>437</v>
      </c>
      <c r="AB887" s="4">
        <v>2</v>
      </c>
      <c r="AC887" s="4">
        <v>4</v>
      </c>
      <c r="AD887" s="4">
        <v>10</v>
      </c>
      <c r="AE887" s="4">
        <v>21</v>
      </c>
      <c r="AF887" s="4">
        <v>4</v>
      </c>
      <c r="AG887" s="4">
        <v>11</v>
      </c>
      <c r="AH887" s="4">
        <v>2</v>
      </c>
      <c r="AI887" s="4">
        <v>3</v>
      </c>
      <c r="AJ887" s="4">
        <v>6</v>
      </c>
      <c r="AK887" s="4">
        <v>8</v>
      </c>
      <c r="AL887" s="4">
        <v>0</v>
      </c>
      <c r="AM887" s="4">
        <v>2</v>
      </c>
      <c r="AN887" s="4">
        <v>0</v>
      </c>
      <c r="AO887" s="4">
        <v>0</v>
      </c>
      <c r="AP887" s="3" t="s">
        <v>58</v>
      </c>
      <c r="AQ887" s="3" t="s">
        <v>87</v>
      </c>
      <c r="AR887" s="6" t="str">
        <f>HYPERLINK("http://catalog.hathitrust.org/Record/000912322","HathiTrust Record")</f>
        <v>HathiTrust Record</v>
      </c>
      <c r="AS887" s="6" t="str">
        <f>HYPERLINK("https://creighton-primo.hosted.exlibrisgroup.com/primo-explore/search?tab=default_tab&amp;search_scope=EVERYTHING&amp;vid=01CRU&amp;lang=en_US&amp;offset=0&amp;query=any,contains,991001786779702656","Catalog Record")</f>
        <v>Catalog Record</v>
      </c>
      <c r="AT887" s="6" t="str">
        <f>HYPERLINK("http://www.worldcat.org/oclc/12664141","WorldCat Record")</f>
        <v>WorldCat Record</v>
      </c>
      <c r="AU887" s="3" t="s">
        <v>11641</v>
      </c>
      <c r="AV887" s="3" t="s">
        <v>11642</v>
      </c>
      <c r="AW887" s="3" t="s">
        <v>11643</v>
      </c>
      <c r="AX887" s="3" t="s">
        <v>11643</v>
      </c>
      <c r="AY887" s="3" t="s">
        <v>11644</v>
      </c>
      <c r="AZ887" s="3" t="s">
        <v>74</v>
      </c>
      <c r="BB887" s="3" t="s">
        <v>11645</v>
      </c>
      <c r="BC887" s="3" t="s">
        <v>11646</v>
      </c>
      <c r="BD887" s="3" t="s">
        <v>11647</v>
      </c>
    </row>
    <row r="888" spans="1:56" ht="45.75" customHeight="1" x14ac:dyDescent="0.25">
      <c r="A888" s="7" t="s">
        <v>58</v>
      </c>
      <c r="B888" s="2" t="s">
        <v>11648</v>
      </c>
      <c r="C888" s="2" t="s">
        <v>11649</v>
      </c>
      <c r="D888" s="2" t="s">
        <v>11650</v>
      </c>
      <c r="F888" s="3" t="s">
        <v>58</v>
      </c>
      <c r="G888" s="3" t="s">
        <v>59</v>
      </c>
      <c r="H888" s="3" t="s">
        <v>58</v>
      </c>
      <c r="I888" s="3" t="s">
        <v>58</v>
      </c>
      <c r="J888" s="3" t="s">
        <v>60</v>
      </c>
      <c r="L888" s="2" t="s">
        <v>2865</v>
      </c>
      <c r="M888" s="3" t="s">
        <v>131</v>
      </c>
      <c r="O888" s="3" t="s">
        <v>65</v>
      </c>
      <c r="P888" s="3" t="s">
        <v>84</v>
      </c>
      <c r="R888" s="3" t="s">
        <v>67</v>
      </c>
      <c r="S888" s="4">
        <v>1</v>
      </c>
      <c r="T888" s="4">
        <v>1</v>
      </c>
      <c r="U888" s="5" t="s">
        <v>11651</v>
      </c>
      <c r="V888" s="5" t="s">
        <v>11651</v>
      </c>
      <c r="W888" s="5" t="s">
        <v>11651</v>
      </c>
      <c r="X888" s="5" t="s">
        <v>11651</v>
      </c>
      <c r="Y888" s="4">
        <v>111</v>
      </c>
      <c r="Z888" s="4">
        <v>64</v>
      </c>
      <c r="AA888" s="4">
        <v>92</v>
      </c>
      <c r="AB888" s="4">
        <v>2</v>
      </c>
      <c r="AC888" s="4">
        <v>2</v>
      </c>
      <c r="AD888" s="4">
        <v>4</v>
      </c>
      <c r="AE888" s="4">
        <v>4</v>
      </c>
      <c r="AF888" s="4">
        <v>1</v>
      </c>
      <c r="AG888" s="4">
        <v>1</v>
      </c>
      <c r="AH888" s="4">
        <v>1</v>
      </c>
      <c r="AI888" s="4">
        <v>1</v>
      </c>
      <c r="AJ888" s="4">
        <v>2</v>
      </c>
      <c r="AK888" s="4">
        <v>2</v>
      </c>
      <c r="AL888" s="4">
        <v>1</v>
      </c>
      <c r="AM888" s="4">
        <v>1</v>
      </c>
      <c r="AN888" s="4">
        <v>0</v>
      </c>
      <c r="AO888" s="4">
        <v>0</v>
      </c>
      <c r="AP888" s="3" t="s">
        <v>58</v>
      </c>
      <c r="AQ888" s="3" t="s">
        <v>58</v>
      </c>
      <c r="AS888" s="6" t="str">
        <f>HYPERLINK("https://creighton-primo.hosted.exlibrisgroup.com/primo-explore/search?tab=default_tab&amp;search_scope=EVERYTHING&amp;vid=01CRU&amp;lang=en_US&amp;offset=0&amp;query=any,contains,991004985399702656","Catalog Record")</f>
        <v>Catalog Record</v>
      </c>
      <c r="AT888" s="6" t="str">
        <f>HYPERLINK("http://www.worldcat.org/oclc/63125897","WorldCat Record")</f>
        <v>WorldCat Record</v>
      </c>
      <c r="AU888" s="3" t="s">
        <v>11652</v>
      </c>
      <c r="AV888" s="3" t="s">
        <v>11653</v>
      </c>
      <c r="AW888" s="3" t="s">
        <v>11654</v>
      </c>
      <c r="AX888" s="3" t="s">
        <v>11654</v>
      </c>
      <c r="AY888" s="3" t="s">
        <v>11655</v>
      </c>
      <c r="AZ888" s="3" t="s">
        <v>74</v>
      </c>
      <c r="BB888" s="3" t="s">
        <v>11656</v>
      </c>
      <c r="BC888" s="3" t="s">
        <v>11657</v>
      </c>
      <c r="BD888" s="3" t="s">
        <v>11658</v>
      </c>
    </row>
    <row r="889" spans="1:56" ht="45.75" customHeight="1" x14ac:dyDescent="0.25">
      <c r="A889" s="7" t="s">
        <v>58</v>
      </c>
      <c r="B889" s="2" t="s">
        <v>11659</v>
      </c>
      <c r="C889" s="2" t="s">
        <v>11660</v>
      </c>
      <c r="D889" s="2" t="s">
        <v>11661</v>
      </c>
      <c r="F889" s="3" t="s">
        <v>58</v>
      </c>
      <c r="G889" s="3" t="s">
        <v>59</v>
      </c>
      <c r="H889" s="3" t="s">
        <v>58</v>
      </c>
      <c r="I889" s="3" t="s">
        <v>58</v>
      </c>
      <c r="J889" s="3" t="s">
        <v>60</v>
      </c>
      <c r="K889" s="2" t="s">
        <v>11662</v>
      </c>
      <c r="L889" s="2" t="s">
        <v>11663</v>
      </c>
      <c r="M889" s="3" t="s">
        <v>713</v>
      </c>
      <c r="O889" s="3" t="s">
        <v>65</v>
      </c>
      <c r="P889" s="3" t="s">
        <v>175</v>
      </c>
      <c r="R889" s="3" t="s">
        <v>67</v>
      </c>
      <c r="S889" s="4">
        <v>1</v>
      </c>
      <c r="T889" s="4">
        <v>1</v>
      </c>
      <c r="U889" s="5" t="s">
        <v>11664</v>
      </c>
      <c r="V889" s="5" t="s">
        <v>11664</v>
      </c>
      <c r="W889" s="5" t="s">
        <v>11348</v>
      </c>
      <c r="X889" s="5" t="s">
        <v>11348</v>
      </c>
      <c r="Y889" s="4">
        <v>86</v>
      </c>
      <c r="Z889" s="4">
        <v>29</v>
      </c>
      <c r="AA889" s="4">
        <v>32</v>
      </c>
      <c r="AB889" s="4">
        <v>1</v>
      </c>
      <c r="AC889" s="4">
        <v>1</v>
      </c>
      <c r="AD889" s="4">
        <v>1</v>
      </c>
      <c r="AE889" s="4">
        <v>1</v>
      </c>
      <c r="AF889" s="4">
        <v>0</v>
      </c>
      <c r="AG889" s="4">
        <v>0</v>
      </c>
      <c r="AH889" s="4">
        <v>0</v>
      </c>
      <c r="AI889" s="4">
        <v>0</v>
      </c>
      <c r="AJ889" s="4">
        <v>0</v>
      </c>
      <c r="AK889" s="4">
        <v>0</v>
      </c>
      <c r="AL889" s="4">
        <v>0</v>
      </c>
      <c r="AM889" s="4">
        <v>0</v>
      </c>
      <c r="AN889" s="4">
        <v>1</v>
      </c>
      <c r="AO889" s="4">
        <v>1</v>
      </c>
      <c r="AP889" s="3" t="s">
        <v>58</v>
      </c>
      <c r="AQ889" s="3" t="s">
        <v>87</v>
      </c>
      <c r="AR889" s="6" t="str">
        <f>HYPERLINK("http://catalog.hathitrust.org/Record/000186496","HathiTrust Record")</f>
        <v>HathiTrust Record</v>
      </c>
      <c r="AS889" s="6" t="str">
        <f>HYPERLINK("https://creighton-primo.hosted.exlibrisgroup.com/primo-explore/search?tab=default_tab&amp;search_scope=EVERYTHING&amp;vid=01CRU&amp;lang=en_US&amp;offset=0&amp;query=any,contains,991005200789702656","Catalog Record")</f>
        <v>Catalog Record</v>
      </c>
      <c r="AT889" s="6" t="str">
        <f>HYPERLINK("http://www.worldcat.org/oclc/8074599","WorldCat Record")</f>
        <v>WorldCat Record</v>
      </c>
      <c r="AU889" s="3" t="s">
        <v>11665</v>
      </c>
      <c r="AV889" s="3" t="s">
        <v>11666</v>
      </c>
      <c r="AW889" s="3" t="s">
        <v>11667</v>
      </c>
      <c r="AX889" s="3" t="s">
        <v>11667</v>
      </c>
      <c r="AY889" s="3" t="s">
        <v>11668</v>
      </c>
      <c r="AZ889" s="3" t="s">
        <v>74</v>
      </c>
      <c r="BB889" s="3" t="s">
        <v>11669</v>
      </c>
      <c r="BC889" s="3" t="s">
        <v>11670</v>
      </c>
      <c r="BD889" s="3" t="s">
        <v>11671</v>
      </c>
    </row>
    <row r="890" spans="1:56" ht="45.75" customHeight="1" x14ac:dyDescent="0.25">
      <c r="A890" s="7" t="s">
        <v>58</v>
      </c>
      <c r="B890" s="2" t="s">
        <v>11672</v>
      </c>
      <c r="C890" s="2" t="s">
        <v>11673</v>
      </c>
      <c r="D890" s="2" t="s">
        <v>11674</v>
      </c>
      <c r="F890" s="3" t="s">
        <v>58</v>
      </c>
      <c r="G890" s="3" t="s">
        <v>59</v>
      </c>
      <c r="H890" s="3" t="s">
        <v>58</v>
      </c>
      <c r="I890" s="3" t="s">
        <v>58</v>
      </c>
      <c r="J890" s="3" t="s">
        <v>60</v>
      </c>
      <c r="L890" s="2" t="s">
        <v>11675</v>
      </c>
      <c r="M890" s="3" t="s">
        <v>713</v>
      </c>
      <c r="O890" s="3" t="s">
        <v>65</v>
      </c>
      <c r="P890" s="3" t="s">
        <v>336</v>
      </c>
      <c r="R890" s="3" t="s">
        <v>67</v>
      </c>
      <c r="S890" s="4">
        <v>2</v>
      </c>
      <c r="T890" s="4">
        <v>2</v>
      </c>
      <c r="U890" s="5" t="s">
        <v>11676</v>
      </c>
      <c r="V890" s="5" t="s">
        <v>11676</v>
      </c>
      <c r="W890" s="5" t="s">
        <v>11348</v>
      </c>
      <c r="X890" s="5" t="s">
        <v>11348</v>
      </c>
      <c r="Y890" s="4">
        <v>381</v>
      </c>
      <c r="Z890" s="4">
        <v>330</v>
      </c>
      <c r="AA890" s="4">
        <v>409</v>
      </c>
      <c r="AB890" s="4">
        <v>4</v>
      </c>
      <c r="AC890" s="4">
        <v>4</v>
      </c>
      <c r="AD890" s="4">
        <v>25</v>
      </c>
      <c r="AE890" s="4">
        <v>25</v>
      </c>
      <c r="AF890" s="4">
        <v>6</v>
      </c>
      <c r="AG890" s="4">
        <v>6</v>
      </c>
      <c r="AH890" s="4">
        <v>6</v>
      </c>
      <c r="AI890" s="4">
        <v>6</v>
      </c>
      <c r="AJ890" s="4">
        <v>15</v>
      </c>
      <c r="AK890" s="4">
        <v>15</v>
      </c>
      <c r="AL890" s="4">
        <v>3</v>
      </c>
      <c r="AM890" s="4">
        <v>3</v>
      </c>
      <c r="AN890" s="4">
        <v>4</v>
      </c>
      <c r="AO890" s="4">
        <v>4</v>
      </c>
      <c r="AP890" s="3" t="s">
        <v>58</v>
      </c>
      <c r="AQ890" s="3" t="s">
        <v>87</v>
      </c>
      <c r="AR890" s="6" t="str">
        <f>HYPERLINK("http://catalog.hathitrust.org/Record/009494594","HathiTrust Record")</f>
        <v>HathiTrust Record</v>
      </c>
      <c r="AS890" s="6" t="str">
        <f>HYPERLINK("https://creighton-primo.hosted.exlibrisgroup.com/primo-explore/search?tab=default_tab&amp;search_scope=EVERYTHING&amp;vid=01CRU&amp;lang=en_US&amp;offset=0&amp;query=any,contains,991005149529702656","Catalog Record")</f>
        <v>Catalog Record</v>
      </c>
      <c r="AT890" s="6" t="str">
        <f>HYPERLINK("http://www.worldcat.org/oclc/7712238","WorldCat Record")</f>
        <v>WorldCat Record</v>
      </c>
      <c r="AU890" s="3" t="s">
        <v>11677</v>
      </c>
      <c r="AV890" s="3" t="s">
        <v>11678</v>
      </c>
      <c r="AW890" s="3" t="s">
        <v>11679</v>
      </c>
      <c r="AX890" s="3" t="s">
        <v>11679</v>
      </c>
      <c r="AY890" s="3" t="s">
        <v>11680</v>
      </c>
      <c r="AZ890" s="3" t="s">
        <v>74</v>
      </c>
      <c r="BB890" s="3" t="s">
        <v>11681</v>
      </c>
      <c r="BC890" s="3" t="s">
        <v>11682</v>
      </c>
      <c r="BD890" s="3" t="s">
        <v>11683</v>
      </c>
    </row>
    <row r="891" spans="1:56" ht="45.75" customHeight="1" x14ac:dyDescent="0.25">
      <c r="A891" s="7" t="s">
        <v>58</v>
      </c>
      <c r="B891" s="2" t="s">
        <v>11684</v>
      </c>
      <c r="C891" s="2" t="s">
        <v>11685</v>
      </c>
      <c r="D891" s="2" t="s">
        <v>11686</v>
      </c>
      <c r="F891" s="3" t="s">
        <v>58</v>
      </c>
      <c r="G891" s="3" t="s">
        <v>59</v>
      </c>
      <c r="H891" s="3" t="s">
        <v>58</v>
      </c>
      <c r="I891" s="3" t="s">
        <v>58</v>
      </c>
      <c r="J891" s="3" t="s">
        <v>60</v>
      </c>
      <c r="K891" s="2" t="s">
        <v>11687</v>
      </c>
      <c r="L891" s="2" t="s">
        <v>11688</v>
      </c>
      <c r="M891" s="3" t="s">
        <v>1209</v>
      </c>
      <c r="O891" s="3" t="s">
        <v>65</v>
      </c>
      <c r="P891" s="3" t="s">
        <v>175</v>
      </c>
      <c r="Q891" s="2" t="s">
        <v>11689</v>
      </c>
      <c r="R891" s="3" t="s">
        <v>67</v>
      </c>
      <c r="S891" s="4">
        <v>1</v>
      </c>
      <c r="T891" s="4">
        <v>1</v>
      </c>
      <c r="U891" s="5" t="s">
        <v>658</v>
      </c>
      <c r="V891" s="5" t="s">
        <v>658</v>
      </c>
      <c r="W891" s="5" t="s">
        <v>658</v>
      </c>
      <c r="X891" s="5" t="s">
        <v>658</v>
      </c>
      <c r="Y891" s="4">
        <v>594</v>
      </c>
      <c r="Z891" s="4">
        <v>444</v>
      </c>
      <c r="AA891" s="4">
        <v>612</v>
      </c>
      <c r="AB891" s="4">
        <v>3</v>
      </c>
      <c r="AC891" s="4">
        <v>3</v>
      </c>
      <c r="AD891" s="4">
        <v>28</v>
      </c>
      <c r="AE891" s="4">
        <v>32</v>
      </c>
      <c r="AF891" s="4">
        <v>13</v>
      </c>
      <c r="AG891" s="4">
        <v>15</v>
      </c>
      <c r="AH891" s="4">
        <v>7</v>
      </c>
      <c r="AI891" s="4">
        <v>8</v>
      </c>
      <c r="AJ891" s="4">
        <v>14</v>
      </c>
      <c r="AK891" s="4">
        <v>16</v>
      </c>
      <c r="AL891" s="4">
        <v>2</v>
      </c>
      <c r="AM891" s="4">
        <v>2</v>
      </c>
      <c r="AN891" s="4">
        <v>0</v>
      </c>
      <c r="AO891" s="4">
        <v>1</v>
      </c>
      <c r="AP891" s="3" t="s">
        <v>58</v>
      </c>
      <c r="AQ891" s="3" t="s">
        <v>58</v>
      </c>
      <c r="AS891" s="6" t="str">
        <f>HYPERLINK("https://creighton-primo.hosted.exlibrisgroup.com/primo-explore/search?tab=default_tab&amp;search_scope=EVERYTHING&amp;vid=01CRU&amp;lang=en_US&amp;offset=0&amp;query=any,contains,991004973159702656","Catalog Record")</f>
        <v>Catalog Record</v>
      </c>
      <c r="AT891" s="6" t="str">
        <f>HYPERLINK("http://www.worldcat.org/oclc/14135099","WorldCat Record")</f>
        <v>WorldCat Record</v>
      </c>
      <c r="AU891" s="3" t="s">
        <v>11690</v>
      </c>
      <c r="AV891" s="3" t="s">
        <v>11691</v>
      </c>
      <c r="AW891" s="3" t="s">
        <v>11692</v>
      </c>
      <c r="AX891" s="3" t="s">
        <v>11692</v>
      </c>
      <c r="AY891" s="3" t="s">
        <v>11693</v>
      </c>
      <c r="AZ891" s="3" t="s">
        <v>74</v>
      </c>
      <c r="BB891" s="3" t="s">
        <v>11694</v>
      </c>
      <c r="BC891" s="3" t="s">
        <v>11695</v>
      </c>
      <c r="BD891" s="3" t="s">
        <v>11696</v>
      </c>
    </row>
    <row r="892" spans="1:56" ht="45.75" customHeight="1" x14ac:dyDescent="0.25">
      <c r="A892" s="7" t="s">
        <v>58</v>
      </c>
      <c r="B892" s="2" t="s">
        <v>11697</v>
      </c>
      <c r="C892" s="2" t="s">
        <v>11698</v>
      </c>
      <c r="D892" s="2" t="s">
        <v>11699</v>
      </c>
      <c r="F892" s="3" t="s">
        <v>58</v>
      </c>
      <c r="G892" s="3" t="s">
        <v>59</v>
      </c>
      <c r="H892" s="3" t="s">
        <v>58</v>
      </c>
      <c r="I892" s="3" t="s">
        <v>58</v>
      </c>
      <c r="J892" s="3" t="s">
        <v>60</v>
      </c>
      <c r="K892" s="2" t="s">
        <v>11700</v>
      </c>
      <c r="L892" s="2" t="s">
        <v>11701</v>
      </c>
      <c r="M892" s="3" t="s">
        <v>147</v>
      </c>
      <c r="O892" s="3" t="s">
        <v>65</v>
      </c>
      <c r="P892" s="3" t="s">
        <v>84</v>
      </c>
      <c r="R892" s="3" t="s">
        <v>67</v>
      </c>
      <c r="S892" s="4">
        <v>1</v>
      </c>
      <c r="T892" s="4">
        <v>1</v>
      </c>
      <c r="U892" s="5" t="s">
        <v>11702</v>
      </c>
      <c r="V892" s="5" t="s">
        <v>11702</v>
      </c>
      <c r="W892" s="5" t="s">
        <v>11702</v>
      </c>
      <c r="X892" s="5" t="s">
        <v>11702</v>
      </c>
      <c r="Y892" s="4">
        <v>310</v>
      </c>
      <c r="Z892" s="4">
        <v>282</v>
      </c>
      <c r="AA892" s="4">
        <v>286</v>
      </c>
      <c r="AB892" s="4">
        <v>2</v>
      </c>
      <c r="AC892" s="4">
        <v>2</v>
      </c>
      <c r="AD892" s="4">
        <v>17</v>
      </c>
      <c r="AE892" s="4">
        <v>17</v>
      </c>
      <c r="AF892" s="4">
        <v>7</v>
      </c>
      <c r="AG892" s="4">
        <v>7</v>
      </c>
      <c r="AH892" s="4">
        <v>6</v>
      </c>
      <c r="AI892" s="4">
        <v>6</v>
      </c>
      <c r="AJ892" s="4">
        <v>7</v>
      </c>
      <c r="AK892" s="4">
        <v>7</v>
      </c>
      <c r="AL892" s="4">
        <v>1</v>
      </c>
      <c r="AM892" s="4">
        <v>1</v>
      </c>
      <c r="AN892" s="4">
        <v>0</v>
      </c>
      <c r="AO892" s="4">
        <v>0</v>
      </c>
      <c r="AP892" s="3" t="s">
        <v>58</v>
      </c>
      <c r="AQ892" s="3" t="s">
        <v>58</v>
      </c>
      <c r="AS892" s="6" t="str">
        <f>HYPERLINK("https://creighton-primo.hosted.exlibrisgroup.com/primo-explore/search?tab=default_tab&amp;search_scope=EVERYTHING&amp;vid=01CRU&amp;lang=en_US&amp;offset=0&amp;query=any,contains,991004779729702656","Catalog Record")</f>
        <v>Catalog Record</v>
      </c>
      <c r="AT892" s="6" t="str">
        <f>HYPERLINK("http://www.worldcat.org/oclc/53178333","WorldCat Record")</f>
        <v>WorldCat Record</v>
      </c>
      <c r="AU892" s="3" t="s">
        <v>11703</v>
      </c>
      <c r="AV892" s="3" t="s">
        <v>11704</v>
      </c>
      <c r="AW892" s="3" t="s">
        <v>11705</v>
      </c>
      <c r="AX892" s="3" t="s">
        <v>11705</v>
      </c>
      <c r="AY892" s="3" t="s">
        <v>11706</v>
      </c>
      <c r="AZ892" s="3" t="s">
        <v>74</v>
      </c>
      <c r="BB892" s="3" t="s">
        <v>11707</v>
      </c>
      <c r="BC892" s="3" t="s">
        <v>11708</v>
      </c>
      <c r="BD892" s="3" t="s">
        <v>11709</v>
      </c>
    </row>
    <row r="893" spans="1:56" ht="45.75" customHeight="1" x14ac:dyDescent="0.25">
      <c r="A893" s="7" t="s">
        <v>58</v>
      </c>
      <c r="B893" s="2" t="s">
        <v>11710</v>
      </c>
      <c r="C893" s="2" t="s">
        <v>11711</v>
      </c>
      <c r="D893" s="2" t="s">
        <v>11712</v>
      </c>
      <c r="F893" s="3" t="s">
        <v>58</v>
      </c>
      <c r="G893" s="3" t="s">
        <v>59</v>
      </c>
      <c r="H893" s="3" t="s">
        <v>58</v>
      </c>
      <c r="I893" s="3" t="s">
        <v>58</v>
      </c>
      <c r="J893" s="3" t="s">
        <v>60</v>
      </c>
      <c r="K893" s="2" t="s">
        <v>11713</v>
      </c>
      <c r="L893" s="2" t="s">
        <v>11714</v>
      </c>
      <c r="M893" s="3" t="s">
        <v>1500</v>
      </c>
      <c r="O893" s="3" t="s">
        <v>65</v>
      </c>
      <c r="P893" s="3" t="s">
        <v>772</v>
      </c>
      <c r="Q893" s="2" t="s">
        <v>11715</v>
      </c>
      <c r="R893" s="3" t="s">
        <v>67</v>
      </c>
      <c r="S893" s="4">
        <v>2</v>
      </c>
      <c r="T893" s="4">
        <v>2</v>
      </c>
      <c r="U893" s="5" t="s">
        <v>11716</v>
      </c>
      <c r="V893" s="5" t="s">
        <v>11716</v>
      </c>
      <c r="W893" s="5" t="s">
        <v>11717</v>
      </c>
      <c r="X893" s="5" t="s">
        <v>11717</v>
      </c>
      <c r="Y893" s="4">
        <v>304</v>
      </c>
      <c r="Z893" s="4">
        <v>218</v>
      </c>
      <c r="AA893" s="4">
        <v>240</v>
      </c>
      <c r="AB893" s="4">
        <v>2</v>
      </c>
      <c r="AC893" s="4">
        <v>2</v>
      </c>
      <c r="AD893" s="4">
        <v>7</v>
      </c>
      <c r="AE893" s="4">
        <v>7</v>
      </c>
      <c r="AF893" s="4">
        <v>2</v>
      </c>
      <c r="AG893" s="4">
        <v>2</v>
      </c>
      <c r="AH893" s="4">
        <v>1</v>
      </c>
      <c r="AI893" s="4">
        <v>1</v>
      </c>
      <c r="AJ893" s="4">
        <v>5</v>
      </c>
      <c r="AK893" s="4">
        <v>5</v>
      </c>
      <c r="AL893" s="4">
        <v>1</v>
      </c>
      <c r="AM893" s="4">
        <v>1</v>
      </c>
      <c r="AN893" s="4">
        <v>0</v>
      </c>
      <c r="AO893" s="4">
        <v>0</v>
      </c>
      <c r="AP893" s="3" t="s">
        <v>58</v>
      </c>
      <c r="AQ893" s="3" t="s">
        <v>87</v>
      </c>
      <c r="AR893" s="6" t="str">
        <f>HYPERLINK("http://catalog.hathitrust.org/Record/000025999","HathiTrust Record")</f>
        <v>HathiTrust Record</v>
      </c>
      <c r="AS893" s="6" t="str">
        <f>HYPERLINK("https://creighton-primo.hosted.exlibrisgroup.com/primo-explore/search?tab=default_tab&amp;search_scope=EVERYTHING&amp;vid=01CRU&amp;lang=en_US&amp;offset=0&amp;query=any,contains,991004873209702656","Catalog Record")</f>
        <v>Catalog Record</v>
      </c>
      <c r="AT893" s="6" t="str">
        <f>HYPERLINK("http://www.worldcat.org/oclc/5776744","WorldCat Record")</f>
        <v>WorldCat Record</v>
      </c>
      <c r="AU893" s="3" t="s">
        <v>11718</v>
      </c>
      <c r="AV893" s="3" t="s">
        <v>11719</v>
      </c>
      <c r="AW893" s="3" t="s">
        <v>11720</v>
      </c>
      <c r="AX893" s="3" t="s">
        <v>11720</v>
      </c>
      <c r="AY893" s="3" t="s">
        <v>11721</v>
      </c>
      <c r="AZ893" s="3" t="s">
        <v>74</v>
      </c>
      <c r="BB893" s="3" t="s">
        <v>11722</v>
      </c>
      <c r="BC893" s="3" t="s">
        <v>11723</v>
      </c>
      <c r="BD893" s="3" t="s">
        <v>11724</v>
      </c>
    </row>
    <row r="894" spans="1:56" ht="45.75" customHeight="1" x14ac:dyDescent="0.25">
      <c r="A894" s="7" t="s">
        <v>58</v>
      </c>
      <c r="B894" s="2" t="s">
        <v>11725</v>
      </c>
      <c r="C894" s="2" t="s">
        <v>11726</v>
      </c>
      <c r="D894" s="2" t="s">
        <v>11727</v>
      </c>
      <c r="F894" s="3" t="s">
        <v>58</v>
      </c>
      <c r="G894" s="3" t="s">
        <v>59</v>
      </c>
      <c r="H894" s="3" t="s">
        <v>58</v>
      </c>
      <c r="I894" s="3" t="s">
        <v>58</v>
      </c>
      <c r="J894" s="3" t="s">
        <v>60</v>
      </c>
      <c r="K894" s="2" t="s">
        <v>11728</v>
      </c>
      <c r="L894" s="2" t="s">
        <v>11729</v>
      </c>
      <c r="M894" s="3" t="s">
        <v>220</v>
      </c>
      <c r="O894" s="3" t="s">
        <v>65</v>
      </c>
      <c r="P894" s="3" t="s">
        <v>587</v>
      </c>
      <c r="R894" s="3" t="s">
        <v>67</v>
      </c>
      <c r="S894" s="4">
        <v>2</v>
      </c>
      <c r="T894" s="4">
        <v>2</v>
      </c>
      <c r="U894" s="5" t="s">
        <v>11730</v>
      </c>
      <c r="V894" s="5" t="s">
        <v>11730</v>
      </c>
      <c r="W894" s="5" t="s">
        <v>11731</v>
      </c>
      <c r="X894" s="5" t="s">
        <v>11731</v>
      </c>
      <c r="Y894" s="4">
        <v>318</v>
      </c>
      <c r="Z894" s="4">
        <v>250</v>
      </c>
      <c r="AA894" s="4">
        <v>257</v>
      </c>
      <c r="AB894" s="4">
        <v>3</v>
      </c>
      <c r="AC894" s="4">
        <v>3</v>
      </c>
      <c r="AD894" s="4">
        <v>12</v>
      </c>
      <c r="AE894" s="4">
        <v>12</v>
      </c>
      <c r="AF894" s="4">
        <v>3</v>
      </c>
      <c r="AG894" s="4">
        <v>3</v>
      </c>
      <c r="AH894" s="4">
        <v>4</v>
      </c>
      <c r="AI894" s="4">
        <v>4</v>
      </c>
      <c r="AJ894" s="4">
        <v>5</v>
      </c>
      <c r="AK894" s="4">
        <v>5</v>
      </c>
      <c r="AL894" s="4">
        <v>2</v>
      </c>
      <c r="AM894" s="4">
        <v>2</v>
      </c>
      <c r="AN894" s="4">
        <v>0</v>
      </c>
      <c r="AO894" s="4">
        <v>0</v>
      </c>
      <c r="AP894" s="3" t="s">
        <v>58</v>
      </c>
      <c r="AQ894" s="3" t="s">
        <v>87</v>
      </c>
      <c r="AR894" s="6" t="str">
        <f>HYPERLINK("http://catalog.hathitrust.org/Record/004032592","HathiTrust Record")</f>
        <v>HathiTrust Record</v>
      </c>
      <c r="AS894" s="6" t="str">
        <f>HYPERLINK("https://creighton-primo.hosted.exlibrisgroup.com/primo-explore/search?tab=default_tab&amp;search_scope=EVERYTHING&amp;vid=01CRU&amp;lang=en_US&amp;offset=0&amp;query=any,contains,991004751929702656","Catalog Record")</f>
        <v>Catalog Record</v>
      </c>
      <c r="AT894" s="6" t="str">
        <f>HYPERLINK("http://www.worldcat.org/oclc/40199936","WorldCat Record")</f>
        <v>WorldCat Record</v>
      </c>
      <c r="AU894" s="3" t="s">
        <v>11732</v>
      </c>
      <c r="AV894" s="3" t="s">
        <v>11733</v>
      </c>
      <c r="AW894" s="3" t="s">
        <v>11734</v>
      </c>
      <c r="AX894" s="3" t="s">
        <v>11734</v>
      </c>
      <c r="AY894" s="3" t="s">
        <v>11735</v>
      </c>
      <c r="AZ894" s="3" t="s">
        <v>74</v>
      </c>
      <c r="BB894" s="3" t="s">
        <v>11736</v>
      </c>
      <c r="BC894" s="3" t="s">
        <v>11737</v>
      </c>
      <c r="BD894" s="3" t="s">
        <v>11738</v>
      </c>
    </row>
    <row r="895" spans="1:56" ht="45.75" customHeight="1" x14ac:dyDescent="0.25">
      <c r="A895" s="7" t="s">
        <v>58</v>
      </c>
      <c r="B895" s="2" t="s">
        <v>11739</v>
      </c>
      <c r="C895" s="2" t="s">
        <v>11740</v>
      </c>
      <c r="D895" s="2" t="s">
        <v>11741</v>
      </c>
      <c r="F895" s="3" t="s">
        <v>58</v>
      </c>
      <c r="G895" s="3" t="s">
        <v>59</v>
      </c>
      <c r="H895" s="3" t="s">
        <v>58</v>
      </c>
      <c r="I895" s="3" t="s">
        <v>58</v>
      </c>
      <c r="J895" s="3" t="s">
        <v>60</v>
      </c>
      <c r="L895" s="2" t="s">
        <v>11742</v>
      </c>
      <c r="M895" s="3" t="s">
        <v>290</v>
      </c>
      <c r="O895" s="3" t="s">
        <v>65</v>
      </c>
      <c r="P895" s="3" t="s">
        <v>1282</v>
      </c>
      <c r="R895" s="3" t="s">
        <v>67</v>
      </c>
      <c r="S895" s="4">
        <v>4</v>
      </c>
      <c r="T895" s="4">
        <v>4</v>
      </c>
      <c r="U895" s="5" t="s">
        <v>11743</v>
      </c>
      <c r="V895" s="5" t="s">
        <v>11743</v>
      </c>
      <c r="W895" s="5" t="s">
        <v>11744</v>
      </c>
      <c r="X895" s="5" t="s">
        <v>11744</v>
      </c>
      <c r="Y895" s="4">
        <v>549</v>
      </c>
      <c r="Z895" s="4">
        <v>450</v>
      </c>
      <c r="AA895" s="4">
        <v>464</v>
      </c>
      <c r="AB895" s="4">
        <v>6</v>
      </c>
      <c r="AC895" s="4">
        <v>6</v>
      </c>
      <c r="AD895" s="4">
        <v>29</v>
      </c>
      <c r="AE895" s="4">
        <v>29</v>
      </c>
      <c r="AF895" s="4">
        <v>10</v>
      </c>
      <c r="AG895" s="4">
        <v>10</v>
      </c>
      <c r="AH895" s="4">
        <v>9</v>
      </c>
      <c r="AI895" s="4">
        <v>9</v>
      </c>
      <c r="AJ895" s="4">
        <v>14</v>
      </c>
      <c r="AK895" s="4">
        <v>14</v>
      </c>
      <c r="AL895" s="4">
        <v>5</v>
      </c>
      <c r="AM895" s="4">
        <v>5</v>
      </c>
      <c r="AN895" s="4">
        <v>0</v>
      </c>
      <c r="AO895" s="4">
        <v>0</v>
      </c>
      <c r="AP895" s="3" t="s">
        <v>58</v>
      </c>
      <c r="AQ895" s="3" t="s">
        <v>58</v>
      </c>
      <c r="AS895" s="6" t="str">
        <f>HYPERLINK("https://creighton-primo.hosted.exlibrisgroup.com/primo-explore/search?tab=default_tab&amp;search_scope=EVERYTHING&amp;vid=01CRU&amp;lang=en_US&amp;offset=0&amp;query=any,contains,991003621919702656","Catalog Record")</f>
        <v>Catalog Record</v>
      </c>
      <c r="AT895" s="6" t="str">
        <f>HYPERLINK("http://www.worldcat.org/oclc/44454598","WorldCat Record")</f>
        <v>WorldCat Record</v>
      </c>
      <c r="AU895" s="3" t="s">
        <v>11745</v>
      </c>
      <c r="AV895" s="3" t="s">
        <v>11746</v>
      </c>
      <c r="AW895" s="3" t="s">
        <v>11747</v>
      </c>
      <c r="AX895" s="3" t="s">
        <v>11747</v>
      </c>
      <c r="AY895" s="3" t="s">
        <v>11748</v>
      </c>
      <c r="AZ895" s="3" t="s">
        <v>74</v>
      </c>
      <c r="BB895" s="3" t="s">
        <v>11749</v>
      </c>
      <c r="BC895" s="3" t="s">
        <v>11750</v>
      </c>
      <c r="BD895" s="3" t="s">
        <v>11751</v>
      </c>
    </row>
    <row r="896" spans="1:56" ht="45.75" customHeight="1" x14ac:dyDescent="0.25">
      <c r="A896" s="7" t="s">
        <v>58</v>
      </c>
      <c r="B896" s="2" t="s">
        <v>11752</v>
      </c>
      <c r="C896" s="2" t="s">
        <v>11753</v>
      </c>
      <c r="D896" s="2" t="s">
        <v>11754</v>
      </c>
      <c r="F896" s="3" t="s">
        <v>58</v>
      </c>
      <c r="G896" s="3" t="s">
        <v>59</v>
      </c>
      <c r="H896" s="3" t="s">
        <v>58</v>
      </c>
      <c r="I896" s="3" t="s">
        <v>58</v>
      </c>
      <c r="J896" s="3" t="s">
        <v>60</v>
      </c>
      <c r="K896" s="2" t="s">
        <v>11755</v>
      </c>
      <c r="L896" s="2" t="s">
        <v>741</v>
      </c>
      <c r="M896" s="3" t="s">
        <v>742</v>
      </c>
      <c r="O896" s="3" t="s">
        <v>65</v>
      </c>
      <c r="P896" s="3" t="s">
        <v>84</v>
      </c>
      <c r="Q896" s="2" t="s">
        <v>11756</v>
      </c>
      <c r="R896" s="3" t="s">
        <v>67</v>
      </c>
      <c r="S896" s="4">
        <v>3</v>
      </c>
      <c r="T896" s="4">
        <v>3</v>
      </c>
      <c r="U896" s="5" t="s">
        <v>11757</v>
      </c>
      <c r="V896" s="5" t="s">
        <v>11757</v>
      </c>
      <c r="W896" s="5" t="s">
        <v>965</v>
      </c>
      <c r="X896" s="5" t="s">
        <v>965</v>
      </c>
      <c r="Y896" s="4">
        <v>464</v>
      </c>
      <c r="Z896" s="4">
        <v>422</v>
      </c>
      <c r="AA896" s="4">
        <v>428</v>
      </c>
      <c r="AB896" s="4">
        <v>3</v>
      </c>
      <c r="AC896" s="4">
        <v>3</v>
      </c>
      <c r="AD896" s="4">
        <v>21</v>
      </c>
      <c r="AE896" s="4">
        <v>21</v>
      </c>
      <c r="AF896" s="4">
        <v>7</v>
      </c>
      <c r="AG896" s="4">
        <v>7</v>
      </c>
      <c r="AH896" s="4">
        <v>4</v>
      </c>
      <c r="AI896" s="4">
        <v>4</v>
      </c>
      <c r="AJ896" s="4">
        <v>12</v>
      </c>
      <c r="AK896" s="4">
        <v>12</v>
      </c>
      <c r="AL896" s="4">
        <v>2</v>
      </c>
      <c r="AM896" s="4">
        <v>2</v>
      </c>
      <c r="AN896" s="4">
        <v>1</v>
      </c>
      <c r="AO896" s="4">
        <v>1</v>
      </c>
      <c r="AP896" s="3" t="s">
        <v>58</v>
      </c>
      <c r="AQ896" s="3" t="s">
        <v>87</v>
      </c>
      <c r="AR896" s="6" t="str">
        <f>HYPERLINK("http://catalog.hathitrust.org/Record/001304309","HathiTrust Record")</f>
        <v>HathiTrust Record</v>
      </c>
      <c r="AS896" s="6" t="str">
        <f>HYPERLINK("https://creighton-primo.hosted.exlibrisgroup.com/primo-explore/search?tab=default_tab&amp;search_scope=EVERYTHING&amp;vid=01CRU&amp;lang=en_US&amp;offset=0&amp;query=any,contains,991001378459702656","Catalog Record")</f>
        <v>Catalog Record</v>
      </c>
      <c r="AT896" s="6" t="str">
        <f>HYPERLINK("http://www.worldcat.org/oclc/18629735","WorldCat Record")</f>
        <v>WorldCat Record</v>
      </c>
      <c r="AU896" s="3" t="s">
        <v>11758</v>
      </c>
      <c r="AV896" s="3" t="s">
        <v>11759</v>
      </c>
      <c r="AW896" s="3" t="s">
        <v>11760</v>
      </c>
      <c r="AX896" s="3" t="s">
        <v>11760</v>
      </c>
      <c r="AY896" s="3" t="s">
        <v>11761</v>
      </c>
      <c r="AZ896" s="3" t="s">
        <v>74</v>
      </c>
      <c r="BB896" s="3" t="s">
        <v>11762</v>
      </c>
      <c r="BC896" s="3" t="s">
        <v>11763</v>
      </c>
      <c r="BD896" s="3" t="s">
        <v>11764</v>
      </c>
    </row>
    <row r="897" spans="1:56" ht="45.75" customHeight="1" x14ac:dyDescent="0.25">
      <c r="A897" s="7" t="s">
        <v>58</v>
      </c>
      <c r="B897" s="2" t="s">
        <v>11765</v>
      </c>
      <c r="C897" s="2" t="s">
        <v>11766</v>
      </c>
      <c r="D897" s="2" t="s">
        <v>11767</v>
      </c>
      <c r="F897" s="3" t="s">
        <v>58</v>
      </c>
      <c r="G897" s="3" t="s">
        <v>59</v>
      </c>
      <c r="H897" s="3" t="s">
        <v>58</v>
      </c>
      <c r="I897" s="3" t="s">
        <v>58</v>
      </c>
      <c r="J897" s="3" t="s">
        <v>60</v>
      </c>
      <c r="K897" s="2" t="s">
        <v>11768</v>
      </c>
      <c r="L897" s="2" t="s">
        <v>11769</v>
      </c>
      <c r="M897" s="3" t="s">
        <v>1500</v>
      </c>
      <c r="O897" s="3" t="s">
        <v>65</v>
      </c>
      <c r="P897" s="3" t="s">
        <v>148</v>
      </c>
      <c r="R897" s="3" t="s">
        <v>67</v>
      </c>
      <c r="S897" s="4">
        <v>3</v>
      </c>
      <c r="T897" s="4">
        <v>3</v>
      </c>
      <c r="U897" s="5" t="s">
        <v>11770</v>
      </c>
      <c r="V897" s="5" t="s">
        <v>11770</v>
      </c>
      <c r="W897" s="5" t="s">
        <v>11771</v>
      </c>
      <c r="X897" s="5" t="s">
        <v>11771</v>
      </c>
      <c r="Y897" s="4">
        <v>493</v>
      </c>
      <c r="Z897" s="4">
        <v>384</v>
      </c>
      <c r="AA897" s="4">
        <v>391</v>
      </c>
      <c r="AB897" s="4">
        <v>3</v>
      </c>
      <c r="AC897" s="4">
        <v>3</v>
      </c>
      <c r="AD897" s="4">
        <v>18</v>
      </c>
      <c r="AE897" s="4">
        <v>18</v>
      </c>
      <c r="AF897" s="4">
        <v>5</v>
      </c>
      <c r="AG897" s="4">
        <v>5</v>
      </c>
      <c r="AH897" s="4">
        <v>7</v>
      </c>
      <c r="AI897" s="4">
        <v>7</v>
      </c>
      <c r="AJ897" s="4">
        <v>7</v>
      </c>
      <c r="AK897" s="4">
        <v>7</v>
      </c>
      <c r="AL897" s="4">
        <v>2</v>
      </c>
      <c r="AM897" s="4">
        <v>2</v>
      </c>
      <c r="AN897" s="4">
        <v>1</v>
      </c>
      <c r="AO897" s="4">
        <v>1</v>
      </c>
      <c r="AP897" s="3" t="s">
        <v>58</v>
      </c>
      <c r="AQ897" s="3" t="s">
        <v>87</v>
      </c>
      <c r="AR897" s="6" t="str">
        <f>HYPERLINK("http://catalog.hathitrust.org/Record/000730226","HathiTrust Record")</f>
        <v>HathiTrust Record</v>
      </c>
      <c r="AS897" s="6" t="str">
        <f>HYPERLINK("https://creighton-primo.hosted.exlibrisgroup.com/primo-explore/search?tab=default_tab&amp;search_scope=EVERYTHING&amp;vid=01CRU&amp;lang=en_US&amp;offset=0&amp;query=any,contains,991005001809702656","Catalog Record")</f>
        <v>Catalog Record</v>
      </c>
      <c r="AT897" s="6" t="str">
        <f>HYPERLINK("http://www.worldcat.org/oclc/6554133","WorldCat Record")</f>
        <v>WorldCat Record</v>
      </c>
      <c r="AU897" s="3" t="s">
        <v>11772</v>
      </c>
      <c r="AV897" s="3" t="s">
        <v>11773</v>
      </c>
      <c r="AW897" s="3" t="s">
        <v>11774</v>
      </c>
      <c r="AX897" s="3" t="s">
        <v>11774</v>
      </c>
      <c r="AY897" s="3" t="s">
        <v>11775</v>
      </c>
      <c r="AZ897" s="3" t="s">
        <v>74</v>
      </c>
      <c r="BB897" s="3" t="s">
        <v>11776</v>
      </c>
      <c r="BC897" s="3" t="s">
        <v>11777</v>
      </c>
      <c r="BD897" s="3" t="s">
        <v>11778</v>
      </c>
    </row>
    <row r="898" spans="1:56" ht="45.75" customHeight="1" x14ac:dyDescent="0.25">
      <c r="A898" s="7" t="s">
        <v>58</v>
      </c>
      <c r="B898" s="2" t="s">
        <v>11779</v>
      </c>
      <c r="C898" s="2" t="s">
        <v>11780</v>
      </c>
      <c r="D898" s="2" t="s">
        <v>11781</v>
      </c>
      <c r="F898" s="3" t="s">
        <v>58</v>
      </c>
      <c r="G898" s="3" t="s">
        <v>59</v>
      </c>
      <c r="H898" s="3" t="s">
        <v>58</v>
      </c>
      <c r="I898" s="3" t="s">
        <v>58</v>
      </c>
      <c r="J898" s="3" t="s">
        <v>60</v>
      </c>
      <c r="L898" s="2" t="s">
        <v>11782</v>
      </c>
      <c r="M898" s="3" t="s">
        <v>557</v>
      </c>
      <c r="O898" s="3" t="s">
        <v>65</v>
      </c>
      <c r="P898" s="3" t="s">
        <v>772</v>
      </c>
      <c r="R898" s="3" t="s">
        <v>67</v>
      </c>
      <c r="S898" s="4">
        <v>9</v>
      </c>
      <c r="T898" s="4">
        <v>9</v>
      </c>
      <c r="U898" s="5" t="s">
        <v>11783</v>
      </c>
      <c r="V898" s="5" t="s">
        <v>11783</v>
      </c>
      <c r="W898" s="5" t="s">
        <v>11784</v>
      </c>
      <c r="X898" s="5" t="s">
        <v>11784</v>
      </c>
      <c r="Y898" s="4">
        <v>297</v>
      </c>
      <c r="Z898" s="4">
        <v>214</v>
      </c>
      <c r="AA898" s="4">
        <v>214</v>
      </c>
      <c r="AB898" s="4">
        <v>4</v>
      </c>
      <c r="AC898" s="4">
        <v>4</v>
      </c>
      <c r="AD898" s="4">
        <v>11</v>
      </c>
      <c r="AE898" s="4">
        <v>11</v>
      </c>
      <c r="AF898" s="4">
        <v>3</v>
      </c>
      <c r="AG898" s="4">
        <v>3</v>
      </c>
      <c r="AH898" s="4">
        <v>3</v>
      </c>
      <c r="AI898" s="4">
        <v>3</v>
      </c>
      <c r="AJ898" s="4">
        <v>5</v>
      </c>
      <c r="AK898" s="4">
        <v>5</v>
      </c>
      <c r="AL898" s="4">
        <v>3</v>
      </c>
      <c r="AM898" s="4">
        <v>3</v>
      </c>
      <c r="AN898" s="4">
        <v>0</v>
      </c>
      <c r="AO898" s="4">
        <v>0</v>
      </c>
      <c r="AP898" s="3" t="s">
        <v>58</v>
      </c>
      <c r="AQ898" s="3" t="s">
        <v>58</v>
      </c>
      <c r="AS898" s="6" t="str">
        <f>HYPERLINK("https://creighton-primo.hosted.exlibrisgroup.com/primo-explore/search?tab=default_tab&amp;search_scope=EVERYTHING&amp;vid=01CRU&amp;lang=en_US&amp;offset=0&amp;query=any,contains,991002052049702656","Catalog Record")</f>
        <v>Catalog Record</v>
      </c>
      <c r="AT898" s="6" t="str">
        <f>HYPERLINK("http://www.worldcat.org/oclc/26211183","WorldCat Record")</f>
        <v>WorldCat Record</v>
      </c>
      <c r="AU898" s="3" t="s">
        <v>11785</v>
      </c>
      <c r="AV898" s="3" t="s">
        <v>11786</v>
      </c>
      <c r="AW898" s="3" t="s">
        <v>11787</v>
      </c>
      <c r="AX898" s="3" t="s">
        <v>11787</v>
      </c>
      <c r="AY898" s="3" t="s">
        <v>11788</v>
      </c>
      <c r="AZ898" s="3" t="s">
        <v>74</v>
      </c>
      <c r="BB898" s="3" t="s">
        <v>11789</v>
      </c>
      <c r="BC898" s="3" t="s">
        <v>11790</v>
      </c>
      <c r="BD898" s="3" t="s">
        <v>11791</v>
      </c>
    </row>
    <row r="899" spans="1:56" ht="45.75" customHeight="1" x14ac:dyDescent="0.25">
      <c r="A899" s="7" t="s">
        <v>58</v>
      </c>
      <c r="B899" s="2" t="s">
        <v>11792</v>
      </c>
      <c r="C899" s="2" t="s">
        <v>11793</v>
      </c>
      <c r="D899" s="2" t="s">
        <v>11794</v>
      </c>
      <c r="F899" s="3" t="s">
        <v>58</v>
      </c>
      <c r="G899" s="3" t="s">
        <v>59</v>
      </c>
      <c r="H899" s="3" t="s">
        <v>58</v>
      </c>
      <c r="I899" s="3" t="s">
        <v>58</v>
      </c>
      <c r="J899" s="3" t="s">
        <v>60</v>
      </c>
      <c r="L899" s="2" t="s">
        <v>11795</v>
      </c>
      <c r="M899" s="3" t="s">
        <v>1419</v>
      </c>
      <c r="O899" s="3" t="s">
        <v>65</v>
      </c>
      <c r="P899" s="3" t="s">
        <v>772</v>
      </c>
      <c r="Q899" s="2" t="s">
        <v>11796</v>
      </c>
      <c r="R899" s="3" t="s">
        <v>67</v>
      </c>
      <c r="S899" s="4">
        <v>2</v>
      </c>
      <c r="T899" s="4">
        <v>2</v>
      </c>
      <c r="U899" s="5" t="s">
        <v>5461</v>
      </c>
      <c r="V899" s="5" t="s">
        <v>5461</v>
      </c>
      <c r="W899" s="5" t="s">
        <v>11348</v>
      </c>
      <c r="X899" s="5" t="s">
        <v>11348</v>
      </c>
      <c r="Y899" s="4">
        <v>529</v>
      </c>
      <c r="Z899" s="4">
        <v>459</v>
      </c>
      <c r="AA899" s="4">
        <v>480</v>
      </c>
      <c r="AB899" s="4">
        <v>5</v>
      </c>
      <c r="AC899" s="4">
        <v>5</v>
      </c>
      <c r="AD899" s="4">
        <v>29</v>
      </c>
      <c r="AE899" s="4">
        <v>29</v>
      </c>
      <c r="AF899" s="4">
        <v>7</v>
      </c>
      <c r="AG899" s="4">
        <v>7</v>
      </c>
      <c r="AH899" s="4">
        <v>9</v>
      </c>
      <c r="AI899" s="4">
        <v>9</v>
      </c>
      <c r="AJ899" s="4">
        <v>17</v>
      </c>
      <c r="AK899" s="4">
        <v>17</v>
      </c>
      <c r="AL899" s="4">
        <v>4</v>
      </c>
      <c r="AM899" s="4">
        <v>4</v>
      </c>
      <c r="AN899" s="4">
        <v>0</v>
      </c>
      <c r="AO899" s="4">
        <v>0</v>
      </c>
      <c r="AP899" s="3" t="s">
        <v>58</v>
      </c>
      <c r="AQ899" s="3" t="s">
        <v>87</v>
      </c>
      <c r="AR899" s="6" t="str">
        <f>HYPERLINK("http://catalog.hathitrust.org/Record/000131672","HathiTrust Record")</f>
        <v>HathiTrust Record</v>
      </c>
      <c r="AS899" s="6" t="str">
        <f>HYPERLINK("https://creighton-primo.hosted.exlibrisgroup.com/primo-explore/search?tab=default_tab&amp;search_scope=EVERYTHING&amp;vid=01CRU&amp;lang=en_US&amp;offset=0&amp;query=any,contains,991004499809702656","Catalog Record")</f>
        <v>Catalog Record</v>
      </c>
      <c r="AT899" s="6" t="str">
        <f>HYPERLINK("http://www.worldcat.org/oclc/3710798","WorldCat Record")</f>
        <v>WorldCat Record</v>
      </c>
      <c r="AU899" s="3" t="s">
        <v>11797</v>
      </c>
      <c r="AV899" s="3" t="s">
        <v>11798</v>
      </c>
      <c r="AW899" s="3" t="s">
        <v>11799</v>
      </c>
      <c r="AX899" s="3" t="s">
        <v>11799</v>
      </c>
      <c r="AY899" s="3" t="s">
        <v>11800</v>
      </c>
      <c r="AZ899" s="3" t="s">
        <v>74</v>
      </c>
      <c r="BB899" s="3" t="s">
        <v>11801</v>
      </c>
      <c r="BC899" s="3" t="s">
        <v>11802</v>
      </c>
      <c r="BD899" s="3" t="s">
        <v>11803</v>
      </c>
    </row>
    <row r="900" spans="1:56" ht="45.75" customHeight="1" x14ac:dyDescent="0.25">
      <c r="A900" s="7" t="s">
        <v>58</v>
      </c>
      <c r="B900" s="2" t="s">
        <v>11804</v>
      </c>
      <c r="C900" s="2" t="s">
        <v>11805</v>
      </c>
      <c r="D900" s="2" t="s">
        <v>11806</v>
      </c>
      <c r="F900" s="3" t="s">
        <v>58</v>
      </c>
      <c r="G900" s="3" t="s">
        <v>59</v>
      </c>
      <c r="H900" s="3" t="s">
        <v>58</v>
      </c>
      <c r="I900" s="3" t="s">
        <v>58</v>
      </c>
      <c r="J900" s="3" t="s">
        <v>60</v>
      </c>
      <c r="L900" s="2" t="s">
        <v>2839</v>
      </c>
      <c r="M900" s="3" t="s">
        <v>2324</v>
      </c>
      <c r="O900" s="3" t="s">
        <v>65</v>
      </c>
      <c r="P900" s="3" t="s">
        <v>132</v>
      </c>
      <c r="R900" s="3" t="s">
        <v>67</v>
      </c>
      <c r="S900" s="4">
        <v>9</v>
      </c>
      <c r="T900" s="4">
        <v>9</v>
      </c>
      <c r="U900" s="5" t="s">
        <v>11807</v>
      </c>
      <c r="V900" s="5" t="s">
        <v>11807</v>
      </c>
      <c r="W900" s="5" t="s">
        <v>3588</v>
      </c>
      <c r="X900" s="5" t="s">
        <v>3588</v>
      </c>
      <c r="Y900" s="4">
        <v>361</v>
      </c>
      <c r="Z900" s="4">
        <v>284</v>
      </c>
      <c r="AA900" s="4">
        <v>291</v>
      </c>
      <c r="AB900" s="4">
        <v>3</v>
      </c>
      <c r="AC900" s="4">
        <v>3</v>
      </c>
      <c r="AD900" s="4">
        <v>13</v>
      </c>
      <c r="AE900" s="4">
        <v>13</v>
      </c>
      <c r="AF900" s="4">
        <v>3</v>
      </c>
      <c r="AG900" s="4">
        <v>3</v>
      </c>
      <c r="AH900" s="4">
        <v>3</v>
      </c>
      <c r="AI900" s="4">
        <v>3</v>
      </c>
      <c r="AJ900" s="4">
        <v>8</v>
      </c>
      <c r="AK900" s="4">
        <v>8</v>
      </c>
      <c r="AL900" s="4">
        <v>2</v>
      </c>
      <c r="AM900" s="4">
        <v>2</v>
      </c>
      <c r="AN900" s="4">
        <v>0</v>
      </c>
      <c r="AO900" s="4">
        <v>0</v>
      </c>
      <c r="AP900" s="3" t="s">
        <v>58</v>
      </c>
      <c r="AQ900" s="3" t="s">
        <v>87</v>
      </c>
      <c r="AR900" s="6" t="str">
        <f>HYPERLINK("http://catalog.hathitrust.org/Record/000600522","HathiTrust Record")</f>
        <v>HathiTrust Record</v>
      </c>
      <c r="AS900" s="6" t="str">
        <f>HYPERLINK("https://creighton-primo.hosted.exlibrisgroup.com/primo-explore/search?tab=default_tab&amp;search_scope=EVERYTHING&amp;vid=01CRU&amp;lang=en_US&amp;offset=0&amp;query=any,contains,991000236349702656","Catalog Record")</f>
        <v>Catalog Record</v>
      </c>
      <c r="AT900" s="6" t="str">
        <f>HYPERLINK("http://www.worldcat.org/oclc/9647206","WorldCat Record")</f>
        <v>WorldCat Record</v>
      </c>
      <c r="AU900" s="3" t="s">
        <v>11808</v>
      </c>
      <c r="AV900" s="3" t="s">
        <v>11809</v>
      </c>
      <c r="AW900" s="3" t="s">
        <v>11810</v>
      </c>
      <c r="AX900" s="3" t="s">
        <v>11810</v>
      </c>
      <c r="AY900" s="3" t="s">
        <v>11811</v>
      </c>
      <c r="AZ900" s="3" t="s">
        <v>74</v>
      </c>
      <c r="BB900" s="3" t="s">
        <v>11812</v>
      </c>
      <c r="BC900" s="3" t="s">
        <v>11813</v>
      </c>
      <c r="BD900" s="3" t="s">
        <v>11814</v>
      </c>
    </row>
    <row r="901" spans="1:56" ht="45.75" customHeight="1" x14ac:dyDescent="0.25">
      <c r="A901" s="7" t="s">
        <v>58</v>
      </c>
      <c r="B901" s="2" t="s">
        <v>11815</v>
      </c>
      <c r="C901" s="2" t="s">
        <v>11816</v>
      </c>
      <c r="D901" s="2" t="s">
        <v>11817</v>
      </c>
      <c r="F901" s="3" t="s">
        <v>58</v>
      </c>
      <c r="G901" s="3" t="s">
        <v>59</v>
      </c>
      <c r="H901" s="3" t="s">
        <v>58</v>
      </c>
      <c r="I901" s="3" t="s">
        <v>58</v>
      </c>
      <c r="J901" s="3" t="s">
        <v>60</v>
      </c>
      <c r="K901" s="2" t="s">
        <v>11818</v>
      </c>
      <c r="L901" s="2" t="s">
        <v>11819</v>
      </c>
      <c r="M901" s="3" t="s">
        <v>116</v>
      </c>
      <c r="O901" s="3" t="s">
        <v>65</v>
      </c>
      <c r="P901" s="3" t="s">
        <v>84</v>
      </c>
      <c r="Q901" s="2" t="s">
        <v>11820</v>
      </c>
      <c r="R901" s="3" t="s">
        <v>67</v>
      </c>
      <c r="S901" s="4">
        <v>1</v>
      </c>
      <c r="T901" s="4">
        <v>1</v>
      </c>
      <c r="U901" s="5" t="s">
        <v>11821</v>
      </c>
      <c r="V901" s="5" t="s">
        <v>11821</v>
      </c>
      <c r="W901" s="5" t="s">
        <v>10347</v>
      </c>
      <c r="X901" s="5" t="s">
        <v>10347</v>
      </c>
      <c r="Y901" s="4">
        <v>560</v>
      </c>
      <c r="Z901" s="4">
        <v>484</v>
      </c>
      <c r="AA901" s="4">
        <v>711</v>
      </c>
      <c r="AB901" s="4">
        <v>4</v>
      </c>
      <c r="AC901" s="4">
        <v>4</v>
      </c>
      <c r="AD901" s="4">
        <v>14</v>
      </c>
      <c r="AE901" s="4">
        <v>23</v>
      </c>
      <c r="AF901" s="4">
        <v>4</v>
      </c>
      <c r="AG901" s="4">
        <v>9</v>
      </c>
      <c r="AH901" s="4">
        <v>3</v>
      </c>
      <c r="AI901" s="4">
        <v>5</v>
      </c>
      <c r="AJ901" s="4">
        <v>9</v>
      </c>
      <c r="AK901" s="4">
        <v>13</v>
      </c>
      <c r="AL901" s="4">
        <v>3</v>
      </c>
      <c r="AM901" s="4">
        <v>3</v>
      </c>
      <c r="AN901" s="4">
        <v>0</v>
      </c>
      <c r="AO901" s="4">
        <v>0</v>
      </c>
      <c r="AP901" s="3" t="s">
        <v>58</v>
      </c>
      <c r="AQ901" s="3" t="s">
        <v>58</v>
      </c>
      <c r="AS901" s="6" t="str">
        <f>HYPERLINK("https://creighton-primo.hosted.exlibrisgroup.com/primo-explore/search?tab=default_tab&amp;search_scope=EVERYTHING&amp;vid=01CRU&amp;lang=en_US&amp;offset=0&amp;query=any,contains,991005428089702656","Catalog Record")</f>
        <v>Catalog Record</v>
      </c>
      <c r="AT901" s="6" t="str">
        <f>HYPERLINK("http://www.worldcat.org/oclc/38853768","WorldCat Record")</f>
        <v>WorldCat Record</v>
      </c>
      <c r="AU901" s="3" t="s">
        <v>11822</v>
      </c>
      <c r="AV901" s="3" t="s">
        <v>11823</v>
      </c>
      <c r="AW901" s="3" t="s">
        <v>11824</v>
      </c>
      <c r="AX901" s="3" t="s">
        <v>11824</v>
      </c>
      <c r="AY901" s="3" t="s">
        <v>11825</v>
      </c>
      <c r="AZ901" s="3" t="s">
        <v>74</v>
      </c>
      <c r="BB901" s="3" t="s">
        <v>11826</v>
      </c>
      <c r="BC901" s="3" t="s">
        <v>11827</v>
      </c>
      <c r="BD901" s="3" t="s">
        <v>11828</v>
      </c>
    </row>
    <row r="902" spans="1:56" ht="45.75" customHeight="1" x14ac:dyDescent="0.25">
      <c r="A902" s="7" t="s">
        <v>58</v>
      </c>
      <c r="B902" s="2" t="s">
        <v>11829</v>
      </c>
      <c r="C902" s="2" t="s">
        <v>11830</v>
      </c>
      <c r="D902" s="2" t="s">
        <v>11831</v>
      </c>
      <c r="F902" s="3" t="s">
        <v>58</v>
      </c>
      <c r="G902" s="3" t="s">
        <v>59</v>
      </c>
      <c r="H902" s="3" t="s">
        <v>58</v>
      </c>
      <c r="I902" s="3" t="s">
        <v>58</v>
      </c>
      <c r="J902" s="3" t="s">
        <v>60</v>
      </c>
      <c r="K902" s="2" t="s">
        <v>11832</v>
      </c>
      <c r="L902" s="2" t="s">
        <v>1180</v>
      </c>
      <c r="M902" s="3" t="s">
        <v>1088</v>
      </c>
      <c r="O902" s="3" t="s">
        <v>65</v>
      </c>
      <c r="P902" s="3" t="s">
        <v>84</v>
      </c>
      <c r="R902" s="3" t="s">
        <v>67</v>
      </c>
      <c r="S902" s="4">
        <v>2</v>
      </c>
      <c r="T902" s="4">
        <v>2</v>
      </c>
      <c r="U902" s="5" t="s">
        <v>11833</v>
      </c>
      <c r="V902" s="5" t="s">
        <v>11833</v>
      </c>
      <c r="W902" s="5" t="s">
        <v>11834</v>
      </c>
      <c r="X902" s="5" t="s">
        <v>11834</v>
      </c>
      <c r="Y902" s="4">
        <v>460</v>
      </c>
      <c r="Z902" s="4">
        <v>387</v>
      </c>
      <c r="AA902" s="4">
        <v>392</v>
      </c>
      <c r="AB902" s="4">
        <v>4</v>
      </c>
      <c r="AC902" s="4">
        <v>4</v>
      </c>
      <c r="AD902" s="4">
        <v>17</v>
      </c>
      <c r="AE902" s="4">
        <v>17</v>
      </c>
      <c r="AF902" s="4">
        <v>5</v>
      </c>
      <c r="AG902" s="4">
        <v>5</v>
      </c>
      <c r="AH902" s="4">
        <v>4</v>
      </c>
      <c r="AI902" s="4">
        <v>4</v>
      </c>
      <c r="AJ902" s="4">
        <v>8</v>
      </c>
      <c r="AK902" s="4">
        <v>8</v>
      </c>
      <c r="AL902" s="4">
        <v>3</v>
      </c>
      <c r="AM902" s="4">
        <v>3</v>
      </c>
      <c r="AN902" s="4">
        <v>0</v>
      </c>
      <c r="AO902" s="4">
        <v>0</v>
      </c>
      <c r="AP902" s="3" t="s">
        <v>58</v>
      </c>
      <c r="AQ902" s="3" t="s">
        <v>58</v>
      </c>
      <c r="AS902" s="6" t="str">
        <f>HYPERLINK("https://creighton-primo.hosted.exlibrisgroup.com/primo-explore/search?tab=default_tab&amp;search_scope=EVERYTHING&amp;vid=01CRU&amp;lang=en_US&amp;offset=0&amp;query=any,contains,991000604869702656","Catalog Record")</f>
        <v>Catalog Record</v>
      </c>
      <c r="AT902" s="6" t="str">
        <f>HYPERLINK("http://www.worldcat.org/oclc/11865636","WorldCat Record")</f>
        <v>WorldCat Record</v>
      </c>
      <c r="AU902" s="3" t="s">
        <v>11835</v>
      </c>
      <c r="AV902" s="3" t="s">
        <v>11836</v>
      </c>
      <c r="AW902" s="3" t="s">
        <v>11837</v>
      </c>
      <c r="AX902" s="3" t="s">
        <v>11837</v>
      </c>
      <c r="AY902" s="3" t="s">
        <v>11838</v>
      </c>
      <c r="AZ902" s="3" t="s">
        <v>74</v>
      </c>
      <c r="BB902" s="3" t="s">
        <v>11839</v>
      </c>
      <c r="BC902" s="3" t="s">
        <v>11840</v>
      </c>
      <c r="BD902" s="3" t="s">
        <v>11841</v>
      </c>
    </row>
    <row r="903" spans="1:56" ht="45.75" customHeight="1" x14ac:dyDescent="0.25">
      <c r="A903" s="7" t="s">
        <v>58</v>
      </c>
      <c r="B903" s="2" t="s">
        <v>11842</v>
      </c>
      <c r="C903" s="2" t="s">
        <v>11843</v>
      </c>
      <c r="D903" s="2" t="s">
        <v>11844</v>
      </c>
      <c r="F903" s="3" t="s">
        <v>58</v>
      </c>
      <c r="G903" s="3" t="s">
        <v>59</v>
      </c>
      <c r="H903" s="3" t="s">
        <v>58</v>
      </c>
      <c r="I903" s="3" t="s">
        <v>58</v>
      </c>
      <c r="J903" s="3" t="s">
        <v>60</v>
      </c>
      <c r="K903" s="2" t="s">
        <v>11845</v>
      </c>
      <c r="L903" s="2" t="s">
        <v>11846</v>
      </c>
      <c r="M903" s="3" t="s">
        <v>800</v>
      </c>
      <c r="O903" s="3" t="s">
        <v>65</v>
      </c>
      <c r="P903" s="3" t="s">
        <v>8794</v>
      </c>
      <c r="R903" s="3" t="s">
        <v>67</v>
      </c>
      <c r="S903" s="4">
        <v>4</v>
      </c>
      <c r="T903" s="4">
        <v>4</v>
      </c>
      <c r="U903" s="5" t="s">
        <v>11847</v>
      </c>
      <c r="V903" s="5" t="s">
        <v>11847</v>
      </c>
      <c r="W903" s="5" t="s">
        <v>11848</v>
      </c>
      <c r="X903" s="5" t="s">
        <v>11848</v>
      </c>
      <c r="Y903" s="4">
        <v>187</v>
      </c>
      <c r="Z903" s="4">
        <v>172</v>
      </c>
      <c r="AA903" s="4">
        <v>315</v>
      </c>
      <c r="AB903" s="4">
        <v>1</v>
      </c>
      <c r="AC903" s="4">
        <v>1</v>
      </c>
      <c r="AD903" s="4">
        <v>2</v>
      </c>
      <c r="AE903" s="4">
        <v>3</v>
      </c>
      <c r="AF903" s="4">
        <v>1</v>
      </c>
      <c r="AG903" s="4">
        <v>2</v>
      </c>
      <c r="AH903" s="4">
        <v>0</v>
      </c>
      <c r="AI903" s="4">
        <v>1</v>
      </c>
      <c r="AJ903" s="4">
        <v>2</v>
      </c>
      <c r="AK903" s="4">
        <v>2</v>
      </c>
      <c r="AL903" s="4">
        <v>0</v>
      </c>
      <c r="AM903" s="4">
        <v>0</v>
      </c>
      <c r="AN903" s="4">
        <v>0</v>
      </c>
      <c r="AO903" s="4">
        <v>0</v>
      </c>
      <c r="AP903" s="3" t="s">
        <v>58</v>
      </c>
      <c r="AQ903" s="3" t="s">
        <v>87</v>
      </c>
      <c r="AR903" s="6" t="str">
        <f>HYPERLINK("http://catalog.hathitrust.org/Record/003781704","HathiTrust Record")</f>
        <v>HathiTrust Record</v>
      </c>
      <c r="AS903" s="6" t="str">
        <f>HYPERLINK("https://creighton-primo.hosted.exlibrisgroup.com/primo-explore/search?tab=default_tab&amp;search_scope=EVERYTHING&amp;vid=01CRU&amp;lang=en_US&amp;offset=0&amp;query=any,contains,991003859529702656","Catalog Record")</f>
        <v>Catalog Record</v>
      </c>
      <c r="AT903" s="6" t="str">
        <f>HYPERLINK("http://www.worldcat.org/oclc/24320409","WorldCat Record")</f>
        <v>WorldCat Record</v>
      </c>
      <c r="AU903" s="3" t="s">
        <v>11849</v>
      </c>
      <c r="AV903" s="3" t="s">
        <v>11850</v>
      </c>
      <c r="AW903" s="3" t="s">
        <v>11851</v>
      </c>
      <c r="AX903" s="3" t="s">
        <v>11851</v>
      </c>
      <c r="AY903" s="3" t="s">
        <v>11852</v>
      </c>
      <c r="AZ903" s="3" t="s">
        <v>74</v>
      </c>
      <c r="BB903" s="3" t="s">
        <v>11853</v>
      </c>
      <c r="BC903" s="3" t="s">
        <v>11854</v>
      </c>
      <c r="BD903" s="3" t="s">
        <v>11855</v>
      </c>
    </row>
    <row r="904" spans="1:56" ht="45.75" customHeight="1" x14ac:dyDescent="0.25">
      <c r="A904" s="7" t="s">
        <v>58</v>
      </c>
      <c r="B904" s="2" t="s">
        <v>11856</v>
      </c>
      <c r="C904" s="2" t="s">
        <v>11857</v>
      </c>
      <c r="D904" s="2" t="s">
        <v>11858</v>
      </c>
      <c r="F904" s="3" t="s">
        <v>58</v>
      </c>
      <c r="G904" s="3" t="s">
        <v>59</v>
      </c>
      <c r="H904" s="3" t="s">
        <v>58</v>
      </c>
      <c r="I904" s="3" t="s">
        <v>58</v>
      </c>
      <c r="J904" s="3" t="s">
        <v>60</v>
      </c>
      <c r="K904" s="2" t="s">
        <v>11859</v>
      </c>
      <c r="L904" s="2" t="s">
        <v>11860</v>
      </c>
      <c r="M904" s="3" t="s">
        <v>220</v>
      </c>
      <c r="O904" s="3" t="s">
        <v>65</v>
      </c>
      <c r="P904" s="3" t="s">
        <v>175</v>
      </c>
      <c r="Q904" s="2" t="s">
        <v>11861</v>
      </c>
      <c r="R904" s="3" t="s">
        <v>67</v>
      </c>
      <c r="S904" s="4">
        <v>3</v>
      </c>
      <c r="T904" s="4">
        <v>3</v>
      </c>
      <c r="U904" s="5" t="s">
        <v>10205</v>
      </c>
      <c r="V904" s="5" t="s">
        <v>10205</v>
      </c>
      <c r="W904" s="5" t="s">
        <v>11862</v>
      </c>
      <c r="X904" s="5" t="s">
        <v>11862</v>
      </c>
      <c r="Y904" s="4">
        <v>366</v>
      </c>
      <c r="Z904" s="4">
        <v>275</v>
      </c>
      <c r="AA904" s="4">
        <v>349</v>
      </c>
      <c r="AB904" s="4">
        <v>3</v>
      </c>
      <c r="AC904" s="4">
        <v>3</v>
      </c>
      <c r="AD904" s="4">
        <v>15</v>
      </c>
      <c r="AE904" s="4">
        <v>19</v>
      </c>
      <c r="AF904" s="4">
        <v>6</v>
      </c>
      <c r="AG904" s="4">
        <v>6</v>
      </c>
      <c r="AH904" s="4">
        <v>5</v>
      </c>
      <c r="AI904" s="4">
        <v>8</v>
      </c>
      <c r="AJ904" s="4">
        <v>7</v>
      </c>
      <c r="AK904" s="4">
        <v>9</v>
      </c>
      <c r="AL904" s="4">
        <v>2</v>
      </c>
      <c r="AM904" s="4">
        <v>2</v>
      </c>
      <c r="AN904" s="4">
        <v>0</v>
      </c>
      <c r="AO904" s="4">
        <v>0</v>
      </c>
      <c r="AP904" s="3" t="s">
        <v>58</v>
      </c>
      <c r="AQ904" s="3" t="s">
        <v>58</v>
      </c>
      <c r="AS904" s="6" t="str">
        <f>HYPERLINK("https://creighton-primo.hosted.exlibrisgroup.com/primo-explore/search?tab=default_tab&amp;search_scope=EVERYTHING&amp;vid=01CRU&amp;lang=en_US&amp;offset=0&amp;query=any,contains,991003300309702656","Catalog Record")</f>
        <v>Catalog Record</v>
      </c>
      <c r="AT904" s="6" t="str">
        <f>HYPERLINK("http://www.worldcat.org/oclc/38504258","WorldCat Record")</f>
        <v>WorldCat Record</v>
      </c>
      <c r="AU904" s="3" t="s">
        <v>11863</v>
      </c>
      <c r="AV904" s="3" t="s">
        <v>11864</v>
      </c>
      <c r="AW904" s="3" t="s">
        <v>11865</v>
      </c>
      <c r="AX904" s="3" t="s">
        <v>11865</v>
      </c>
      <c r="AY904" s="3" t="s">
        <v>11866</v>
      </c>
      <c r="AZ904" s="3" t="s">
        <v>74</v>
      </c>
      <c r="BB904" s="3" t="s">
        <v>11867</v>
      </c>
      <c r="BC904" s="3" t="s">
        <v>11868</v>
      </c>
      <c r="BD904" s="3" t="s">
        <v>11869</v>
      </c>
    </row>
    <row r="905" spans="1:56" ht="45.75" customHeight="1" x14ac:dyDescent="0.25">
      <c r="A905" s="7" t="s">
        <v>58</v>
      </c>
      <c r="B905" s="2" t="s">
        <v>11870</v>
      </c>
      <c r="C905" s="2" t="s">
        <v>11871</v>
      </c>
      <c r="D905" s="2" t="s">
        <v>11872</v>
      </c>
      <c r="F905" s="3" t="s">
        <v>58</v>
      </c>
      <c r="G905" s="3" t="s">
        <v>59</v>
      </c>
      <c r="H905" s="3" t="s">
        <v>58</v>
      </c>
      <c r="I905" s="3" t="s">
        <v>58</v>
      </c>
      <c r="J905" s="3" t="s">
        <v>60</v>
      </c>
      <c r="L905" s="2" t="s">
        <v>11873</v>
      </c>
      <c r="M905" s="3" t="s">
        <v>557</v>
      </c>
      <c r="O905" s="3" t="s">
        <v>65</v>
      </c>
      <c r="P905" s="3" t="s">
        <v>132</v>
      </c>
      <c r="Q905" s="2" t="s">
        <v>11874</v>
      </c>
      <c r="R905" s="3" t="s">
        <v>67</v>
      </c>
      <c r="S905" s="4">
        <v>8</v>
      </c>
      <c r="T905" s="4">
        <v>8</v>
      </c>
      <c r="U905" s="5" t="s">
        <v>11875</v>
      </c>
      <c r="V905" s="5" t="s">
        <v>11875</v>
      </c>
      <c r="W905" s="5" t="s">
        <v>11876</v>
      </c>
      <c r="X905" s="5" t="s">
        <v>11876</v>
      </c>
      <c r="Y905" s="4">
        <v>249</v>
      </c>
      <c r="Z905" s="4">
        <v>200</v>
      </c>
      <c r="AA905" s="4">
        <v>205</v>
      </c>
      <c r="AB905" s="4">
        <v>3</v>
      </c>
      <c r="AC905" s="4">
        <v>3</v>
      </c>
      <c r="AD905" s="4">
        <v>13</v>
      </c>
      <c r="AE905" s="4">
        <v>13</v>
      </c>
      <c r="AF905" s="4">
        <v>3</v>
      </c>
      <c r="AG905" s="4">
        <v>3</v>
      </c>
      <c r="AH905" s="4">
        <v>3</v>
      </c>
      <c r="AI905" s="4">
        <v>3</v>
      </c>
      <c r="AJ905" s="4">
        <v>7</v>
      </c>
      <c r="AK905" s="4">
        <v>7</v>
      </c>
      <c r="AL905" s="4">
        <v>2</v>
      </c>
      <c r="AM905" s="4">
        <v>2</v>
      </c>
      <c r="AN905" s="4">
        <v>0</v>
      </c>
      <c r="AO905" s="4">
        <v>0</v>
      </c>
      <c r="AP905" s="3" t="s">
        <v>58</v>
      </c>
      <c r="AQ905" s="3" t="s">
        <v>58</v>
      </c>
      <c r="AS905" s="6" t="str">
        <f>HYPERLINK("https://creighton-primo.hosted.exlibrisgroup.com/primo-explore/search?tab=default_tab&amp;search_scope=EVERYTHING&amp;vid=01CRU&amp;lang=en_US&amp;offset=0&amp;query=any,contains,991002082149702656","Catalog Record")</f>
        <v>Catalog Record</v>
      </c>
      <c r="AT905" s="6" t="str">
        <f>HYPERLINK("http://www.worldcat.org/oclc/26720137","WorldCat Record")</f>
        <v>WorldCat Record</v>
      </c>
      <c r="AU905" s="3" t="s">
        <v>11877</v>
      </c>
      <c r="AV905" s="3" t="s">
        <v>11878</v>
      </c>
      <c r="AW905" s="3" t="s">
        <v>11879</v>
      </c>
      <c r="AX905" s="3" t="s">
        <v>11879</v>
      </c>
      <c r="AY905" s="3" t="s">
        <v>11880</v>
      </c>
      <c r="AZ905" s="3" t="s">
        <v>74</v>
      </c>
      <c r="BB905" s="3" t="s">
        <v>11881</v>
      </c>
      <c r="BC905" s="3" t="s">
        <v>11882</v>
      </c>
      <c r="BD905" s="3" t="s">
        <v>11883</v>
      </c>
    </row>
    <row r="906" spans="1:56" ht="45.75" customHeight="1" x14ac:dyDescent="0.25">
      <c r="A906" s="7" t="s">
        <v>58</v>
      </c>
      <c r="B906" s="2" t="s">
        <v>11884</v>
      </c>
      <c r="C906" s="2" t="s">
        <v>11885</v>
      </c>
      <c r="D906" s="2" t="s">
        <v>11886</v>
      </c>
      <c r="F906" s="3" t="s">
        <v>58</v>
      </c>
      <c r="G906" s="3" t="s">
        <v>59</v>
      </c>
      <c r="H906" s="3" t="s">
        <v>58</v>
      </c>
      <c r="I906" s="3" t="s">
        <v>58</v>
      </c>
      <c r="J906" s="3" t="s">
        <v>60</v>
      </c>
      <c r="L906" s="2" t="s">
        <v>11887</v>
      </c>
      <c r="M906" s="3" t="s">
        <v>1209</v>
      </c>
      <c r="O906" s="3" t="s">
        <v>65</v>
      </c>
      <c r="P906" s="3" t="s">
        <v>587</v>
      </c>
      <c r="R906" s="3" t="s">
        <v>67</v>
      </c>
      <c r="S906" s="4">
        <v>6</v>
      </c>
      <c r="T906" s="4">
        <v>6</v>
      </c>
      <c r="U906" s="5" t="s">
        <v>11888</v>
      </c>
      <c r="V906" s="5" t="s">
        <v>11888</v>
      </c>
      <c r="W906" s="5" t="s">
        <v>4776</v>
      </c>
      <c r="X906" s="5" t="s">
        <v>4776</v>
      </c>
      <c r="Y906" s="4">
        <v>564</v>
      </c>
      <c r="Z906" s="4">
        <v>490</v>
      </c>
      <c r="AA906" s="4">
        <v>491</v>
      </c>
      <c r="AB906" s="4">
        <v>3</v>
      </c>
      <c r="AC906" s="4">
        <v>3</v>
      </c>
      <c r="AD906" s="4">
        <v>23</v>
      </c>
      <c r="AE906" s="4">
        <v>23</v>
      </c>
      <c r="AF906" s="4">
        <v>8</v>
      </c>
      <c r="AG906" s="4">
        <v>8</v>
      </c>
      <c r="AH906" s="4">
        <v>5</v>
      </c>
      <c r="AI906" s="4">
        <v>5</v>
      </c>
      <c r="AJ906" s="4">
        <v>12</v>
      </c>
      <c r="AK906" s="4">
        <v>12</v>
      </c>
      <c r="AL906" s="4">
        <v>2</v>
      </c>
      <c r="AM906" s="4">
        <v>2</v>
      </c>
      <c r="AN906" s="4">
        <v>3</v>
      </c>
      <c r="AO906" s="4">
        <v>3</v>
      </c>
      <c r="AP906" s="3" t="s">
        <v>58</v>
      </c>
      <c r="AQ906" s="3" t="s">
        <v>58</v>
      </c>
      <c r="AS906" s="6" t="str">
        <f>HYPERLINK("https://creighton-primo.hosted.exlibrisgroup.com/primo-explore/search?tab=default_tab&amp;search_scope=EVERYTHING&amp;vid=01CRU&amp;lang=en_US&amp;offset=0&amp;query=any,contains,991001031589702656","Catalog Record")</f>
        <v>Catalog Record</v>
      </c>
      <c r="AT906" s="6" t="str">
        <f>HYPERLINK("http://www.worldcat.org/oclc/15518685","WorldCat Record")</f>
        <v>WorldCat Record</v>
      </c>
      <c r="AU906" s="3" t="s">
        <v>11889</v>
      </c>
      <c r="AV906" s="3" t="s">
        <v>11890</v>
      </c>
      <c r="AW906" s="3" t="s">
        <v>11891</v>
      </c>
      <c r="AX906" s="3" t="s">
        <v>11891</v>
      </c>
      <c r="AY906" s="3" t="s">
        <v>11892</v>
      </c>
      <c r="AZ906" s="3" t="s">
        <v>74</v>
      </c>
      <c r="BB906" s="3" t="s">
        <v>11893</v>
      </c>
      <c r="BC906" s="3" t="s">
        <v>11894</v>
      </c>
      <c r="BD906" s="3" t="s">
        <v>11895</v>
      </c>
    </row>
    <row r="907" spans="1:56" ht="45.75" customHeight="1" x14ac:dyDescent="0.25">
      <c r="A907" s="7" t="s">
        <v>58</v>
      </c>
      <c r="B907" s="2" t="s">
        <v>11896</v>
      </c>
      <c r="C907" s="2" t="s">
        <v>11897</v>
      </c>
      <c r="D907" s="2" t="s">
        <v>11898</v>
      </c>
      <c r="F907" s="3" t="s">
        <v>58</v>
      </c>
      <c r="G907" s="3" t="s">
        <v>59</v>
      </c>
      <c r="H907" s="3" t="s">
        <v>58</v>
      </c>
      <c r="I907" s="3" t="s">
        <v>58</v>
      </c>
      <c r="J907" s="3" t="s">
        <v>60</v>
      </c>
      <c r="L907" s="2" t="s">
        <v>4696</v>
      </c>
      <c r="M907" s="3" t="s">
        <v>290</v>
      </c>
      <c r="O907" s="3" t="s">
        <v>65</v>
      </c>
      <c r="P907" s="3" t="s">
        <v>84</v>
      </c>
      <c r="R907" s="3" t="s">
        <v>67</v>
      </c>
      <c r="S907" s="4">
        <v>3</v>
      </c>
      <c r="T907" s="4">
        <v>3</v>
      </c>
      <c r="U907" s="5" t="s">
        <v>11899</v>
      </c>
      <c r="V907" s="5" t="s">
        <v>11899</v>
      </c>
      <c r="W907" s="5" t="s">
        <v>6146</v>
      </c>
      <c r="X907" s="5" t="s">
        <v>6146</v>
      </c>
      <c r="Y907" s="4">
        <v>356</v>
      </c>
      <c r="Z907" s="4">
        <v>300</v>
      </c>
      <c r="AA907" s="4">
        <v>374</v>
      </c>
      <c r="AB907" s="4">
        <v>4</v>
      </c>
      <c r="AC907" s="4">
        <v>4</v>
      </c>
      <c r="AD907" s="4">
        <v>14</v>
      </c>
      <c r="AE907" s="4">
        <v>14</v>
      </c>
      <c r="AF907" s="4">
        <v>4</v>
      </c>
      <c r="AG907" s="4">
        <v>4</v>
      </c>
      <c r="AH907" s="4">
        <v>3</v>
      </c>
      <c r="AI907" s="4">
        <v>3</v>
      </c>
      <c r="AJ907" s="4">
        <v>7</v>
      </c>
      <c r="AK907" s="4">
        <v>7</v>
      </c>
      <c r="AL907" s="4">
        <v>3</v>
      </c>
      <c r="AM907" s="4">
        <v>3</v>
      </c>
      <c r="AN907" s="4">
        <v>0</v>
      </c>
      <c r="AO907" s="4">
        <v>0</v>
      </c>
      <c r="AP907" s="3" t="s">
        <v>58</v>
      </c>
      <c r="AQ907" s="3" t="s">
        <v>58</v>
      </c>
      <c r="AS907" s="6" t="str">
        <f>HYPERLINK("https://creighton-primo.hosted.exlibrisgroup.com/primo-explore/search?tab=default_tab&amp;search_scope=EVERYTHING&amp;vid=01CRU&amp;lang=en_US&amp;offset=0&amp;query=any,contains,991003585679702656","Catalog Record")</f>
        <v>Catalog Record</v>
      </c>
      <c r="AT907" s="6" t="str">
        <f>HYPERLINK("http://www.worldcat.org/oclc/45446166","WorldCat Record")</f>
        <v>WorldCat Record</v>
      </c>
      <c r="AU907" s="3" t="s">
        <v>11900</v>
      </c>
      <c r="AV907" s="3" t="s">
        <v>11901</v>
      </c>
      <c r="AW907" s="3" t="s">
        <v>11902</v>
      </c>
      <c r="AX907" s="3" t="s">
        <v>11902</v>
      </c>
      <c r="AY907" s="3" t="s">
        <v>11903</v>
      </c>
      <c r="AZ907" s="3" t="s">
        <v>74</v>
      </c>
      <c r="BB907" s="3" t="s">
        <v>11904</v>
      </c>
      <c r="BC907" s="3" t="s">
        <v>11905</v>
      </c>
      <c r="BD907" s="3" t="s">
        <v>11906</v>
      </c>
    </row>
    <row r="908" spans="1:56" ht="45.75" customHeight="1" x14ac:dyDescent="0.25">
      <c r="A908" s="7" t="s">
        <v>58</v>
      </c>
      <c r="B908" s="2" t="s">
        <v>11907</v>
      </c>
      <c r="C908" s="2" t="s">
        <v>11908</v>
      </c>
      <c r="D908" s="2" t="s">
        <v>11909</v>
      </c>
      <c r="F908" s="3" t="s">
        <v>58</v>
      </c>
      <c r="G908" s="3" t="s">
        <v>59</v>
      </c>
      <c r="H908" s="3" t="s">
        <v>58</v>
      </c>
      <c r="I908" s="3" t="s">
        <v>58</v>
      </c>
      <c r="J908" s="3" t="s">
        <v>60</v>
      </c>
      <c r="K908" s="2" t="s">
        <v>11910</v>
      </c>
      <c r="L908" s="2" t="s">
        <v>11911</v>
      </c>
      <c r="M908" s="3" t="s">
        <v>629</v>
      </c>
      <c r="O908" s="3" t="s">
        <v>65</v>
      </c>
      <c r="P908" s="3" t="s">
        <v>148</v>
      </c>
      <c r="R908" s="3" t="s">
        <v>67</v>
      </c>
      <c r="S908" s="4">
        <v>19</v>
      </c>
      <c r="T908" s="4">
        <v>19</v>
      </c>
      <c r="U908" s="5" t="s">
        <v>11912</v>
      </c>
      <c r="V908" s="5" t="s">
        <v>11912</v>
      </c>
      <c r="W908" s="5" t="s">
        <v>11913</v>
      </c>
      <c r="X908" s="5" t="s">
        <v>11913</v>
      </c>
      <c r="Y908" s="4">
        <v>961</v>
      </c>
      <c r="Z908" s="4">
        <v>857</v>
      </c>
      <c r="AA908" s="4">
        <v>873</v>
      </c>
      <c r="AB908" s="4">
        <v>5</v>
      </c>
      <c r="AC908" s="4">
        <v>5</v>
      </c>
      <c r="AD908" s="4">
        <v>43</v>
      </c>
      <c r="AE908" s="4">
        <v>43</v>
      </c>
      <c r="AF908" s="4">
        <v>17</v>
      </c>
      <c r="AG908" s="4">
        <v>17</v>
      </c>
      <c r="AH908" s="4">
        <v>8</v>
      </c>
      <c r="AI908" s="4">
        <v>8</v>
      </c>
      <c r="AJ908" s="4">
        <v>17</v>
      </c>
      <c r="AK908" s="4">
        <v>17</v>
      </c>
      <c r="AL908" s="4">
        <v>4</v>
      </c>
      <c r="AM908" s="4">
        <v>4</v>
      </c>
      <c r="AN908" s="4">
        <v>5</v>
      </c>
      <c r="AO908" s="4">
        <v>5</v>
      </c>
      <c r="AP908" s="3" t="s">
        <v>58</v>
      </c>
      <c r="AQ908" s="3" t="s">
        <v>87</v>
      </c>
      <c r="AR908" s="6" t="str">
        <f>HYPERLINK("http://catalog.hathitrust.org/Record/002818113","HathiTrust Record")</f>
        <v>HathiTrust Record</v>
      </c>
      <c r="AS908" s="6" t="str">
        <f>HYPERLINK("https://creighton-primo.hosted.exlibrisgroup.com/primo-explore/search?tab=default_tab&amp;search_scope=EVERYTHING&amp;vid=01CRU&amp;lang=en_US&amp;offset=0&amp;query=any,contains,991002270839702656","Catalog Record")</f>
        <v>Catalog Record</v>
      </c>
      <c r="AT908" s="6" t="str">
        <f>HYPERLINK("http://www.worldcat.org/oclc/29469835","WorldCat Record")</f>
        <v>WorldCat Record</v>
      </c>
      <c r="AU908" s="3" t="s">
        <v>11914</v>
      </c>
      <c r="AV908" s="3" t="s">
        <v>11915</v>
      </c>
      <c r="AW908" s="3" t="s">
        <v>11916</v>
      </c>
      <c r="AX908" s="3" t="s">
        <v>11916</v>
      </c>
      <c r="AY908" s="3" t="s">
        <v>11917</v>
      </c>
      <c r="AZ908" s="3" t="s">
        <v>74</v>
      </c>
      <c r="BB908" s="3" t="s">
        <v>11918</v>
      </c>
      <c r="BC908" s="3" t="s">
        <v>11919</v>
      </c>
      <c r="BD908" s="3" t="s">
        <v>11920</v>
      </c>
    </row>
    <row r="909" spans="1:56" ht="45.75" customHeight="1" x14ac:dyDescent="0.25">
      <c r="A909" s="7" t="s">
        <v>58</v>
      </c>
      <c r="B909" s="2" t="s">
        <v>11921</v>
      </c>
      <c r="C909" s="2" t="s">
        <v>11922</v>
      </c>
      <c r="D909" s="2" t="s">
        <v>11923</v>
      </c>
      <c r="F909" s="3" t="s">
        <v>58</v>
      </c>
      <c r="G909" s="3" t="s">
        <v>59</v>
      </c>
      <c r="H909" s="3" t="s">
        <v>58</v>
      </c>
      <c r="I909" s="3" t="s">
        <v>58</v>
      </c>
      <c r="J909" s="3" t="s">
        <v>60</v>
      </c>
      <c r="K909" s="2" t="s">
        <v>11924</v>
      </c>
      <c r="L909" s="2" t="s">
        <v>11925</v>
      </c>
      <c r="M909" s="3" t="s">
        <v>629</v>
      </c>
      <c r="O909" s="3" t="s">
        <v>65</v>
      </c>
      <c r="P909" s="3" t="s">
        <v>84</v>
      </c>
      <c r="R909" s="3" t="s">
        <v>67</v>
      </c>
      <c r="S909" s="4">
        <v>1</v>
      </c>
      <c r="T909" s="4">
        <v>1</v>
      </c>
      <c r="U909" s="5" t="s">
        <v>3346</v>
      </c>
      <c r="V909" s="5" t="s">
        <v>3346</v>
      </c>
      <c r="W909" s="5" t="s">
        <v>11926</v>
      </c>
      <c r="X909" s="5" t="s">
        <v>11926</v>
      </c>
      <c r="Y909" s="4">
        <v>507</v>
      </c>
      <c r="Z909" s="4">
        <v>391</v>
      </c>
      <c r="AA909" s="4">
        <v>397</v>
      </c>
      <c r="AB909" s="4">
        <v>3</v>
      </c>
      <c r="AC909" s="4">
        <v>3</v>
      </c>
      <c r="AD909" s="4">
        <v>18</v>
      </c>
      <c r="AE909" s="4">
        <v>18</v>
      </c>
      <c r="AF909" s="4">
        <v>8</v>
      </c>
      <c r="AG909" s="4">
        <v>8</v>
      </c>
      <c r="AH909" s="4">
        <v>3</v>
      </c>
      <c r="AI909" s="4">
        <v>3</v>
      </c>
      <c r="AJ909" s="4">
        <v>11</v>
      </c>
      <c r="AK909" s="4">
        <v>11</v>
      </c>
      <c r="AL909" s="4">
        <v>2</v>
      </c>
      <c r="AM909" s="4">
        <v>2</v>
      </c>
      <c r="AN909" s="4">
        <v>0</v>
      </c>
      <c r="AO909" s="4">
        <v>0</v>
      </c>
      <c r="AP909" s="3" t="s">
        <v>58</v>
      </c>
      <c r="AQ909" s="3" t="s">
        <v>58</v>
      </c>
      <c r="AS909" s="6" t="str">
        <f>HYPERLINK("https://creighton-primo.hosted.exlibrisgroup.com/primo-explore/search?tab=default_tab&amp;search_scope=EVERYTHING&amp;vid=01CRU&amp;lang=en_US&amp;offset=0&amp;query=any,contains,991002275529702656","Catalog Record")</f>
        <v>Catalog Record</v>
      </c>
      <c r="AT909" s="6" t="str">
        <f>HYPERLINK("http://www.worldcat.org/oclc/29521644","WorldCat Record")</f>
        <v>WorldCat Record</v>
      </c>
      <c r="AU909" s="3" t="s">
        <v>11927</v>
      </c>
      <c r="AV909" s="3" t="s">
        <v>11928</v>
      </c>
      <c r="AW909" s="3" t="s">
        <v>11929</v>
      </c>
      <c r="AX909" s="3" t="s">
        <v>11929</v>
      </c>
      <c r="AY909" s="3" t="s">
        <v>11930</v>
      </c>
      <c r="AZ909" s="3" t="s">
        <v>74</v>
      </c>
      <c r="BB909" s="3" t="s">
        <v>11931</v>
      </c>
      <c r="BC909" s="3" t="s">
        <v>11932</v>
      </c>
      <c r="BD909" s="3" t="s">
        <v>11933</v>
      </c>
    </row>
    <row r="910" spans="1:56" ht="45.75" customHeight="1" x14ac:dyDescent="0.25">
      <c r="A910" s="7" t="s">
        <v>58</v>
      </c>
      <c r="B910" s="2" t="s">
        <v>11934</v>
      </c>
      <c r="C910" s="2" t="s">
        <v>11935</v>
      </c>
      <c r="D910" s="2" t="s">
        <v>11936</v>
      </c>
      <c r="F910" s="3" t="s">
        <v>58</v>
      </c>
      <c r="G910" s="3" t="s">
        <v>59</v>
      </c>
      <c r="H910" s="3" t="s">
        <v>58</v>
      </c>
      <c r="I910" s="3" t="s">
        <v>58</v>
      </c>
      <c r="J910" s="3" t="s">
        <v>60</v>
      </c>
      <c r="K910" s="2" t="s">
        <v>11937</v>
      </c>
      <c r="L910" s="2" t="s">
        <v>11938</v>
      </c>
      <c r="M910" s="3" t="s">
        <v>1058</v>
      </c>
      <c r="O910" s="3" t="s">
        <v>65</v>
      </c>
      <c r="P910" s="3" t="s">
        <v>132</v>
      </c>
      <c r="R910" s="3" t="s">
        <v>67</v>
      </c>
      <c r="S910" s="4">
        <v>7</v>
      </c>
      <c r="T910" s="4">
        <v>7</v>
      </c>
      <c r="U910" s="5" t="s">
        <v>11939</v>
      </c>
      <c r="V910" s="5" t="s">
        <v>11939</v>
      </c>
      <c r="W910" s="5" t="s">
        <v>11940</v>
      </c>
      <c r="X910" s="5" t="s">
        <v>11940</v>
      </c>
      <c r="Y910" s="4">
        <v>441</v>
      </c>
      <c r="Z910" s="4">
        <v>366</v>
      </c>
      <c r="AA910" s="4">
        <v>371</v>
      </c>
      <c r="AB910" s="4">
        <v>3</v>
      </c>
      <c r="AC910" s="4">
        <v>3</v>
      </c>
      <c r="AD910" s="4">
        <v>16</v>
      </c>
      <c r="AE910" s="4">
        <v>16</v>
      </c>
      <c r="AF910" s="4">
        <v>4</v>
      </c>
      <c r="AG910" s="4">
        <v>4</v>
      </c>
      <c r="AH910" s="4">
        <v>5</v>
      </c>
      <c r="AI910" s="4">
        <v>5</v>
      </c>
      <c r="AJ910" s="4">
        <v>9</v>
      </c>
      <c r="AK910" s="4">
        <v>9</v>
      </c>
      <c r="AL910" s="4">
        <v>2</v>
      </c>
      <c r="AM910" s="4">
        <v>2</v>
      </c>
      <c r="AN910" s="4">
        <v>1</v>
      </c>
      <c r="AO910" s="4">
        <v>1</v>
      </c>
      <c r="AP910" s="3" t="s">
        <v>58</v>
      </c>
      <c r="AQ910" s="3" t="s">
        <v>58</v>
      </c>
      <c r="AS910" s="6" t="str">
        <f>HYPERLINK("https://creighton-primo.hosted.exlibrisgroup.com/primo-explore/search?tab=default_tab&amp;search_scope=EVERYTHING&amp;vid=01CRU&amp;lang=en_US&amp;offset=0&amp;query=any,contains,991001004529702656","Catalog Record")</f>
        <v>Catalog Record</v>
      </c>
      <c r="AT910" s="6" t="str">
        <f>HYPERLINK("http://www.worldcat.org/oclc/15223977","WorldCat Record")</f>
        <v>WorldCat Record</v>
      </c>
      <c r="AU910" s="3" t="s">
        <v>11941</v>
      </c>
      <c r="AV910" s="3" t="s">
        <v>11942</v>
      </c>
      <c r="AW910" s="3" t="s">
        <v>11943</v>
      </c>
      <c r="AX910" s="3" t="s">
        <v>11943</v>
      </c>
      <c r="AY910" s="3" t="s">
        <v>11944</v>
      </c>
      <c r="AZ910" s="3" t="s">
        <v>74</v>
      </c>
      <c r="BB910" s="3" t="s">
        <v>11945</v>
      </c>
      <c r="BC910" s="3" t="s">
        <v>11946</v>
      </c>
      <c r="BD910" s="3" t="s">
        <v>11947</v>
      </c>
    </row>
    <row r="911" spans="1:56" ht="45.75" customHeight="1" x14ac:dyDescent="0.25">
      <c r="A911" s="7" t="s">
        <v>58</v>
      </c>
      <c r="B911" s="2" t="s">
        <v>11948</v>
      </c>
      <c r="C911" s="2" t="s">
        <v>11949</v>
      </c>
      <c r="D911" s="2" t="s">
        <v>11950</v>
      </c>
      <c r="F911" s="3" t="s">
        <v>58</v>
      </c>
      <c r="G911" s="3" t="s">
        <v>59</v>
      </c>
      <c r="H911" s="3" t="s">
        <v>58</v>
      </c>
      <c r="I911" s="3" t="s">
        <v>58</v>
      </c>
      <c r="J911" s="3" t="s">
        <v>60</v>
      </c>
      <c r="K911" s="2" t="s">
        <v>11951</v>
      </c>
      <c r="L911" s="2" t="s">
        <v>11952</v>
      </c>
      <c r="M911" s="3" t="s">
        <v>248</v>
      </c>
      <c r="O911" s="3" t="s">
        <v>65</v>
      </c>
      <c r="P911" s="3" t="s">
        <v>11953</v>
      </c>
      <c r="Q911" s="2" t="s">
        <v>6505</v>
      </c>
      <c r="R911" s="3" t="s">
        <v>67</v>
      </c>
      <c r="S911" s="4">
        <v>1</v>
      </c>
      <c r="T911" s="4">
        <v>1</v>
      </c>
      <c r="U911" s="5" t="s">
        <v>11954</v>
      </c>
      <c r="V911" s="5" t="s">
        <v>11954</v>
      </c>
      <c r="W911" s="5" t="s">
        <v>11954</v>
      </c>
      <c r="X911" s="5" t="s">
        <v>11954</v>
      </c>
      <c r="Y911" s="4">
        <v>180</v>
      </c>
      <c r="Z911" s="4">
        <v>141</v>
      </c>
      <c r="AA911" s="4">
        <v>141</v>
      </c>
      <c r="AB911" s="4">
        <v>2</v>
      </c>
      <c r="AC911" s="4">
        <v>2</v>
      </c>
      <c r="AD911" s="4">
        <v>7</v>
      </c>
      <c r="AE911" s="4">
        <v>7</v>
      </c>
      <c r="AF911" s="4">
        <v>2</v>
      </c>
      <c r="AG911" s="4">
        <v>2</v>
      </c>
      <c r="AH911" s="4">
        <v>1</v>
      </c>
      <c r="AI911" s="4">
        <v>1</v>
      </c>
      <c r="AJ911" s="4">
        <v>3</v>
      </c>
      <c r="AK911" s="4">
        <v>3</v>
      </c>
      <c r="AL911" s="4">
        <v>1</v>
      </c>
      <c r="AM911" s="4">
        <v>1</v>
      </c>
      <c r="AN911" s="4">
        <v>0</v>
      </c>
      <c r="AO911" s="4">
        <v>0</v>
      </c>
      <c r="AP911" s="3" t="s">
        <v>58</v>
      </c>
      <c r="AQ911" s="3" t="s">
        <v>58</v>
      </c>
      <c r="AS911" s="6" t="str">
        <f>HYPERLINK("https://creighton-primo.hosted.exlibrisgroup.com/primo-explore/search?tab=default_tab&amp;search_scope=EVERYTHING&amp;vid=01CRU&amp;lang=en_US&amp;offset=0&amp;query=any,contains,991005270929702656","Catalog Record")</f>
        <v>Catalog Record</v>
      </c>
      <c r="AT911" s="6" t="str">
        <f>HYPERLINK("http://www.worldcat.org/oclc/76937416","WorldCat Record")</f>
        <v>WorldCat Record</v>
      </c>
      <c r="AU911" s="3" t="s">
        <v>11955</v>
      </c>
      <c r="AV911" s="3" t="s">
        <v>11956</v>
      </c>
      <c r="AW911" s="3" t="s">
        <v>11957</v>
      </c>
      <c r="AX911" s="3" t="s">
        <v>11957</v>
      </c>
      <c r="AY911" s="3" t="s">
        <v>11958</v>
      </c>
      <c r="AZ911" s="3" t="s">
        <v>74</v>
      </c>
      <c r="BB911" s="3" t="s">
        <v>11959</v>
      </c>
      <c r="BC911" s="3" t="s">
        <v>11960</v>
      </c>
      <c r="BD911" s="3" t="s">
        <v>11961</v>
      </c>
    </row>
    <row r="912" spans="1:56" ht="45.75" customHeight="1" x14ac:dyDescent="0.25">
      <c r="A912" s="7" t="s">
        <v>58</v>
      </c>
      <c r="B912" s="2" t="s">
        <v>11962</v>
      </c>
      <c r="C912" s="2" t="s">
        <v>11963</v>
      </c>
      <c r="D912" s="2" t="s">
        <v>11964</v>
      </c>
      <c r="F912" s="3" t="s">
        <v>58</v>
      </c>
      <c r="G912" s="3" t="s">
        <v>59</v>
      </c>
      <c r="H912" s="3" t="s">
        <v>58</v>
      </c>
      <c r="I912" s="3" t="s">
        <v>58</v>
      </c>
      <c r="J912" s="3" t="s">
        <v>60</v>
      </c>
      <c r="K912" s="2" t="s">
        <v>11965</v>
      </c>
      <c r="L912" s="2" t="s">
        <v>10476</v>
      </c>
      <c r="M912" s="3" t="s">
        <v>742</v>
      </c>
      <c r="O912" s="3" t="s">
        <v>65</v>
      </c>
      <c r="P912" s="3" t="s">
        <v>84</v>
      </c>
      <c r="R912" s="3" t="s">
        <v>67</v>
      </c>
      <c r="S912" s="4">
        <v>7</v>
      </c>
      <c r="T912" s="4">
        <v>7</v>
      </c>
      <c r="U912" s="5" t="s">
        <v>11966</v>
      </c>
      <c r="V912" s="5" t="s">
        <v>11966</v>
      </c>
      <c r="W912" s="5" t="s">
        <v>11967</v>
      </c>
      <c r="X912" s="5" t="s">
        <v>11967</v>
      </c>
      <c r="Y912" s="4">
        <v>272</v>
      </c>
      <c r="Z912" s="4">
        <v>214</v>
      </c>
      <c r="AA912" s="4">
        <v>216</v>
      </c>
      <c r="AB912" s="4">
        <v>3</v>
      </c>
      <c r="AC912" s="4">
        <v>3</v>
      </c>
      <c r="AD912" s="4">
        <v>12</v>
      </c>
      <c r="AE912" s="4">
        <v>12</v>
      </c>
      <c r="AF912" s="4">
        <v>1</v>
      </c>
      <c r="AG912" s="4">
        <v>1</v>
      </c>
      <c r="AH912" s="4">
        <v>3</v>
      </c>
      <c r="AI912" s="4">
        <v>3</v>
      </c>
      <c r="AJ912" s="4">
        <v>7</v>
      </c>
      <c r="AK912" s="4">
        <v>7</v>
      </c>
      <c r="AL912" s="4">
        <v>2</v>
      </c>
      <c r="AM912" s="4">
        <v>2</v>
      </c>
      <c r="AN912" s="4">
        <v>0</v>
      </c>
      <c r="AO912" s="4">
        <v>0</v>
      </c>
      <c r="AP912" s="3" t="s">
        <v>58</v>
      </c>
      <c r="AQ912" s="3" t="s">
        <v>87</v>
      </c>
      <c r="AR912" s="6" t="str">
        <f>HYPERLINK("http://catalog.hathitrust.org/Record/002171442","HathiTrust Record")</f>
        <v>HathiTrust Record</v>
      </c>
      <c r="AS912" s="6" t="str">
        <f>HYPERLINK("https://creighton-primo.hosted.exlibrisgroup.com/primo-explore/search?tab=default_tab&amp;search_scope=EVERYTHING&amp;vid=01CRU&amp;lang=en_US&amp;offset=0&amp;query=any,contains,991001194039702656","Catalog Record")</f>
        <v>Catalog Record</v>
      </c>
      <c r="AT912" s="6" t="str">
        <f>HYPERLINK("http://www.worldcat.org/oclc/17263953","WorldCat Record")</f>
        <v>WorldCat Record</v>
      </c>
      <c r="AU912" s="3" t="s">
        <v>11968</v>
      </c>
      <c r="AV912" s="3" t="s">
        <v>11969</v>
      </c>
      <c r="AW912" s="3" t="s">
        <v>11970</v>
      </c>
      <c r="AX912" s="3" t="s">
        <v>11970</v>
      </c>
      <c r="AY912" s="3" t="s">
        <v>11971</v>
      </c>
      <c r="AZ912" s="3" t="s">
        <v>74</v>
      </c>
      <c r="BB912" s="3" t="s">
        <v>11972</v>
      </c>
      <c r="BC912" s="3" t="s">
        <v>11973</v>
      </c>
      <c r="BD912" s="3" t="s">
        <v>11974</v>
      </c>
    </row>
    <row r="913" spans="1:56" ht="45.75" customHeight="1" x14ac:dyDescent="0.25">
      <c r="A913" s="7" t="s">
        <v>58</v>
      </c>
      <c r="B913" s="2" t="s">
        <v>11975</v>
      </c>
      <c r="C913" s="2" t="s">
        <v>11976</v>
      </c>
      <c r="D913" s="2" t="s">
        <v>11977</v>
      </c>
      <c r="F913" s="3" t="s">
        <v>58</v>
      </c>
      <c r="G913" s="3" t="s">
        <v>59</v>
      </c>
      <c r="H913" s="3" t="s">
        <v>58</v>
      </c>
      <c r="I913" s="3" t="s">
        <v>58</v>
      </c>
      <c r="J913" s="3" t="s">
        <v>60</v>
      </c>
      <c r="L913" s="2" t="s">
        <v>6529</v>
      </c>
      <c r="M913" s="3" t="s">
        <v>307</v>
      </c>
      <c r="O913" s="3" t="s">
        <v>65</v>
      </c>
      <c r="P913" s="3" t="s">
        <v>84</v>
      </c>
      <c r="Q913" s="2" t="s">
        <v>3345</v>
      </c>
      <c r="R913" s="3" t="s">
        <v>67</v>
      </c>
      <c r="S913" s="4">
        <v>5</v>
      </c>
      <c r="T913" s="4">
        <v>5</v>
      </c>
      <c r="U913" s="5" t="s">
        <v>11875</v>
      </c>
      <c r="V913" s="5" t="s">
        <v>11875</v>
      </c>
      <c r="W913" s="5" t="s">
        <v>11978</v>
      </c>
      <c r="X913" s="5" t="s">
        <v>11978</v>
      </c>
      <c r="Y913" s="4">
        <v>325</v>
      </c>
      <c r="Z913" s="4">
        <v>263</v>
      </c>
      <c r="AA913" s="4">
        <v>283</v>
      </c>
      <c r="AB913" s="4">
        <v>4</v>
      </c>
      <c r="AC913" s="4">
        <v>4</v>
      </c>
      <c r="AD913" s="4">
        <v>14</v>
      </c>
      <c r="AE913" s="4">
        <v>14</v>
      </c>
      <c r="AF913" s="4">
        <v>3</v>
      </c>
      <c r="AG913" s="4">
        <v>3</v>
      </c>
      <c r="AH913" s="4">
        <v>2</v>
      </c>
      <c r="AI913" s="4">
        <v>2</v>
      </c>
      <c r="AJ913" s="4">
        <v>8</v>
      </c>
      <c r="AK913" s="4">
        <v>8</v>
      </c>
      <c r="AL913" s="4">
        <v>3</v>
      </c>
      <c r="AM913" s="4">
        <v>3</v>
      </c>
      <c r="AN913" s="4">
        <v>0</v>
      </c>
      <c r="AO913" s="4">
        <v>0</v>
      </c>
      <c r="AP913" s="3" t="s">
        <v>58</v>
      </c>
      <c r="AQ913" s="3" t="s">
        <v>58</v>
      </c>
      <c r="AS913" s="6" t="str">
        <f>HYPERLINK("https://creighton-primo.hosted.exlibrisgroup.com/primo-explore/search?tab=default_tab&amp;search_scope=EVERYTHING&amp;vid=01CRU&amp;lang=en_US&amp;offset=0&amp;query=any,contains,991002443589702656","Catalog Record")</f>
        <v>Catalog Record</v>
      </c>
      <c r="AT913" s="6" t="str">
        <f>HYPERLINK("http://www.worldcat.org/oclc/31867413","WorldCat Record")</f>
        <v>WorldCat Record</v>
      </c>
      <c r="AU913" s="3" t="s">
        <v>11979</v>
      </c>
      <c r="AV913" s="3" t="s">
        <v>11980</v>
      </c>
      <c r="AW913" s="3" t="s">
        <v>11981</v>
      </c>
      <c r="AX913" s="3" t="s">
        <v>11981</v>
      </c>
      <c r="AY913" s="3" t="s">
        <v>11982</v>
      </c>
      <c r="AZ913" s="3" t="s">
        <v>74</v>
      </c>
      <c r="BB913" s="3" t="s">
        <v>11983</v>
      </c>
      <c r="BC913" s="3" t="s">
        <v>11984</v>
      </c>
      <c r="BD913" s="3" t="s">
        <v>11985</v>
      </c>
    </row>
    <row r="914" spans="1:56" ht="45.75" customHeight="1" x14ac:dyDescent="0.25">
      <c r="A914" s="7" t="s">
        <v>58</v>
      </c>
      <c r="B914" s="2" t="s">
        <v>11986</v>
      </c>
      <c r="C914" s="2" t="s">
        <v>11987</v>
      </c>
      <c r="D914" s="2" t="s">
        <v>11988</v>
      </c>
      <c r="F914" s="3" t="s">
        <v>58</v>
      </c>
      <c r="G914" s="3" t="s">
        <v>59</v>
      </c>
      <c r="H914" s="3" t="s">
        <v>58</v>
      </c>
      <c r="I914" s="3" t="s">
        <v>58</v>
      </c>
      <c r="J914" s="3" t="s">
        <v>60</v>
      </c>
      <c r="L914" s="2" t="s">
        <v>11989</v>
      </c>
      <c r="M914" s="3" t="s">
        <v>800</v>
      </c>
      <c r="O914" s="3" t="s">
        <v>65</v>
      </c>
      <c r="P914" s="3" t="s">
        <v>84</v>
      </c>
      <c r="Q914" s="2" t="s">
        <v>3345</v>
      </c>
      <c r="R914" s="3" t="s">
        <v>67</v>
      </c>
      <c r="S914" s="4">
        <v>1</v>
      </c>
      <c r="T914" s="4">
        <v>1</v>
      </c>
      <c r="U914" s="5" t="s">
        <v>11939</v>
      </c>
      <c r="V914" s="5" t="s">
        <v>11939</v>
      </c>
      <c r="W914" s="5" t="s">
        <v>11990</v>
      </c>
      <c r="X914" s="5" t="s">
        <v>11990</v>
      </c>
      <c r="Y914" s="4">
        <v>509</v>
      </c>
      <c r="Z914" s="4">
        <v>436</v>
      </c>
      <c r="AA914" s="4">
        <v>437</v>
      </c>
      <c r="AB914" s="4">
        <v>3</v>
      </c>
      <c r="AC914" s="4">
        <v>3</v>
      </c>
      <c r="AD914" s="4">
        <v>20</v>
      </c>
      <c r="AE914" s="4">
        <v>20</v>
      </c>
      <c r="AF914" s="4">
        <v>9</v>
      </c>
      <c r="AG914" s="4">
        <v>9</v>
      </c>
      <c r="AH914" s="4">
        <v>3</v>
      </c>
      <c r="AI914" s="4">
        <v>3</v>
      </c>
      <c r="AJ914" s="4">
        <v>9</v>
      </c>
      <c r="AK914" s="4">
        <v>9</v>
      </c>
      <c r="AL914" s="4">
        <v>2</v>
      </c>
      <c r="AM914" s="4">
        <v>2</v>
      </c>
      <c r="AN914" s="4">
        <v>0</v>
      </c>
      <c r="AO914" s="4">
        <v>0</v>
      </c>
      <c r="AP914" s="3" t="s">
        <v>58</v>
      </c>
      <c r="AQ914" s="3" t="s">
        <v>58</v>
      </c>
      <c r="AS914" s="6" t="str">
        <f>HYPERLINK("https://creighton-primo.hosted.exlibrisgroup.com/primo-explore/search?tab=default_tab&amp;search_scope=EVERYTHING&amp;vid=01CRU&amp;lang=en_US&amp;offset=0&amp;query=any,contains,991001834929702656","Catalog Record")</f>
        <v>Catalog Record</v>
      </c>
      <c r="AT914" s="6" t="str">
        <f>HYPERLINK("http://www.worldcat.org/oclc/23048844","WorldCat Record")</f>
        <v>WorldCat Record</v>
      </c>
      <c r="AU914" s="3" t="s">
        <v>11991</v>
      </c>
      <c r="AV914" s="3" t="s">
        <v>11992</v>
      </c>
      <c r="AW914" s="3" t="s">
        <v>11993</v>
      </c>
      <c r="AX914" s="3" t="s">
        <v>11993</v>
      </c>
      <c r="AY914" s="3" t="s">
        <v>11994</v>
      </c>
      <c r="AZ914" s="3" t="s">
        <v>74</v>
      </c>
      <c r="BB914" s="3" t="s">
        <v>11995</v>
      </c>
      <c r="BC914" s="3" t="s">
        <v>11996</v>
      </c>
      <c r="BD914" s="3" t="s">
        <v>11997</v>
      </c>
    </row>
    <row r="915" spans="1:56" ht="45.75" customHeight="1" x14ac:dyDescent="0.25">
      <c r="A915" s="7" t="s">
        <v>58</v>
      </c>
      <c r="B915" s="2" t="s">
        <v>11998</v>
      </c>
      <c r="C915" s="2" t="s">
        <v>11999</v>
      </c>
      <c r="D915" s="2" t="s">
        <v>12000</v>
      </c>
      <c r="F915" s="3" t="s">
        <v>58</v>
      </c>
      <c r="G915" s="3" t="s">
        <v>59</v>
      </c>
      <c r="H915" s="3" t="s">
        <v>58</v>
      </c>
      <c r="I915" s="3" t="s">
        <v>58</v>
      </c>
      <c r="J915" s="3" t="s">
        <v>60</v>
      </c>
      <c r="L915" s="2" t="s">
        <v>12001</v>
      </c>
      <c r="M915" s="3" t="s">
        <v>528</v>
      </c>
      <c r="O915" s="3" t="s">
        <v>65</v>
      </c>
      <c r="P915" s="3" t="s">
        <v>132</v>
      </c>
      <c r="Q915" s="2" t="s">
        <v>12002</v>
      </c>
      <c r="R915" s="3" t="s">
        <v>67</v>
      </c>
      <c r="S915" s="4">
        <v>7</v>
      </c>
      <c r="T915" s="4">
        <v>7</v>
      </c>
      <c r="U915" s="5" t="s">
        <v>435</v>
      </c>
      <c r="V915" s="5" t="s">
        <v>435</v>
      </c>
      <c r="W915" s="5" t="s">
        <v>12003</v>
      </c>
      <c r="X915" s="5" t="s">
        <v>12003</v>
      </c>
      <c r="Y915" s="4">
        <v>281</v>
      </c>
      <c r="Z915" s="4">
        <v>226</v>
      </c>
      <c r="AA915" s="4">
        <v>237</v>
      </c>
      <c r="AB915" s="4">
        <v>2</v>
      </c>
      <c r="AC915" s="4">
        <v>2</v>
      </c>
      <c r="AD915" s="4">
        <v>13</v>
      </c>
      <c r="AE915" s="4">
        <v>13</v>
      </c>
      <c r="AF915" s="4">
        <v>4</v>
      </c>
      <c r="AG915" s="4">
        <v>4</v>
      </c>
      <c r="AH915" s="4">
        <v>4</v>
      </c>
      <c r="AI915" s="4">
        <v>4</v>
      </c>
      <c r="AJ915" s="4">
        <v>7</v>
      </c>
      <c r="AK915" s="4">
        <v>7</v>
      </c>
      <c r="AL915" s="4">
        <v>1</v>
      </c>
      <c r="AM915" s="4">
        <v>1</v>
      </c>
      <c r="AN915" s="4">
        <v>0</v>
      </c>
      <c r="AO915" s="4">
        <v>0</v>
      </c>
      <c r="AP915" s="3" t="s">
        <v>58</v>
      </c>
      <c r="AQ915" s="3" t="s">
        <v>87</v>
      </c>
      <c r="AR915" s="6" t="str">
        <f>HYPERLINK("http://catalog.hathitrust.org/Record/002466553","HathiTrust Record")</f>
        <v>HathiTrust Record</v>
      </c>
      <c r="AS915" s="6" t="str">
        <f>HYPERLINK("https://creighton-primo.hosted.exlibrisgroup.com/primo-explore/search?tab=default_tab&amp;search_scope=EVERYTHING&amp;vid=01CRU&amp;lang=en_US&amp;offset=0&amp;query=any,contains,991001814089702656","Catalog Record")</f>
        <v>Catalog Record</v>
      </c>
      <c r="AT915" s="6" t="str">
        <f>HYPERLINK("http://www.worldcat.org/oclc/22767442","WorldCat Record")</f>
        <v>WorldCat Record</v>
      </c>
      <c r="AU915" s="3" t="s">
        <v>12004</v>
      </c>
      <c r="AV915" s="3" t="s">
        <v>12005</v>
      </c>
      <c r="AW915" s="3" t="s">
        <v>12006</v>
      </c>
      <c r="AX915" s="3" t="s">
        <v>12006</v>
      </c>
      <c r="AY915" s="3" t="s">
        <v>12007</v>
      </c>
      <c r="AZ915" s="3" t="s">
        <v>74</v>
      </c>
      <c r="BB915" s="3" t="s">
        <v>12008</v>
      </c>
      <c r="BC915" s="3" t="s">
        <v>12009</v>
      </c>
      <c r="BD915" s="3" t="s">
        <v>12010</v>
      </c>
    </row>
    <row r="916" spans="1:56" ht="45.75" customHeight="1" x14ac:dyDescent="0.25">
      <c r="A916" s="7" t="s">
        <v>58</v>
      </c>
      <c r="B916" s="2" t="s">
        <v>12011</v>
      </c>
      <c r="C916" s="2" t="s">
        <v>12012</v>
      </c>
      <c r="D916" s="2" t="s">
        <v>12013</v>
      </c>
      <c r="F916" s="3" t="s">
        <v>58</v>
      </c>
      <c r="G916" s="3" t="s">
        <v>59</v>
      </c>
      <c r="H916" s="3" t="s">
        <v>58</v>
      </c>
      <c r="I916" s="3" t="s">
        <v>58</v>
      </c>
      <c r="J916" s="3" t="s">
        <v>60</v>
      </c>
      <c r="K916" s="2" t="s">
        <v>12014</v>
      </c>
      <c r="L916" s="2" t="s">
        <v>12015</v>
      </c>
      <c r="M916" s="3" t="s">
        <v>867</v>
      </c>
      <c r="O916" s="3" t="s">
        <v>65</v>
      </c>
      <c r="P916" s="3" t="s">
        <v>587</v>
      </c>
      <c r="R916" s="3" t="s">
        <v>67</v>
      </c>
      <c r="S916" s="4">
        <v>8</v>
      </c>
      <c r="T916" s="4">
        <v>8</v>
      </c>
      <c r="U916" s="5" t="s">
        <v>12016</v>
      </c>
      <c r="V916" s="5" t="s">
        <v>12016</v>
      </c>
      <c r="W916" s="5" t="s">
        <v>12017</v>
      </c>
      <c r="X916" s="5" t="s">
        <v>12017</v>
      </c>
      <c r="Y916" s="4">
        <v>430</v>
      </c>
      <c r="Z916" s="4">
        <v>378</v>
      </c>
      <c r="AA916" s="4">
        <v>390</v>
      </c>
      <c r="AB916" s="4">
        <v>3</v>
      </c>
      <c r="AC916" s="4">
        <v>3</v>
      </c>
      <c r="AD916" s="4">
        <v>19</v>
      </c>
      <c r="AE916" s="4">
        <v>19</v>
      </c>
      <c r="AF916" s="4">
        <v>5</v>
      </c>
      <c r="AG916" s="4">
        <v>5</v>
      </c>
      <c r="AH916" s="4">
        <v>7</v>
      </c>
      <c r="AI916" s="4">
        <v>7</v>
      </c>
      <c r="AJ916" s="4">
        <v>9</v>
      </c>
      <c r="AK916" s="4">
        <v>9</v>
      </c>
      <c r="AL916" s="4">
        <v>2</v>
      </c>
      <c r="AM916" s="4">
        <v>2</v>
      </c>
      <c r="AN916" s="4">
        <v>0</v>
      </c>
      <c r="AO916" s="4">
        <v>0</v>
      </c>
      <c r="AP916" s="3" t="s">
        <v>58</v>
      </c>
      <c r="AQ916" s="3" t="s">
        <v>87</v>
      </c>
      <c r="AR916" s="6" t="str">
        <f>HYPERLINK("http://catalog.hathitrust.org/Record/002598745","HathiTrust Record")</f>
        <v>HathiTrust Record</v>
      </c>
      <c r="AS916" s="6" t="str">
        <f>HYPERLINK("https://creighton-primo.hosted.exlibrisgroup.com/primo-explore/search?tab=default_tab&amp;search_scope=EVERYTHING&amp;vid=01CRU&amp;lang=en_US&amp;offset=0&amp;query=any,contains,991001987149702656","Catalog Record")</f>
        <v>Catalog Record</v>
      </c>
      <c r="AT916" s="6" t="str">
        <f>HYPERLINK("http://www.worldcat.org/oclc/25246172","WorldCat Record")</f>
        <v>WorldCat Record</v>
      </c>
      <c r="AU916" s="3" t="s">
        <v>12018</v>
      </c>
      <c r="AV916" s="3" t="s">
        <v>12019</v>
      </c>
      <c r="AW916" s="3" t="s">
        <v>12020</v>
      </c>
      <c r="AX916" s="3" t="s">
        <v>12020</v>
      </c>
      <c r="AY916" s="3" t="s">
        <v>12021</v>
      </c>
      <c r="AZ916" s="3" t="s">
        <v>74</v>
      </c>
      <c r="BB916" s="3" t="s">
        <v>12022</v>
      </c>
      <c r="BC916" s="3" t="s">
        <v>12023</v>
      </c>
      <c r="BD916" s="3" t="s">
        <v>12024</v>
      </c>
    </row>
    <row r="917" spans="1:56" ht="45.75" customHeight="1" x14ac:dyDescent="0.25">
      <c r="A917" s="7" t="s">
        <v>58</v>
      </c>
      <c r="B917" s="2" t="s">
        <v>12025</v>
      </c>
      <c r="C917" s="2" t="s">
        <v>12026</v>
      </c>
      <c r="D917" s="2" t="s">
        <v>12027</v>
      </c>
      <c r="F917" s="3" t="s">
        <v>58</v>
      </c>
      <c r="G917" s="3" t="s">
        <v>59</v>
      </c>
      <c r="H917" s="3" t="s">
        <v>58</v>
      </c>
      <c r="I917" s="3" t="s">
        <v>58</v>
      </c>
      <c r="J917" s="3" t="s">
        <v>60</v>
      </c>
      <c r="K917" s="2" t="s">
        <v>12028</v>
      </c>
      <c r="L917" s="2" t="s">
        <v>12029</v>
      </c>
      <c r="M917" s="3" t="s">
        <v>203</v>
      </c>
      <c r="O917" s="3" t="s">
        <v>65</v>
      </c>
      <c r="P917" s="3" t="s">
        <v>587</v>
      </c>
      <c r="Q917" s="2" t="s">
        <v>12030</v>
      </c>
      <c r="R917" s="3" t="s">
        <v>67</v>
      </c>
      <c r="S917" s="4">
        <v>5</v>
      </c>
      <c r="T917" s="4">
        <v>5</v>
      </c>
      <c r="U917" s="5" t="s">
        <v>12031</v>
      </c>
      <c r="V917" s="5" t="s">
        <v>12031</v>
      </c>
      <c r="W917" s="5" t="s">
        <v>12032</v>
      </c>
      <c r="X917" s="5" t="s">
        <v>12032</v>
      </c>
      <c r="Y917" s="4">
        <v>380</v>
      </c>
      <c r="Z917" s="4">
        <v>329</v>
      </c>
      <c r="AA917" s="4">
        <v>680</v>
      </c>
      <c r="AB917" s="4">
        <v>2</v>
      </c>
      <c r="AC917" s="4">
        <v>5</v>
      </c>
      <c r="AD917" s="4">
        <v>14</v>
      </c>
      <c r="AE917" s="4">
        <v>21</v>
      </c>
      <c r="AF917" s="4">
        <v>5</v>
      </c>
      <c r="AG917" s="4">
        <v>8</v>
      </c>
      <c r="AH917" s="4">
        <v>4</v>
      </c>
      <c r="AI917" s="4">
        <v>5</v>
      </c>
      <c r="AJ917" s="4">
        <v>8</v>
      </c>
      <c r="AK917" s="4">
        <v>10</v>
      </c>
      <c r="AL917" s="4">
        <v>1</v>
      </c>
      <c r="AM917" s="4">
        <v>4</v>
      </c>
      <c r="AN917" s="4">
        <v>0</v>
      </c>
      <c r="AO917" s="4">
        <v>0</v>
      </c>
      <c r="AP917" s="3" t="s">
        <v>58</v>
      </c>
      <c r="AQ917" s="3" t="s">
        <v>58</v>
      </c>
      <c r="AS917" s="6" t="str">
        <f>HYPERLINK("https://creighton-primo.hosted.exlibrisgroup.com/primo-explore/search?tab=default_tab&amp;search_scope=EVERYTHING&amp;vid=01CRU&amp;lang=en_US&amp;offset=0&amp;query=any,contains,991003842529702656","Catalog Record")</f>
        <v>Catalog Record</v>
      </c>
      <c r="AT917" s="6" t="str">
        <f>HYPERLINK("http://www.worldcat.org/oclc/47216466","WorldCat Record")</f>
        <v>WorldCat Record</v>
      </c>
      <c r="AU917" s="3" t="s">
        <v>12033</v>
      </c>
      <c r="AV917" s="3" t="s">
        <v>12034</v>
      </c>
      <c r="AW917" s="3" t="s">
        <v>12035</v>
      </c>
      <c r="AX917" s="3" t="s">
        <v>12035</v>
      </c>
      <c r="AY917" s="3" t="s">
        <v>12036</v>
      </c>
      <c r="AZ917" s="3" t="s">
        <v>74</v>
      </c>
      <c r="BB917" s="3" t="s">
        <v>12037</v>
      </c>
      <c r="BC917" s="3" t="s">
        <v>12038</v>
      </c>
      <c r="BD917" s="3" t="s">
        <v>12039</v>
      </c>
    </row>
    <row r="918" spans="1:56" ht="45.75" customHeight="1" x14ac:dyDescent="0.25">
      <c r="A918" s="7" t="s">
        <v>58</v>
      </c>
      <c r="B918" s="2" t="s">
        <v>12040</v>
      </c>
      <c r="C918" s="2" t="s">
        <v>12041</v>
      </c>
      <c r="D918" s="2" t="s">
        <v>12042</v>
      </c>
      <c r="F918" s="3" t="s">
        <v>58</v>
      </c>
      <c r="G918" s="3" t="s">
        <v>59</v>
      </c>
      <c r="H918" s="3" t="s">
        <v>58</v>
      </c>
      <c r="I918" s="3" t="s">
        <v>58</v>
      </c>
      <c r="J918" s="3" t="s">
        <v>60</v>
      </c>
      <c r="K918" s="2" t="s">
        <v>12043</v>
      </c>
      <c r="L918" s="2" t="s">
        <v>2839</v>
      </c>
      <c r="M918" s="3" t="s">
        <v>2324</v>
      </c>
      <c r="O918" s="3" t="s">
        <v>65</v>
      </c>
      <c r="P918" s="3" t="s">
        <v>132</v>
      </c>
      <c r="Q918" s="2" t="s">
        <v>12044</v>
      </c>
      <c r="R918" s="3" t="s">
        <v>67</v>
      </c>
      <c r="S918" s="4">
        <v>3</v>
      </c>
      <c r="T918" s="4">
        <v>3</v>
      </c>
      <c r="U918" s="5" t="s">
        <v>12045</v>
      </c>
      <c r="V918" s="5" t="s">
        <v>12045</v>
      </c>
      <c r="W918" s="5" t="s">
        <v>12046</v>
      </c>
      <c r="X918" s="5" t="s">
        <v>12046</v>
      </c>
      <c r="Y918" s="4">
        <v>563</v>
      </c>
      <c r="Z918" s="4">
        <v>456</v>
      </c>
      <c r="AA918" s="4">
        <v>462</v>
      </c>
      <c r="AB918" s="4">
        <v>4</v>
      </c>
      <c r="AC918" s="4">
        <v>4</v>
      </c>
      <c r="AD918" s="4">
        <v>22</v>
      </c>
      <c r="AE918" s="4">
        <v>22</v>
      </c>
      <c r="AF918" s="4">
        <v>8</v>
      </c>
      <c r="AG918" s="4">
        <v>8</v>
      </c>
      <c r="AH918" s="4">
        <v>6</v>
      </c>
      <c r="AI918" s="4">
        <v>6</v>
      </c>
      <c r="AJ918" s="4">
        <v>9</v>
      </c>
      <c r="AK918" s="4">
        <v>9</v>
      </c>
      <c r="AL918" s="4">
        <v>3</v>
      </c>
      <c r="AM918" s="4">
        <v>3</v>
      </c>
      <c r="AN918" s="4">
        <v>0</v>
      </c>
      <c r="AO918" s="4">
        <v>0</v>
      </c>
      <c r="AP918" s="3" t="s">
        <v>58</v>
      </c>
      <c r="AQ918" s="3" t="s">
        <v>87</v>
      </c>
      <c r="AR918" s="6" t="str">
        <f>HYPERLINK("http://catalog.hathitrust.org/Record/000242268","HathiTrust Record")</f>
        <v>HathiTrust Record</v>
      </c>
      <c r="AS918" s="6" t="str">
        <f>HYPERLINK("https://creighton-primo.hosted.exlibrisgroup.com/primo-explore/search?tab=default_tab&amp;search_scope=EVERYTHING&amp;vid=01CRU&amp;lang=en_US&amp;offset=0&amp;query=any,contains,991000187129702656","Catalog Record")</f>
        <v>Catalog Record</v>
      </c>
      <c r="AT918" s="6" t="str">
        <f>HYPERLINK("http://www.worldcat.org/oclc/9394282","WorldCat Record")</f>
        <v>WorldCat Record</v>
      </c>
      <c r="AU918" s="3" t="s">
        <v>12047</v>
      </c>
      <c r="AV918" s="3" t="s">
        <v>12048</v>
      </c>
      <c r="AW918" s="3" t="s">
        <v>12049</v>
      </c>
      <c r="AX918" s="3" t="s">
        <v>12049</v>
      </c>
      <c r="AY918" s="3" t="s">
        <v>12050</v>
      </c>
      <c r="AZ918" s="3" t="s">
        <v>74</v>
      </c>
      <c r="BB918" s="3" t="s">
        <v>12051</v>
      </c>
      <c r="BC918" s="3" t="s">
        <v>12052</v>
      </c>
      <c r="BD918" s="3" t="s">
        <v>12053</v>
      </c>
    </row>
    <row r="919" spans="1:56" ht="45.75" customHeight="1" x14ac:dyDescent="0.25">
      <c r="A919" s="7" t="s">
        <v>58</v>
      </c>
      <c r="B919" s="2" t="s">
        <v>12054</v>
      </c>
      <c r="C919" s="2" t="s">
        <v>12055</v>
      </c>
      <c r="D919" s="2" t="s">
        <v>12056</v>
      </c>
      <c r="F919" s="3" t="s">
        <v>58</v>
      </c>
      <c r="G919" s="3" t="s">
        <v>59</v>
      </c>
      <c r="H919" s="3" t="s">
        <v>58</v>
      </c>
      <c r="I919" s="3" t="s">
        <v>58</v>
      </c>
      <c r="J919" s="3" t="s">
        <v>60</v>
      </c>
      <c r="L919" s="2" t="s">
        <v>12057</v>
      </c>
      <c r="M919" s="3" t="s">
        <v>1058</v>
      </c>
      <c r="O919" s="3" t="s">
        <v>65</v>
      </c>
      <c r="P919" s="3" t="s">
        <v>132</v>
      </c>
      <c r="Q919" s="2" t="s">
        <v>12058</v>
      </c>
      <c r="R919" s="3" t="s">
        <v>67</v>
      </c>
      <c r="S919" s="4">
        <v>4</v>
      </c>
      <c r="T919" s="4">
        <v>4</v>
      </c>
      <c r="U919" s="5" t="s">
        <v>11966</v>
      </c>
      <c r="V919" s="5" t="s">
        <v>11966</v>
      </c>
      <c r="W919" s="5" t="s">
        <v>12059</v>
      </c>
      <c r="X919" s="5" t="s">
        <v>12059</v>
      </c>
      <c r="Y919" s="4">
        <v>312</v>
      </c>
      <c r="Z919" s="4">
        <v>250</v>
      </c>
      <c r="AA919" s="4">
        <v>257</v>
      </c>
      <c r="AB919" s="4">
        <v>4</v>
      </c>
      <c r="AC919" s="4">
        <v>4</v>
      </c>
      <c r="AD919" s="4">
        <v>15</v>
      </c>
      <c r="AE919" s="4">
        <v>15</v>
      </c>
      <c r="AF919" s="4">
        <v>5</v>
      </c>
      <c r="AG919" s="4">
        <v>5</v>
      </c>
      <c r="AH919" s="4">
        <v>2</v>
      </c>
      <c r="AI919" s="4">
        <v>2</v>
      </c>
      <c r="AJ919" s="4">
        <v>7</v>
      </c>
      <c r="AK919" s="4">
        <v>7</v>
      </c>
      <c r="AL919" s="4">
        <v>3</v>
      </c>
      <c r="AM919" s="4">
        <v>3</v>
      </c>
      <c r="AN919" s="4">
        <v>0</v>
      </c>
      <c r="AO919" s="4">
        <v>0</v>
      </c>
      <c r="AP919" s="3" t="s">
        <v>58</v>
      </c>
      <c r="AQ919" s="3" t="s">
        <v>58</v>
      </c>
      <c r="AS919" s="6" t="str">
        <f>HYPERLINK("https://creighton-primo.hosted.exlibrisgroup.com/primo-explore/search?tab=default_tab&amp;search_scope=EVERYTHING&amp;vid=01CRU&amp;lang=en_US&amp;offset=0&amp;query=any,contains,991001641539702656","Catalog Record")</f>
        <v>Catalog Record</v>
      </c>
      <c r="AT919" s="6" t="str">
        <f>HYPERLINK("http://www.worldcat.org/oclc/21033899","WorldCat Record")</f>
        <v>WorldCat Record</v>
      </c>
      <c r="AU919" s="3" t="s">
        <v>12060</v>
      </c>
      <c r="AV919" s="3" t="s">
        <v>12061</v>
      </c>
      <c r="AW919" s="3" t="s">
        <v>12062</v>
      </c>
      <c r="AX919" s="3" t="s">
        <v>12062</v>
      </c>
      <c r="AY919" s="3" t="s">
        <v>12063</v>
      </c>
      <c r="AZ919" s="3" t="s">
        <v>74</v>
      </c>
      <c r="BB919" s="3" t="s">
        <v>12064</v>
      </c>
      <c r="BC919" s="3" t="s">
        <v>12065</v>
      </c>
      <c r="BD919" s="3" t="s">
        <v>12066</v>
      </c>
    </row>
    <row r="920" spans="1:56" ht="45.75" customHeight="1" x14ac:dyDescent="0.25">
      <c r="A920" s="7" t="s">
        <v>58</v>
      </c>
      <c r="B920" s="2" t="s">
        <v>12067</v>
      </c>
      <c r="C920" s="2" t="s">
        <v>12068</v>
      </c>
      <c r="D920" s="2" t="s">
        <v>12069</v>
      </c>
      <c r="F920" s="3" t="s">
        <v>58</v>
      </c>
      <c r="G920" s="3" t="s">
        <v>59</v>
      </c>
      <c r="H920" s="3" t="s">
        <v>58</v>
      </c>
      <c r="I920" s="3" t="s">
        <v>58</v>
      </c>
      <c r="J920" s="3" t="s">
        <v>60</v>
      </c>
      <c r="K920" s="2" t="s">
        <v>12070</v>
      </c>
      <c r="L920" s="2" t="s">
        <v>12071</v>
      </c>
      <c r="M920" s="3" t="s">
        <v>867</v>
      </c>
      <c r="O920" s="3" t="s">
        <v>65</v>
      </c>
      <c r="P920" s="3" t="s">
        <v>190</v>
      </c>
      <c r="R920" s="3" t="s">
        <v>67</v>
      </c>
      <c r="S920" s="4">
        <v>8</v>
      </c>
      <c r="T920" s="4">
        <v>8</v>
      </c>
      <c r="U920" s="5" t="s">
        <v>11966</v>
      </c>
      <c r="V920" s="5" t="s">
        <v>11966</v>
      </c>
      <c r="W920" s="5" t="s">
        <v>5200</v>
      </c>
      <c r="X920" s="5" t="s">
        <v>5200</v>
      </c>
      <c r="Y920" s="4">
        <v>181</v>
      </c>
      <c r="Z920" s="4">
        <v>148</v>
      </c>
      <c r="AA920" s="4">
        <v>148</v>
      </c>
      <c r="AB920" s="4">
        <v>3</v>
      </c>
      <c r="AC920" s="4">
        <v>3</v>
      </c>
      <c r="AD920" s="4">
        <v>9</v>
      </c>
      <c r="AE920" s="4">
        <v>9</v>
      </c>
      <c r="AF920" s="4">
        <v>2</v>
      </c>
      <c r="AG920" s="4">
        <v>2</v>
      </c>
      <c r="AH920" s="4">
        <v>2</v>
      </c>
      <c r="AI920" s="4">
        <v>2</v>
      </c>
      <c r="AJ920" s="4">
        <v>4</v>
      </c>
      <c r="AK920" s="4">
        <v>4</v>
      </c>
      <c r="AL920" s="4">
        <v>2</v>
      </c>
      <c r="AM920" s="4">
        <v>2</v>
      </c>
      <c r="AN920" s="4">
        <v>0</v>
      </c>
      <c r="AO920" s="4">
        <v>0</v>
      </c>
      <c r="AP920" s="3" t="s">
        <v>58</v>
      </c>
      <c r="AQ920" s="3" t="s">
        <v>58</v>
      </c>
      <c r="AS920" s="6" t="str">
        <f>HYPERLINK("https://creighton-primo.hosted.exlibrisgroup.com/primo-explore/search?tab=default_tab&amp;search_scope=EVERYTHING&amp;vid=01CRU&amp;lang=en_US&amp;offset=0&amp;query=any,contains,991002023879702656","Catalog Record")</f>
        <v>Catalog Record</v>
      </c>
      <c r="AT920" s="6" t="str">
        <f>HYPERLINK("http://www.worldcat.org/oclc/25747428","WorldCat Record")</f>
        <v>WorldCat Record</v>
      </c>
      <c r="AU920" s="3" t="s">
        <v>12072</v>
      </c>
      <c r="AV920" s="3" t="s">
        <v>12073</v>
      </c>
      <c r="AW920" s="3" t="s">
        <v>12074</v>
      </c>
      <c r="AX920" s="3" t="s">
        <v>12074</v>
      </c>
      <c r="AY920" s="3" t="s">
        <v>12075</v>
      </c>
      <c r="AZ920" s="3" t="s">
        <v>74</v>
      </c>
      <c r="BB920" s="3" t="s">
        <v>12076</v>
      </c>
      <c r="BC920" s="3" t="s">
        <v>12077</v>
      </c>
      <c r="BD920" s="3" t="s">
        <v>12078</v>
      </c>
    </row>
    <row r="921" spans="1:56" ht="45.75" customHeight="1" x14ac:dyDescent="0.25">
      <c r="A921" s="7" t="s">
        <v>58</v>
      </c>
      <c r="B921" s="2" t="s">
        <v>12079</v>
      </c>
      <c r="C921" s="2" t="s">
        <v>12080</v>
      </c>
      <c r="D921" s="2" t="s">
        <v>12081</v>
      </c>
      <c r="F921" s="3" t="s">
        <v>58</v>
      </c>
      <c r="G921" s="3" t="s">
        <v>59</v>
      </c>
      <c r="H921" s="3" t="s">
        <v>58</v>
      </c>
      <c r="I921" s="3" t="s">
        <v>58</v>
      </c>
      <c r="J921" s="3" t="s">
        <v>60</v>
      </c>
      <c r="L921" s="2" t="s">
        <v>12082</v>
      </c>
      <c r="M921" s="3" t="s">
        <v>629</v>
      </c>
      <c r="N921" s="2" t="s">
        <v>543</v>
      </c>
      <c r="O921" s="3" t="s">
        <v>65</v>
      </c>
      <c r="P921" s="3" t="s">
        <v>132</v>
      </c>
      <c r="Q921" s="2" t="s">
        <v>12083</v>
      </c>
      <c r="R921" s="3" t="s">
        <v>67</v>
      </c>
      <c r="S921" s="4">
        <v>8</v>
      </c>
      <c r="T921" s="4">
        <v>8</v>
      </c>
      <c r="U921" s="5" t="s">
        <v>12084</v>
      </c>
      <c r="V921" s="5" t="s">
        <v>12084</v>
      </c>
      <c r="W921" s="5" t="s">
        <v>12085</v>
      </c>
      <c r="X921" s="5" t="s">
        <v>12085</v>
      </c>
      <c r="Y921" s="4">
        <v>592</v>
      </c>
      <c r="Z921" s="4">
        <v>539</v>
      </c>
      <c r="AA921" s="4">
        <v>545</v>
      </c>
      <c r="AB921" s="4">
        <v>6</v>
      </c>
      <c r="AC921" s="4">
        <v>6</v>
      </c>
      <c r="AD921" s="4">
        <v>26</v>
      </c>
      <c r="AE921" s="4">
        <v>26</v>
      </c>
      <c r="AF921" s="4">
        <v>9</v>
      </c>
      <c r="AG921" s="4">
        <v>9</v>
      </c>
      <c r="AH921" s="4">
        <v>6</v>
      </c>
      <c r="AI921" s="4">
        <v>6</v>
      </c>
      <c r="AJ921" s="4">
        <v>11</v>
      </c>
      <c r="AK921" s="4">
        <v>11</v>
      </c>
      <c r="AL921" s="4">
        <v>5</v>
      </c>
      <c r="AM921" s="4">
        <v>5</v>
      </c>
      <c r="AN921" s="4">
        <v>0</v>
      </c>
      <c r="AO921" s="4">
        <v>0</v>
      </c>
      <c r="AP921" s="3" t="s">
        <v>58</v>
      </c>
      <c r="AQ921" s="3" t="s">
        <v>87</v>
      </c>
      <c r="AR921" s="6" t="str">
        <f>HYPERLINK("http://catalog.hathitrust.org/Record/002883060","HathiTrust Record")</f>
        <v>HathiTrust Record</v>
      </c>
      <c r="AS921" s="6" t="str">
        <f>HYPERLINK("https://creighton-primo.hosted.exlibrisgroup.com/primo-explore/search?tab=default_tab&amp;search_scope=EVERYTHING&amp;vid=01CRU&amp;lang=en_US&amp;offset=0&amp;query=any,contains,991002320289702656","Catalog Record")</f>
        <v>Catalog Record</v>
      </c>
      <c r="AT921" s="6" t="str">
        <f>HYPERLINK("http://www.worldcat.org/oclc/30108536","WorldCat Record")</f>
        <v>WorldCat Record</v>
      </c>
      <c r="AU921" s="3" t="s">
        <v>12086</v>
      </c>
      <c r="AV921" s="3" t="s">
        <v>12087</v>
      </c>
      <c r="AW921" s="3" t="s">
        <v>12088</v>
      </c>
      <c r="AX921" s="3" t="s">
        <v>12088</v>
      </c>
      <c r="AY921" s="3" t="s">
        <v>12089</v>
      </c>
      <c r="AZ921" s="3" t="s">
        <v>74</v>
      </c>
      <c r="BB921" s="3" t="s">
        <v>12090</v>
      </c>
      <c r="BC921" s="3" t="s">
        <v>12091</v>
      </c>
      <c r="BD921" s="3" t="s">
        <v>12092</v>
      </c>
    </row>
    <row r="922" spans="1:56" ht="45.75" customHeight="1" x14ac:dyDescent="0.25">
      <c r="A922" s="7" t="s">
        <v>58</v>
      </c>
      <c r="B922" s="2" t="s">
        <v>12093</v>
      </c>
      <c r="C922" s="2" t="s">
        <v>12094</v>
      </c>
      <c r="D922" s="2" t="s">
        <v>12095</v>
      </c>
      <c r="F922" s="3" t="s">
        <v>58</v>
      </c>
      <c r="G922" s="3" t="s">
        <v>59</v>
      </c>
      <c r="H922" s="3" t="s">
        <v>58</v>
      </c>
      <c r="I922" s="3" t="s">
        <v>58</v>
      </c>
      <c r="J922" s="3" t="s">
        <v>60</v>
      </c>
      <c r="K922" s="2" t="s">
        <v>12096</v>
      </c>
      <c r="L922" s="2" t="s">
        <v>12097</v>
      </c>
      <c r="M922" s="3" t="s">
        <v>263</v>
      </c>
      <c r="O922" s="3" t="s">
        <v>65</v>
      </c>
      <c r="P922" s="3" t="s">
        <v>84</v>
      </c>
      <c r="R922" s="3" t="s">
        <v>67</v>
      </c>
      <c r="S922" s="4">
        <v>11</v>
      </c>
      <c r="T922" s="4">
        <v>11</v>
      </c>
      <c r="U922" s="5" t="s">
        <v>9986</v>
      </c>
      <c r="V922" s="5" t="s">
        <v>9986</v>
      </c>
      <c r="W922" s="5" t="s">
        <v>12098</v>
      </c>
      <c r="X922" s="5" t="s">
        <v>12098</v>
      </c>
      <c r="Y922" s="4">
        <v>697</v>
      </c>
      <c r="Z922" s="4">
        <v>660</v>
      </c>
      <c r="AA922" s="4">
        <v>874</v>
      </c>
      <c r="AB922" s="4">
        <v>5</v>
      </c>
      <c r="AC922" s="4">
        <v>7</v>
      </c>
      <c r="AD922" s="4">
        <v>22</v>
      </c>
      <c r="AE922" s="4">
        <v>34</v>
      </c>
      <c r="AF922" s="4">
        <v>8</v>
      </c>
      <c r="AG922" s="4">
        <v>12</v>
      </c>
      <c r="AH922" s="4">
        <v>4</v>
      </c>
      <c r="AI922" s="4">
        <v>9</v>
      </c>
      <c r="AJ922" s="4">
        <v>12</v>
      </c>
      <c r="AK922" s="4">
        <v>17</v>
      </c>
      <c r="AL922" s="4">
        <v>4</v>
      </c>
      <c r="AM922" s="4">
        <v>6</v>
      </c>
      <c r="AN922" s="4">
        <v>0</v>
      </c>
      <c r="AO922" s="4">
        <v>0</v>
      </c>
      <c r="AP922" s="3" t="s">
        <v>58</v>
      </c>
      <c r="AQ922" s="3" t="s">
        <v>87</v>
      </c>
      <c r="AR922" s="6" t="str">
        <f>HYPERLINK("http://catalog.hathitrust.org/Record/003069510","HathiTrust Record")</f>
        <v>HathiTrust Record</v>
      </c>
      <c r="AS922" s="6" t="str">
        <f>HYPERLINK("https://creighton-primo.hosted.exlibrisgroup.com/primo-explore/search?tab=default_tab&amp;search_scope=EVERYTHING&amp;vid=01CRU&amp;lang=en_US&amp;offset=0&amp;query=any,contains,991002578759702656","Catalog Record")</f>
        <v>Catalog Record</v>
      </c>
      <c r="AT922" s="6" t="str">
        <f>HYPERLINK("http://www.worldcat.org/oclc/33668143","WorldCat Record")</f>
        <v>WorldCat Record</v>
      </c>
      <c r="AU922" s="3" t="s">
        <v>12099</v>
      </c>
      <c r="AV922" s="3" t="s">
        <v>12100</v>
      </c>
      <c r="AW922" s="3" t="s">
        <v>12101</v>
      </c>
      <c r="AX922" s="3" t="s">
        <v>12101</v>
      </c>
      <c r="AY922" s="3" t="s">
        <v>12102</v>
      </c>
      <c r="AZ922" s="3" t="s">
        <v>74</v>
      </c>
      <c r="BB922" s="3" t="s">
        <v>12103</v>
      </c>
      <c r="BC922" s="3" t="s">
        <v>12104</v>
      </c>
      <c r="BD922" s="3" t="s">
        <v>12105</v>
      </c>
    </row>
    <row r="923" spans="1:56" ht="45.75" customHeight="1" x14ac:dyDescent="0.25">
      <c r="A923" s="7" t="s">
        <v>58</v>
      </c>
      <c r="B923" s="2" t="s">
        <v>12106</v>
      </c>
      <c r="C923" s="2" t="s">
        <v>12107</v>
      </c>
      <c r="D923" s="2" t="s">
        <v>12108</v>
      </c>
      <c r="F923" s="3" t="s">
        <v>58</v>
      </c>
      <c r="G923" s="3" t="s">
        <v>59</v>
      </c>
      <c r="H923" s="3" t="s">
        <v>58</v>
      </c>
      <c r="I923" s="3" t="s">
        <v>58</v>
      </c>
      <c r="J923" s="3" t="s">
        <v>60</v>
      </c>
      <c r="L923" s="2" t="s">
        <v>12109</v>
      </c>
      <c r="M923" s="3" t="s">
        <v>1058</v>
      </c>
      <c r="O923" s="3" t="s">
        <v>65</v>
      </c>
      <c r="P923" s="3" t="s">
        <v>132</v>
      </c>
      <c r="Q923" s="2" t="s">
        <v>12110</v>
      </c>
      <c r="R923" s="3" t="s">
        <v>67</v>
      </c>
      <c r="S923" s="4">
        <v>4</v>
      </c>
      <c r="T923" s="4">
        <v>4</v>
      </c>
      <c r="U923" s="5" t="s">
        <v>12111</v>
      </c>
      <c r="V923" s="5" t="s">
        <v>12111</v>
      </c>
      <c r="W923" s="5" t="s">
        <v>12059</v>
      </c>
      <c r="X923" s="5" t="s">
        <v>12059</v>
      </c>
      <c r="Y923" s="4">
        <v>343</v>
      </c>
      <c r="Z923" s="4">
        <v>276</v>
      </c>
      <c r="AA923" s="4">
        <v>282</v>
      </c>
      <c r="AB923" s="4">
        <v>3</v>
      </c>
      <c r="AC923" s="4">
        <v>3</v>
      </c>
      <c r="AD923" s="4">
        <v>19</v>
      </c>
      <c r="AE923" s="4">
        <v>19</v>
      </c>
      <c r="AF923" s="4">
        <v>7</v>
      </c>
      <c r="AG923" s="4">
        <v>7</v>
      </c>
      <c r="AH923" s="4">
        <v>3</v>
      </c>
      <c r="AI923" s="4">
        <v>3</v>
      </c>
      <c r="AJ923" s="4">
        <v>12</v>
      </c>
      <c r="AK923" s="4">
        <v>12</v>
      </c>
      <c r="AL923" s="4">
        <v>2</v>
      </c>
      <c r="AM923" s="4">
        <v>2</v>
      </c>
      <c r="AN923" s="4">
        <v>0</v>
      </c>
      <c r="AO923" s="4">
        <v>0</v>
      </c>
      <c r="AP923" s="3" t="s">
        <v>58</v>
      </c>
      <c r="AQ923" s="3" t="s">
        <v>87</v>
      </c>
      <c r="AR923" s="6" t="str">
        <f>HYPERLINK("http://catalog.hathitrust.org/Record/005714829","HathiTrust Record")</f>
        <v>HathiTrust Record</v>
      </c>
      <c r="AS923" s="6" t="str">
        <f>HYPERLINK("https://creighton-primo.hosted.exlibrisgroup.com/primo-explore/search?tab=default_tab&amp;search_scope=EVERYTHING&amp;vid=01CRU&amp;lang=en_US&amp;offset=0&amp;query=any,contains,991001245129702656","Catalog Record")</f>
        <v>Catalog Record</v>
      </c>
      <c r="AT923" s="6" t="str">
        <f>HYPERLINK("http://www.worldcat.org/oclc/17649491","WorldCat Record")</f>
        <v>WorldCat Record</v>
      </c>
      <c r="AU923" s="3" t="s">
        <v>12112</v>
      </c>
      <c r="AV923" s="3" t="s">
        <v>12113</v>
      </c>
      <c r="AW923" s="3" t="s">
        <v>12114</v>
      </c>
      <c r="AX923" s="3" t="s">
        <v>12114</v>
      </c>
      <c r="AY923" s="3" t="s">
        <v>12115</v>
      </c>
      <c r="AZ923" s="3" t="s">
        <v>74</v>
      </c>
      <c r="BB923" s="3" t="s">
        <v>12116</v>
      </c>
      <c r="BC923" s="3" t="s">
        <v>12117</v>
      </c>
      <c r="BD923" s="3" t="s">
        <v>12118</v>
      </c>
    </row>
    <row r="924" spans="1:56" ht="45.75" customHeight="1" x14ac:dyDescent="0.25">
      <c r="A924" s="7" t="s">
        <v>58</v>
      </c>
      <c r="B924" s="2" t="s">
        <v>12119</v>
      </c>
      <c r="C924" s="2" t="s">
        <v>12120</v>
      </c>
      <c r="D924" s="2" t="s">
        <v>12121</v>
      </c>
      <c r="F924" s="3" t="s">
        <v>58</v>
      </c>
      <c r="G924" s="3" t="s">
        <v>59</v>
      </c>
      <c r="H924" s="3" t="s">
        <v>58</v>
      </c>
      <c r="I924" s="3" t="s">
        <v>58</v>
      </c>
      <c r="J924" s="3" t="s">
        <v>60</v>
      </c>
      <c r="K924" s="2" t="s">
        <v>12122</v>
      </c>
      <c r="L924" s="2" t="s">
        <v>12123</v>
      </c>
      <c r="M924" s="3" t="s">
        <v>116</v>
      </c>
      <c r="O924" s="3" t="s">
        <v>65</v>
      </c>
      <c r="P924" s="3" t="s">
        <v>1282</v>
      </c>
      <c r="R924" s="3" t="s">
        <v>67</v>
      </c>
      <c r="S924" s="4">
        <v>2</v>
      </c>
      <c r="T924" s="4">
        <v>2</v>
      </c>
      <c r="U924" s="5" t="s">
        <v>12124</v>
      </c>
      <c r="V924" s="5" t="s">
        <v>12124</v>
      </c>
      <c r="W924" s="5" t="s">
        <v>118</v>
      </c>
      <c r="X924" s="5" t="s">
        <v>118</v>
      </c>
      <c r="Y924" s="4">
        <v>63</v>
      </c>
      <c r="Z924" s="4">
        <v>60</v>
      </c>
      <c r="AA924" s="4">
        <v>63</v>
      </c>
      <c r="AB924" s="4">
        <v>1</v>
      </c>
      <c r="AC924" s="4">
        <v>1</v>
      </c>
      <c r="AD924" s="4">
        <v>1</v>
      </c>
      <c r="AE924" s="4">
        <v>1</v>
      </c>
      <c r="AF924" s="4">
        <v>0</v>
      </c>
      <c r="AG924" s="4">
        <v>0</v>
      </c>
      <c r="AH924" s="4">
        <v>0</v>
      </c>
      <c r="AI924" s="4">
        <v>0</v>
      </c>
      <c r="AJ924" s="4">
        <v>1</v>
      </c>
      <c r="AK924" s="4">
        <v>1</v>
      </c>
      <c r="AL924" s="4">
        <v>0</v>
      </c>
      <c r="AM924" s="4">
        <v>0</v>
      </c>
      <c r="AN924" s="4">
        <v>0</v>
      </c>
      <c r="AO924" s="4">
        <v>0</v>
      </c>
      <c r="AP924" s="3" t="s">
        <v>58</v>
      </c>
      <c r="AQ924" s="3" t="s">
        <v>58</v>
      </c>
      <c r="AS924" s="6" t="str">
        <f>HYPERLINK("https://creighton-primo.hosted.exlibrisgroup.com/primo-explore/search?tab=default_tab&amp;search_scope=EVERYTHING&amp;vid=01CRU&amp;lang=en_US&amp;offset=0&amp;query=any,contains,991003243639702656","Catalog Record")</f>
        <v>Catalog Record</v>
      </c>
      <c r="AT924" s="6" t="str">
        <f>HYPERLINK("http://www.worldcat.org/oclc/39337775","WorldCat Record")</f>
        <v>WorldCat Record</v>
      </c>
      <c r="AU924" s="3" t="s">
        <v>12125</v>
      </c>
      <c r="AV924" s="3" t="s">
        <v>12126</v>
      </c>
      <c r="AW924" s="3" t="s">
        <v>12127</v>
      </c>
      <c r="AX924" s="3" t="s">
        <v>12127</v>
      </c>
      <c r="AY924" s="3" t="s">
        <v>12128</v>
      </c>
      <c r="AZ924" s="3" t="s">
        <v>74</v>
      </c>
      <c r="BB924" s="3" t="s">
        <v>12129</v>
      </c>
      <c r="BC924" s="3" t="s">
        <v>12130</v>
      </c>
      <c r="BD924" s="3" t="s">
        <v>12131</v>
      </c>
    </row>
    <row r="925" spans="1:56" ht="45.75" customHeight="1" x14ac:dyDescent="0.25">
      <c r="A925" s="7" t="s">
        <v>58</v>
      </c>
      <c r="B925" s="2" t="s">
        <v>12132</v>
      </c>
      <c r="C925" s="2" t="s">
        <v>12133</v>
      </c>
      <c r="D925" s="2" t="s">
        <v>12134</v>
      </c>
      <c r="F925" s="3" t="s">
        <v>58</v>
      </c>
      <c r="G925" s="3" t="s">
        <v>59</v>
      </c>
      <c r="H925" s="3" t="s">
        <v>58</v>
      </c>
      <c r="I925" s="3" t="s">
        <v>58</v>
      </c>
      <c r="J925" s="3" t="s">
        <v>60</v>
      </c>
      <c r="K925" s="2" t="s">
        <v>12135</v>
      </c>
      <c r="L925" s="2" t="s">
        <v>12136</v>
      </c>
      <c r="M925" s="3" t="s">
        <v>2506</v>
      </c>
      <c r="O925" s="3" t="s">
        <v>65</v>
      </c>
      <c r="P925" s="3" t="s">
        <v>190</v>
      </c>
      <c r="R925" s="3" t="s">
        <v>67</v>
      </c>
      <c r="S925" s="4">
        <v>3</v>
      </c>
      <c r="T925" s="4">
        <v>3</v>
      </c>
      <c r="U925" s="5" t="s">
        <v>12137</v>
      </c>
      <c r="V925" s="5" t="s">
        <v>12137</v>
      </c>
      <c r="W925" s="5" t="s">
        <v>12138</v>
      </c>
      <c r="X925" s="5" t="s">
        <v>12138</v>
      </c>
      <c r="Y925" s="4">
        <v>777</v>
      </c>
      <c r="Z925" s="4">
        <v>667</v>
      </c>
      <c r="AA925" s="4">
        <v>764</v>
      </c>
      <c r="AB925" s="4">
        <v>5</v>
      </c>
      <c r="AC925" s="4">
        <v>5</v>
      </c>
      <c r="AD925" s="4">
        <v>30</v>
      </c>
      <c r="AE925" s="4">
        <v>32</v>
      </c>
      <c r="AF925" s="4">
        <v>12</v>
      </c>
      <c r="AG925" s="4">
        <v>12</v>
      </c>
      <c r="AH925" s="4">
        <v>7</v>
      </c>
      <c r="AI925" s="4">
        <v>8</v>
      </c>
      <c r="AJ925" s="4">
        <v>17</v>
      </c>
      <c r="AK925" s="4">
        <v>19</v>
      </c>
      <c r="AL925" s="4">
        <v>2</v>
      </c>
      <c r="AM925" s="4">
        <v>2</v>
      </c>
      <c r="AN925" s="4">
        <v>0</v>
      </c>
      <c r="AO925" s="4">
        <v>0</v>
      </c>
      <c r="AP925" s="3" t="s">
        <v>58</v>
      </c>
      <c r="AQ925" s="3" t="s">
        <v>87</v>
      </c>
      <c r="AR925" s="6" t="str">
        <f>HYPERLINK("http://catalog.hathitrust.org/Record/001132416","HathiTrust Record")</f>
        <v>HathiTrust Record</v>
      </c>
      <c r="AS925" s="6" t="str">
        <f>HYPERLINK("https://creighton-primo.hosted.exlibrisgroup.com/primo-explore/search?tab=default_tab&amp;search_scope=EVERYTHING&amp;vid=01CRU&amp;lang=en_US&amp;offset=0&amp;query=any,contains,991000376859702656","Catalog Record")</f>
        <v>Catalog Record</v>
      </c>
      <c r="AT925" s="6" t="str">
        <f>HYPERLINK("http://www.worldcat.org/oclc/72108","WorldCat Record")</f>
        <v>WorldCat Record</v>
      </c>
      <c r="AU925" s="3" t="s">
        <v>12139</v>
      </c>
      <c r="AV925" s="3" t="s">
        <v>12140</v>
      </c>
      <c r="AW925" s="3" t="s">
        <v>12141</v>
      </c>
      <c r="AX925" s="3" t="s">
        <v>12141</v>
      </c>
      <c r="AY925" s="3" t="s">
        <v>12142</v>
      </c>
      <c r="AZ925" s="3" t="s">
        <v>74</v>
      </c>
      <c r="BC925" s="3" t="s">
        <v>12143</v>
      </c>
      <c r="BD925" s="3" t="s">
        <v>12144</v>
      </c>
    </row>
    <row r="926" spans="1:56" ht="45.75" customHeight="1" x14ac:dyDescent="0.25">
      <c r="A926" s="7" t="s">
        <v>58</v>
      </c>
      <c r="B926" s="2" t="s">
        <v>12145</v>
      </c>
      <c r="C926" s="2" t="s">
        <v>12146</v>
      </c>
      <c r="D926" s="2" t="s">
        <v>12147</v>
      </c>
      <c r="F926" s="3" t="s">
        <v>58</v>
      </c>
      <c r="G926" s="3" t="s">
        <v>59</v>
      </c>
      <c r="H926" s="3" t="s">
        <v>58</v>
      </c>
      <c r="I926" s="3" t="s">
        <v>58</v>
      </c>
      <c r="J926" s="3" t="s">
        <v>60</v>
      </c>
      <c r="K926" s="2" t="s">
        <v>12148</v>
      </c>
      <c r="L926" s="2" t="s">
        <v>12149</v>
      </c>
      <c r="M926" s="3" t="s">
        <v>116</v>
      </c>
      <c r="O926" s="3" t="s">
        <v>65</v>
      </c>
      <c r="P926" s="3" t="s">
        <v>84</v>
      </c>
      <c r="R926" s="3" t="s">
        <v>67</v>
      </c>
      <c r="S926" s="4">
        <v>0</v>
      </c>
      <c r="T926" s="4">
        <v>0</v>
      </c>
      <c r="U926" s="5" t="s">
        <v>7339</v>
      </c>
      <c r="V926" s="5" t="s">
        <v>7339</v>
      </c>
      <c r="W926" s="5" t="s">
        <v>8713</v>
      </c>
      <c r="X926" s="5" t="s">
        <v>8713</v>
      </c>
      <c r="Y926" s="4">
        <v>925</v>
      </c>
      <c r="Z926" s="4">
        <v>851</v>
      </c>
      <c r="AA926" s="4">
        <v>1015</v>
      </c>
      <c r="AB926" s="4">
        <v>3</v>
      </c>
      <c r="AC926" s="4">
        <v>3</v>
      </c>
      <c r="AD926" s="4">
        <v>40</v>
      </c>
      <c r="AE926" s="4">
        <v>44</v>
      </c>
      <c r="AF926" s="4">
        <v>19</v>
      </c>
      <c r="AG926" s="4">
        <v>21</v>
      </c>
      <c r="AH926" s="4">
        <v>10</v>
      </c>
      <c r="AI926" s="4">
        <v>10</v>
      </c>
      <c r="AJ926" s="4">
        <v>19</v>
      </c>
      <c r="AK926" s="4">
        <v>21</v>
      </c>
      <c r="AL926" s="4">
        <v>2</v>
      </c>
      <c r="AM926" s="4">
        <v>2</v>
      </c>
      <c r="AN926" s="4">
        <v>1</v>
      </c>
      <c r="AO926" s="4">
        <v>1</v>
      </c>
      <c r="AP926" s="3" t="s">
        <v>58</v>
      </c>
      <c r="AQ926" s="3" t="s">
        <v>87</v>
      </c>
      <c r="AR926" s="6" t="str">
        <f>HYPERLINK("http://catalog.hathitrust.org/Record/003961290","HathiTrust Record")</f>
        <v>HathiTrust Record</v>
      </c>
      <c r="AS926" s="6" t="str">
        <f>HYPERLINK("https://creighton-primo.hosted.exlibrisgroup.com/primo-explore/search?tab=default_tab&amp;search_scope=EVERYTHING&amp;vid=01CRU&amp;lang=en_US&amp;offset=0&amp;query=any,contains,991002866209702656","Catalog Record")</f>
        <v>Catalog Record</v>
      </c>
      <c r="AT926" s="6" t="str">
        <f>HYPERLINK("http://www.worldcat.org/oclc/37782953","WorldCat Record")</f>
        <v>WorldCat Record</v>
      </c>
      <c r="AU926" s="3" t="s">
        <v>12150</v>
      </c>
      <c r="AV926" s="3" t="s">
        <v>12151</v>
      </c>
      <c r="AW926" s="3" t="s">
        <v>12152</v>
      </c>
      <c r="AX926" s="3" t="s">
        <v>12152</v>
      </c>
      <c r="AY926" s="3" t="s">
        <v>12153</v>
      </c>
      <c r="AZ926" s="3" t="s">
        <v>74</v>
      </c>
      <c r="BB926" s="3" t="s">
        <v>12154</v>
      </c>
      <c r="BC926" s="3" t="s">
        <v>12155</v>
      </c>
      <c r="BD926" s="3" t="s">
        <v>12156</v>
      </c>
    </row>
    <row r="927" spans="1:56" ht="45.75" customHeight="1" x14ac:dyDescent="0.25">
      <c r="A927" s="7" t="s">
        <v>58</v>
      </c>
      <c r="B927" s="2" t="s">
        <v>12157</v>
      </c>
      <c r="C927" s="2" t="s">
        <v>12158</v>
      </c>
      <c r="D927" s="2" t="s">
        <v>12159</v>
      </c>
      <c r="F927" s="3" t="s">
        <v>58</v>
      </c>
      <c r="G927" s="3" t="s">
        <v>59</v>
      </c>
      <c r="H927" s="3" t="s">
        <v>58</v>
      </c>
      <c r="I927" s="3" t="s">
        <v>58</v>
      </c>
      <c r="J927" s="3" t="s">
        <v>60</v>
      </c>
      <c r="K927" s="2" t="s">
        <v>12160</v>
      </c>
      <c r="L927" s="2" t="s">
        <v>12161</v>
      </c>
      <c r="M927" s="3" t="s">
        <v>2146</v>
      </c>
      <c r="O927" s="3" t="s">
        <v>65</v>
      </c>
      <c r="P927" s="3" t="s">
        <v>190</v>
      </c>
      <c r="R927" s="3" t="s">
        <v>67</v>
      </c>
      <c r="S927" s="4">
        <v>9</v>
      </c>
      <c r="T927" s="4">
        <v>9</v>
      </c>
      <c r="U927" s="5" t="s">
        <v>12162</v>
      </c>
      <c r="V927" s="5" t="s">
        <v>12162</v>
      </c>
      <c r="W927" s="5" t="s">
        <v>12163</v>
      </c>
      <c r="X927" s="5" t="s">
        <v>12163</v>
      </c>
      <c r="Y927" s="4">
        <v>421</v>
      </c>
      <c r="Z927" s="4">
        <v>369</v>
      </c>
      <c r="AA927" s="4">
        <v>373</v>
      </c>
      <c r="AB927" s="4">
        <v>3</v>
      </c>
      <c r="AC927" s="4">
        <v>3</v>
      </c>
      <c r="AD927" s="4">
        <v>14</v>
      </c>
      <c r="AE927" s="4">
        <v>14</v>
      </c>
      <c r="AF927" s="4">
        <v>6</v>
      </c>
      <c r="AG927" s="4">
        <v>6</v>
      </c>
      <c r="AH927" s="4">
        <v>3</v>
      </c>
      <c r="AI927" s="4">
        <v>3</v>
      </c>
      <c r="AJ927" s="4">
        <v>5</v>
      </c>
      <c r="AK927" s="4">
        <v>5</v>
      </c>
      <c r="AL927" s="4">
        <v>2</v>
      </c>
      <c r="AM927" s="4">
        <v>2</v>
      </c>
      <c r="AN927" s="4">
        <v>0</v>
      </c>
      <c r="AO927" s="4">
        <v>0</v>
      </c>
      <c r="AP927" s="3" t="s">
        <v>58</v>
      </c>
      <c r="AQ927" s="3" t="s">
        <v>58</v>
      </c>
      <c r="AS927" s="6" t="str">
        <f>HYPERLINK("https://creighton-primo.hosted.exlibrisgroup.com/primo-explore/search?tab=default_tab&amp;search_scope=EVERYTHING&amp;vid=01CRU&amp;lang=en_US&amp;offset=0&amp;query=any,contains,991001085519702656","Catalog Record")</f>
        <v>Catalog Record</v>
      </c>
      <c r="AT927" s="6" t="str">
        <f>HYPERLINK("http://www.worldcat.org/oclc/180227","WorldCat Record")</f>
        <v>WorldCat Record</v>
      </c>
      <c r="AU927" s="3" t="s">
        <v>12164</v>
      </c>
      <c r="AV927" s="3" t="s">
        <v>12165</v>
      </c>
      <c r="AW927" s="3" t="s">
        <v>12166</v>
      </c>
      <c r="AX927" s="3" t="s">
        <v>12166</v>
      </c>
      <c r="AY927" s="3" t="s">
        <v>12167</v>
      </c>
      <c r="AZ927" s="3" t="s">
        <v>74</v>
      </c>
      <c r="BC927" s="3" t="s">
        <v>12168</v>
      </c>
      <c r="BD927" s="3" t="s">
        <v>12169</v>
      </c>
    </row>
    <row r="928" spans="1:56" ht="45.75" customHeight="1" x14ac:dyDescent="0.25">
      <c r="A928" s="7" t="s">
        <v>58</v>
      </c>
      <c r="B928" s="2" t="s">
        <v>12170</v>
      </c>
      <c r="C928" s="2" t="s">
        <v>12171</v>
      </c>
      <c r="D928" s="2" t="s">
        <v>12172</v>
      </c>
      <c r="E928" s="3" t="s">
        <v>1512</v>
      </c>
      <c r="F928" s="3" t="s">
        <v>87</v>
      </c>
      <c r="G928" s="3" t="s">
        <v>59</v>
      </c>
      <c r="H928" s="3" t="s">
        <v>58</v>
      </c>
      <c r="I928" s="3" t="s">
        <v>58</v>
      </c>
      <c r="J928" s="3" t="s">
        <v>60</v>
      </c>
      <c r="K928" s="2" t="s">
        <v>12173</v>
      </c>
      <c r="L928" s="2" t="s">
        <v>12174</v>
      </c>
      <c r="M928" s="3" t="s">
        <v>1500</v>
      </c>
      <c r="O928" s="3" t="s">
        <v>65</v>
      </c>
      <c r="P928" s="3" t="s">
        <v>175</v>
      </c>
      <c r="Q928" s="2" t="s">
        <v>12175</v>
      </c>
      <c r="R928" s="3" t="s">
        <v>67</v>
      </c>
      <c r="S928" s="4">
        <v>6</v>
      </c>
      <c r="T928" s="4">
        <v>17</v>
      </c>
      <c r="U928" s="5" t="s">
        <v>12176</v>
      </c>
      <c r="V928" s="5" t="s">
        <v>12176</v>
      </c>
      <c r="W928" s="5" t="s">
        <v>12177</v>
      </c>
      <c r="X928" s="5" t="s">
        <v>12177</v>
      </c>
      <c r="Y928" s="4">
        <v>215</v>
      </c>
      <c r="Z928" s="4">
        <v>150</v>
      </c>
      <c r="AA928" s="4">
        <v>160</v>
      </c>
      <c r="AB928" s="4">
        <v>1</v>
      </c>
      <c r="AC928" s="4">
        <v>1</v>
      </c>
      <c r="AD928" s="4">
        <v>11</v>
      </c>
      <c r="AE928" s="4">
        <v>12</v>
      </c>
      <c r="AF928" s="4">
        <v>2</v>
      </c>
      <c r="AG928" s="4">
        <v>2</v>
      </c>
      <c r="AH928" s="4">
        <v>1</v>
      </c>
      <c r="AI928" s="4">
        <v>1</v>
      </c>
      <c r="AJ928" s="4">
        <v>4</v>
      </c>
      <c r="AK928" s="4">
        <v>4</v>
      </c>
      <c r="AL928" s="4">
        <v>0</v>
      </c>
      <c r="AM928" s="4">
        <v>0</v>
      </c>
      <c r="AN928" s="4">
        <v>5</v>
      </c>
      <c r="AO928" s="4">
        <v>6</v>
      </c>
      <c r="AP928" s="3" t="s">
        <v>58</v>
      </c>
      <c r="AQ928" s="3" t="s">
        <v>87</v>
      </c>
      <c r="AR928" s="6" t="str">
        <f>HYPERLINK("http://catalog.hathitrust.org/Record/000223592","HathiTrust Record")</f>
        <v>HathiTrust Record</v>
      </c>
      <c r="AS928" s="6" t="str">
        <f>HYPERLINK("https://creighton-primo.hosted.exlibrisgroup.com/primo-explore/search?tab=default_tab&amp;search_scope=EVERYTHING&amp;vid=01CRU&amp;lang=en_US&amp;offset=0&amp;query=any,contains,991005066739702656","Catalog Record")</f>
        <v>Catalog Record</v>
      </c>
      <c r="AT928" s="6" t="str">
        <f>HYPERLINK("http://www.worldcat.org/oclc/6973742","WorldCat Record")</f>
        <v>WorldCat Record</v>
      </c>
      <c r="AU928" s="3" t="s">
        <v>12178</v>
      </c>
      <c r="AV928" s="3" t="s">
        <v>12179</v>
      </c>
      <c r="AW928" s="3" t="s">
        <v>12180</v>
      </c>
      <c r="AX928" s="3" t="s">
        <v>12180</v>
      </c>
      <c r="AY928" s="3" t="s">
        <v>12181</v>
      </c>
      <c r="AZ928" s="3" t="s">
        <v>74</v>
      </c>
      <c r="BB928" s="3" t="s">
        <v>12182</v>
      </c>
      <c r="BC928" s="3" t="s">
        <v>12183</v>
      </c>
      <c r="BD928" s="3" t="s">
        <v>12184</v>
      </c>
    </row>
    <row r="929" spans="1:56" ht="45.75" customHeight="1" x14ac:dyDescent="0.25">
      <c r="A929" s="7" t="s">
        <v>58</v>
      </c>
      <c r="B929" s="2" t="s">
        <v>12170</v>
      </c>
      <c r="C929" s="2" t="s">
        <v>12171</v>
      </c>
      <c r="D929" s="2" t="s">
        <v>12172</v>
      </c>
      <c r="E929" s="3" t="s">
        <v>12185</v>
      </c>
      <c r="F929" s="3" t="s">
        <v>87</v>
      </c>
      <c r="G929" s="3" t="s">
        <v>59</v>
      </c>
      <c r="H929" s="3" t="s">
        <v>58</v>
      </c>
      <c r="I929" s="3" t="s">
        <v>58</v>
      </c>
      <c r="J929" s="3" t="s">
        <v>60</v>
      </c>
      <c r="K929" s="2" t="s">
        <v>12173</v>
      </c>
      <c r="L929" s="2" t="s">
        <v>12174</v>
      </c>
      <c r="M929" s="3" t="s">
        <v>1500</v>
      </c>
      <c r="O929" s="3" t="s">
        <v>65</v>
      </c>
      <c r="P929" s="3" t="s">
        <v>175</v>
      </c>
      <c r="Q929" s="2" t="s">
        <v>12175</v>
      </c>
      <c r="R929" s="3" t="s">
        <v>67</v>
      </c>
      <c r="S929" s="4">
        <v>11</v>
      </c>
      <c r="T929" s="4">
        <v>17</v>
      </c>
      <c r="U929" s="5" t="s">
        <v>3723</v>
      </c>
      <c r="V929" s="5" t="s">
        <v>12176</v>
      </c>
      <c r="W929" s="5" t="s">
        <v>12177</v>
      </c>
      <c r="X929" s="5" t="s">
        <v>12177</v>
      </c>
      <c r="Y929" s="4">
        <v>215</v>
      </c>
      <c r="Z929" s="4">
        <v>150</v>
      </c>
      <c r="AA929" s="4">
        <v>160</v>
      </c>
      <c r="AB929" s="4">
        <v>1</v>
      </c>
      <c r="AC929" s="4">
        <v>1</v>
      </c>
      <c r="AD929" s="4">
        <v>11</v>
      </c>
      <c r="AE929" s="4">
        <v>12</v>
      </c>
      <c r="AF929" s="4">
        <v>2</v>
      </c>
      <c r="AG929" s="4">
        <v>2</v>
      </c>
      <c r="AH929" s="4">
        <v>1</v>
      </c>
      <c r="AI929" s="4">
        <v>1</v>
      </c>
      <c r="AJ929" s="4">
        <v>4</v>
      </c>
      <c r="AK929" s="4">
        <v>4</v>
      </c>
      <c r="AL929" s="4">
        <v>0</v>
      </c>
      <c r="AM929" s="4">
        <v>0</v>
      </c>
      <c r="AN929" s="4">
        <v>5</v>
      </c>
      <c r="AO929" s="4">
        <v>6</v>
      </c>
      <c r="AP929" s="3" t="s">
        <v>58</v>
      </c>
      <c r="AQ929" s="3" t="s">
        <v>87</v>
      </c>
      <c r="AR929" s="6" t="str">
        <f>HYPERLINK("http://catalog.hathitrust.org/Record/000223592","HathiTrust Record")</f>
        <v>HathiTrust Record</v>
      </c>
      <c r="AS929" s="6" t="str">
        <f>HYPERLINK("https://creighton-primo.hosted.exlibrisgroup.com/primo-explore/search?tab=default_tab&amp;search_scope=EVERYTHING&amp;vid=01CRU&amp;lang=en_US&amp;offset=0&amp;query=any,contains,991005066739702656","Catalog Record")</f>
        <v>Catalog Record</v>
      </c>
      <c r="AT929" s="6" t="str">
        <f>HYPERLINK("http://www.worldcat.org/oclc/6973742","WorldCat Record")</f>
        <v>WorldCat Record</v>
      </c>
      <c r="AU929" s="3" t="s">
        <v>12178</v>
      </c>
      <c r="AV929" s="3" t="s">
        <v>12179</v>
      </c>
      <c r="AW929" s="3" t="s">
        <v>12180</v>
      </c>
      <c r="AX929" s="3" t="s">
        <v>12180</v>
      </c>
      <c r="AY929" s="3" t="s">
        <v>12181</v>
      </c>
      <c r="AZ929" s="3" t="s">
        <v>74</v>
      </c>
      <c r="BB929" s="3" t="s">
        <v>12182</v>
      </c>
      <c r="BC929" s="3" t="s">
        <v>12186</v>
      </c>
      <c r="BD929" s="3" t="s">
        <v>12187</v>
      </c>
    </row>
    <row r="930" spans="1:56" ht="45.75" customHeight="1" x14ac:dyDescent="0.25">
      <c r="A930" s="7" t="s">
        <v>58</v>
      </c>
      <c r="B930" s="2" t="s">
        <v>12188</v>
      </c>
      <c r="C930" s="2" t="s">
        <v>12189</v>
      </c>
      <c r="D930" s="2" t="s">
        <v>12190</v>
      </c>
      <c r="F930" s="3" t="s">
        <v>58</v>
      </c>
      <c r="G930" s="3" t="s">
        <v>59</v>
      </c>
      <c r="H930" s="3" t="s">
        <v>58</v>
      </c>
      <c r="I930" s="3" t="s">
        <v>58</v>
      </c>
      <c r="J930" s="3" t="s">
        <v>60</v>
      </c>
      <c r="K930" s="2" t="s">
        <v>12191</v>
      </c>
      <c r="L930" s="2" t="s">
        <v>12192</v>
      </c>
      <c r="M930" s="3" t="s">
        <v>1485</v>
      </c>
      <c r="O930" s="3" t="s">
        <v>65</v>
      </c>
      <c r="P930" s="3" t="s">
        <v>148</v>
      </c>
      <c r="R930" s="3" t="s">
        <v>67</v>
      </c>
      <c r="S930" s="4">
        <v>2</v>
      </c>
      <c r="T930" s="4">
        <v>2</v>
      </c>
      <c r="U930" s="5" t="s">
        <v>12193</v>
      </c>
      <c r="V930" s="5" t="s">
        <v>12193</v>
      </c>
      <c r="W930" s="5" t="s">
        <v>9192</v>
      </c>
      <c r="X930" s="5" t="s">
        <v>9192</v>
      </c>
      <c r="Y930" s="4">
        <v>340</v>
      </c>
      <c r="Z930" s="4">
        <v>265</v>
      </c>
      <c r="AA930" s="4">
        <v>266</v>
      </c>
      <c r="AB930" s="4">
        <v>3</v>
      </c>
      <c r="AC930" s="4">
        <v>3</v>
      </c>
      <c r="AD930" s="4">
        <v>15</v>
      </c>
      <c r="AE930" s="4">
        <v>15</v>
      </c>
      <c r="AF930" s="4">
        <v>3</v>
      </c>
      <c r="AG930" s="4">
        <v>3</v>
      </c>
      <c r="AH930" s="4">
        <v>2</v>
      </c>
      <c r="AI930" s="4">
        <v>2</v>
      </c>
      <c r="AJ930" s="4">
        <v>6</v>
      </c>
      <c r="AK930" s="4">
        <v>6</v>
      </c>
      <c r="AL930" s="4">
        <v>2</v>
      </c>
      <c r="AM930" s="4">
        <v>2</v>
      </c>
      <c r="AN930" s="4">
        <v>4</v>
      </c>
      <c r="AO930" s="4">
        <v>4</v>
      </c>
      <c r="AP930" s="3" t="s">
        <v>58</v>
      </c>
      <c r="AQ930" s="3" t="s">
        <v>87</v>
      </c>
      <c r="AR930" s="6" t="str">
        <f>HYPERLINK("http://catalog.hathitrust.org/Record/000697697","HathiTrust Record")</f>
        <v>HathiTrust Record</v>
      </c>
      <c r="AS930" s="6" t="str">
        <f>HYPERLINK("https://creighton-primo.hosted.exlibrisgroup.com/primo-explore/search?tab=default_tab&amp;search_scope=EVERYTHING&amp;vid=01CRU&amp;lang=en_US&amp;offset=0&amp;query=any,contains,991003917389702656","Catalog Record")</f>
        <v>Catalog Record</v>
      </c>
      <c r="AT930" s="6" t="str">
        <f>HYPERLINK("http://www.worldcat.org/oclc/1863374","WorldCat Record")</f>
        <v>WorldCat Record</v>
      </c>
      <c r="AU930" s="3" t="s">
        <v>12194</v>
      </c>
      <c r="AV930" s="3" t="s">
        <v>12195</v>
      </c>
      <c r="AW930" s="3" t="s">
        <v>12196</v>
      </c>
      <c r="AX930" s="3" t="s">
        <v>12196</v>
      </c>
      <c r="AY930" s="3" t="s">
        <v>12197</v>
      </c>
      <c r="AZ930" s="3" t="s">
        <v>74</v>
      </c>
      <c r="BB930" s="3" t="s">
        <v>12198</v>
      </c>
      <c r="BC930" s="3" t="s">
        <v>12199</v>
      </c>
      <c r="BD930" s="3" t="s">
        <v>12200</v>
      </c>
    </row>
    <row r="931" spans="1:56" ht="45.75" customHeight="1" x14ac:dyDescent="0.25">
      <c r="A931" s="7" t="s">
        <v>58</v>
      </c>
      <c r="B931" s="2" t="s">
        <v>12201</v>
      </c>
      <c r="C931" s="2" t="s">
        <v>12202</v>
      </c>
      <c r="D931" s="2" t="s">
        <v>12203</v>
      </c>
      <c r="F931" s="3" t="s">
        <v>58</v>
      </c>
      <c r="G931" s="3" t="s">
        <v>59</v>
      </c>
      <c r="H931" s="3" t="s">
        <v>58</v>
      </c>
      <c r="I931" s="3" t="s">
        <v>58</v>
      </c>
      <c r="J931" s="3" t="s">
        <v>60</v>
      </c>
      <c r="K931" s="2" t="s">
        <v>12204</v>
      </c>
      <c r="L931" s="2" t="s">
        <v>12205</v>
      </c>
      <c r="M931" s="3" t="s">
        <v>867</v>
      </c>
      <c r="O931" s="3" t="s">
        <v>65</v>
      </c>
      <c r="P931" s="3" t="s">
        <v>84</v>
      </c>
      <c r="R931" s="3" t="s">
        <v>67</v>
      </c>
      <c r="S931" s="4">
        <v>7</v>
      </c>
      <c r="T931" s="4">
        <v>7</v>
      </c>
      <c r="U931" s="5" t="s">
        <v>10132</v>
      </c>
      <c r="V931" s="5" t="s">
        <v>10132</v>
      </c>
      <c r="W931" s="5" t="s">
        <v>12206</v>
      </c>
      <c r="X931" s="5" t="s">
        <v>12206</v>
      </c>
      <c r="Y931" s="4">
        <v>369</v>
      </c>
      <c r="Z931" s="4">
        <v>292</v>
      </c>
      <c r="AA931" s="4">
        <v>304</v>
      </c>
      <c r="AB931" s="4">
        <v>3</v>
      </c>
      <c r="AC931" s="4">
        <v>3</v>
      </c>
      <c r="AD931" s="4">
        <v>18</v>
      </c>
      <c r="AE931" s="4">
        <v>18</v>
      </c>
      <c r="AF931" s="4">
        <v>6</v>
      </c>
      <c r="AG931" s="4">
        <v>6</v>
      </c>
      <c r="AH931" s="4">
        <v>4</v>
      </c>
      <c r="AI931" s="4">
        <v>4</v>
      </c>
      <c r="AJ931" s="4">
        <v>7</v>
      </c>
      <c r="AK931" s="4">
        <v>7</v>
      </c>
      <c r="AL931" s="4">
        <v>2</v>
      </c>
      <c r="AM931" s="4">
        <v>2</v>
      </c>
      <c r="AN931" s="4">
        <v>3</v>
      </c>
      <c r="AO931" s="4">
        <v>3</v>
      </c>
      <c r="AP931" s="3" t="s">
        <v>58</v>
      </c>
      <c r="AQ931" s="3" t="s">
        <v>58</v>
      </c>
      <c r="AS931" s="6" t="str">
        <f>HYPERLINK("https://creighton-primo.hosted.exlibrisgroup.com/primo-explore/search?tab=default_tab&amp;search_scope=EVERYTHING&amp;vid=01CRU&amp;lang=en_US&amp;offset=0&amp;query=any,contains,991001872149702656","Catalog Record")</f>
        <v>Catalog Record</v>
      </c>
      <c r="AT931" s="6" t="str">
        <f>HYPERLINK("http://www.worldcat.org/oclc/23649545","WorldCat Record")</f>
        <v>WorldCat Record</v>
      </c>
      <c r="AU931" s="3" t="s">
        <v>12207</v>
      </c>
      <c r="AV931" s="3" t="s">
        <v>12208</v>
      </c>
      <c r="AW931" s="3" t="s">
        <v>12209</v>
      </c>
      <c r="AX931" s="3" t="s">
        <v>12209</v>
      </c>
      <c r="AY931" s="3" t="s">
        <v>12210</v>
      </c>
      <c r="AZ931" s="3" t="s">
        <v>74</v>
      </c>
      <c r="BB931" s="3" t="s">
        <v>12211</v>
      </c>
      <c r="BC931" s="3" t="s">
        <v>12212</v>
      </c>
      <c r="BD931" s="3" t="s">
        <v>12213</v>
      </c>
    </row>
    <row r="932" spans="1:56" ht="45.75" customHeight="1" x14ac:dyDescent="0.25">
      <c r="A932" s="7" t="s">
        <v>58</v>
      </c>
      <c r="B932" s="2" t="s">
        <v>12214</v>
      </c>
      <c r="C932" s="2" t="s">
        <v>12215</v>
      </c>
      <c r="D932" s="2" t="s">
        <v>12216</v>
      </c>
      <c r="F932" s="3" t="s">
        <v>58</v>
      </c>
      <c r="G932" s="3" t="s">
        <v>59</v>
      </c>
      <c r="H932" s="3" t="s">
        <v>58</v>
      </c>
      <c r="I932" s="3" t="s">
        <v>58</v>
      </c>
      <c r="J932" s="3" t="s">
        <v>60</v>
      </c>
      <c r="L932" s="2" t="s">
        <v>12217</v>
      </c>
      <c r="M932" s="3" t="s">
        <v>1485</v>
      </c>
      <c r="O932" s="3" t="s">
        <v>65</v>
      </c>
      <c r="P932" s="3" t="s">
        <v>148</v>
      </c>
      <c r="R932" s="3" t="s">
        <v>67</v>
      </c>
      <c r="S932" s="4">
        <v>6</v>
      </c>
      <c r="T932" s="4">
        <v>6</v>
      </c>
      <c r="U932" s="5" t="s">
        <v>12218</v>
      </c>
      <c r="V932" s="5" t="s">
        <v>12218</v>
      </c>
      <c r="W932" s="5" t="s">
        <v>11834</v>
      </c>
      <c r="X932" s="5" t="s">
        <v>11834</v>
      </c>
      <c r="Y932" s="4">
        <v>701</v>
      </c>
      <c r="Z932" s="4">
        <v>575</v>
      </c>
      <c r="AA932" s="4">
        <v>577</v>
      </c>
      <c r="AB932" s="4">
        <v>4</v>
      </c>
      <c r="AC932" s="4">
        <v>4</v>
      </c>
      <c r="AD932" s="4">
        <v>26</v>
      </c>
      <c r="AE932" s="4">
        <v>26</v>
      </c>
      <c r="AF932" s="4">
        <v>8</v>
      </c>
      <c r="AG932" s="4">
        <v>8</v>
      </c>
      <c r="AH932" s="4">
        <v>1</v>
      </c>
      <c r="AI932" s="4">
        <v>1</v>
      </c>
      <c r="AJ932" s="4">
        <v>12</v>
      </c>
      <c r="AK932" s="4">
        <v>12</v>
      </c>
      <c r="AL932" s="4">
        <v>2</v>
      </c>
      <c r="AM932" s="4">
        <v>2</v>
      </c>
      <c r="AN932" s="4">
        <v>8</v>
      </c>
      <c r="AO932" s="4">
        <v>8</v>
      </c>
      <c r="AP932" s="3" t="s">
        <v>58</v>
      </c>
      <c r="AQ932" s="3" t="s">
        <v>87</v>
      </c>
      <c r="AR932" s="6" t="str">
        <f>HYPERLINK("http://catalog.hathitrust.org/Record/000682900","HathiTrust Record")</f>
        <v>HathiTrust Record</v>
      </c>
      <c r="AS932" s="6" t="str">
        <f>HYPERLINK("https://creighton-primo.hosted.exlibrisgroup.com/primo-explore/search?tab=default_tab&amp;search_scope=EVERYTHING&amp;vid=01CRU&amp;lang=en_US&amp;offset=0&amp;query=any,contains,991004030439702656","Catalog Record")</f>
        <v>Catalog Record</v>
      </c>
      <c r="AT932" s="6" t="str">
        <f>HYPERLINK("http://www.worldcat.org/oclc/2151123","WorldCat Record")</f>
        <v>WorldCat Record</v>
      </c>
      <c r="AU932" s="3" t="s">
        <v>12219</v>
      </c>
      <c r="AV932" s="3" t="s">
        <v>12220</v>
      </c>
      <c r="AW932" s="3" t="s">
        <v>12221</v>
      </c>
      <c r="AX932" s="3" t="s">
        <v>12221</v>
      </c>
      <c r="AY932" s="3" t="s">
        <v>12222</v>
      </c>
      <c r="AZ932" s="3" t="s">
        <v>74</v>
      </c>
      <c r="BB932" s="3" t="s">
        <v>12223</v>
      </c>
      <c r="BC932" s="3" t="s">
        <v>12224</v>
      </c>
      <c r="BD932" s="3" t="s">
        <v>12225</v>
      </c>
    </row>
    <row r="933" spans="1:56" ht="45.75" customHeight="1" x14ac:dyDescent="0.25">
      <c r="A933" s="7" t="s">
        <v>58</v>
      </c>
      <c r="B933" s="2" t="s">
        <v>12226</v>
      </c>
      <c r="C933" s="2" t="s">
        <v>12227</v>
      </c>
      <c r="D933" s="2" t="s">
        <v>12228</v>
      </c>
      <c r="F933" s="3" t="s">
        <v>58</v>
      </c>
      <c r="G933" s="3" t="s">
        <v>59</v>
      </c>
      <c r="H933" s="3" t="s">
        <v>58</v>
      </c>
      <c r="I933" s="3" t="s">
        <v>58</v>
      </c>
      <c r="J933" s="3" t="s">
        <v>60</v>
      </c>
      <c r="L933" s="2" t="s">
        <v>12229</v>
      </c>
      <c r="M933" s="3" t="s">
        <v>923</v>
      </c>
      <c r="O933" s="3" t="s">
        <v>65</v>
      </c>
      <c r="P933" s="3" t="s">
        <v>587</v>
      </c>
      <c r="Q933" s="2" t="s">
        <v>12230</v>
      </c>
      <c r="R933" s="3" t="s">
        <v>67</v>
      </c>
      <c r="S933" s="4">
        <v>2</v>
      </c>
      <c r="T933" s="4">
        <v>2</v>
      </c>
      <c r="U933" s="5" t="s">
        <v>12231</v>
      </c>
      <c r="V933" s="5" t="s">
        <v>12231</v>
      </c>
      <c r="W933" s="5" t="s">
        <v>1758</v>
      </c>
      <c r="X933" s="5" t="s">
        <v>1758</v>
      </c>
      <c r="Y933" s="4">
        <v>25</v>
      </c>
      <c r="Z933" s="4">
        <v>15</v>
      </c>
      <c r="AA933" s="4">
        <v>15</v>
      </c>
      <c r="AB933" s="4">
        <v>2</v>
      </c>
      <c r="AC933" s="4">
        <v>2</v>
      </c>
      <c r="AD933" s="4">
        <v>2</v>
      </c>
      <c r="AE933" s="4">
        <v>2</v>
      </c>
      <c r="AF933" s="4">
        <v>0</v>
      </c>
      <c r="AG933" s="4">
        <v>0</v>
      </c>
      <c r="AH933" s="4">
        <v>0</v>
      </c>
      <c r="AI933" s="4">
        <v>0</v>
      </c>
      <c r="AJ933" s="4">
        <v>0</v>
      </c>
      <c r="AK933" s="4">
        <v>0</v>
      </c>
      <c r="AL933" s="4">
        <v>0</v>
      </c>
      <c r="AM933" s="4">
        <v>0</v>
      </c>
      <c r="AN933" s="4">
        <v>2</v>
      </c>
      <c r="AO933" s="4">
        <v>2</v>
      </c>
      <c r="AP933" s="3" t="s">
        <v>58</v>
      </c>
      <c r="AQ933" s="3" t="s">
        <v>58</v>
      </c>
      <c r="AS933" s="6" t="str">
        <f>HYPERLINK("https://creighton-primo.hosted.exlibrisgroup.com/primo-explore/search?tab=default_tab&amp;search_scope=EVERYTHING&amp;vid=01CRU&amp;lang=en_US&amp;offset=0&amp;query=any,contains,991000021459702656","Catalog Record")</f>
        <v>Catalog Record</v>
      </c>
      <c r="AT933" s="6" t="str">
        <f>HYPERLINK("http://www.worldcat.org/oclc/8572107","WorldCat Record")</f>
        <v>WorldCat Record</v>
      </c>
      <c r="AU933" s="3" t="s">
        <v>12232</v>
      </c>
      <c r="AV933" s="3" t="s">
        <v>12233</v>
      </c>
      <c r="AW933" s="3" t="s">
        <v>12234</v>
      </c>
      <c r="AX933" s="3" t="s">
        <v>12234</v>
      </c>
      <c r="AY933" s="3" t="s">
        <v>12235</v>
      </c>
      <c r="AZ933" s="3" t="s">
        <v>74</v>
      </c>
      <c r="BB933" s="3" t="s">
        <v>12236</v>
      </c>
      <c r="BC933" s="3" t="s">
        <v>12237</v>
      </c>
      <c r="BD933" s="3" t="s">
        <v>12238</v>
      </c>
    </row>
    <row r="934" spans="1:56" ht="45.75" customHeight="1" x14ac:dyDescent="0.25">
      <c r="A934" s="7" t="s">
        <v>58</v>
      </c>
      <c r="B934" s="2" t="s">
        <v>12239</v>
      </c>
      <c r="C934" s="2" t="s">
        <v>12240</v>
      </c>
      <c r="D934" s="2" t="s">
        <v>12241</v>
      </c>
      <c r="F934" s="3" t="s">
        <v>58</v>
      </c>
      <c r="G934" s="3" t="s">
        <v>59</v>
      </c>
      <c r="H934" s="3" t="s">
        <v>87</v>
      </c>
      <c r="I934" s="3" t="s">
        <v>58</v>
      </c>
      <c r="J934" s="3" t="s">
        <v>60</v>
      </c>
      <c r="K934" s="2" t="s">
        <v>12242</v>
      </c>
      <c r="L934" s="2" t="s">
        <v>12243</v>
      </c>
      <c r="M934" s="3" t="s">
        <v>1544</v>
      </c>
      <c r="N934" s="2" t="s">
        <v>4473</v>
      </c>
      <c r="O934" s="3" t="s">
        <v>65</v>
      </c>
      <c r="P934" s="3" t="s">
        <v>132</v>
      </c>
      <c r="Q934" s="2" t="s">
        <v>4474</v>
      </c>
      <c r="R934" s="3" t="s">
        <v>67</v>
      </c>
      <c r="S934" s="4">
        <v>0</v>
      </c>
      <c r="T934" s="4">
        <v>1</v>
      </c>
      <c r="V934" s="5" t="s">
        <v>12244</v>
      </c>
      <c r="W934" s="5" t="s">
        <v>7442</v>
      </c>
      <c r="X934" s="5" t="s">
        <v>7442</v>
      </c>
      <c r="Y934" s="4">
        <v>691</v>
      </c>
      <c r="Z934" s="4">
        <v>631</v>
      </c>
      <c r="AA934" s="4">
        <v>910</v>
      </c>
      <c r="AB934" s="4">
        <v>9</v>
      </c>
      <c r="AC934" s="4">
        <v>10</v>
      </c>
      <c r="AD934" s="4">
        <v>30</v>
      </c>
      <c r="AE934" s="4">
        <v>40</v>
      </c>
      <c r="AF934" s="4">
        <v>11</v>
      </c>
      <c r="AG934" s="4">
        <v>15</v>
      </c>
      <c r="AH934" s="4">
        <v>5</v>
      </c>
      <c r="AI934" s="4">
        <v>7</v>
      </c>
      <c r="AJ934" s="4">
        <v>13</v>
      </c>
      <c r="AK934" s="4">
        <v>17</v>
      </c>
      <c r="AL934" s="4">
        <v>5</v>
      </c>
      <c r="AM934" s="4">
        <v>6</v>
      </c>
      <c r="AN934" s="4">
        <v>1</v>
      </c>
      <c r="AO934" s="4">
        <v>3</v>
      </c>
      <c r="AP934" s="3" t="s">
        <v>58</v>
      </c>
      <c r="AQ934" s="3" t="s">
        <v>87</v>
      </c>
      <c r="AR934" s="6" t="str">
        <f>HYPERLINK("http://catalog.hathitrust.org/Record/001132433","HathiTrust Record")</f>
        <v>HathiTrust Record</v>
      </c>
      <c r="AS934" s="6" t="str">
        <f>HYPERLINK("https://creighton-primo.hosted.exlibrisgroup.com/primo-explore/search?tab=default_tab&amp;search_scope=EVERYTHING&amp;vid=01CRU&amp;lang=en_US&amp;offset=0&amp;query=any,contains,991001761429702656","Catalog Record")</f>
        <v>Catalog Record</v>
      </c>
      <c r="AT934" s="6" t="str">
        <f>HYPERLINK("http://www.worldcat.org/oclc/153708","WorldCat Record")</f>
        <v>WorldCat Record</v>
      </c>
      <c r="AU934" s="3" t="s">
        <v>12245</v>
      </c>
      <c r="AV934" s="3" t="s">
        <v>12246</v>
      </c>
      <c r="AW934" s="3" t="s">
        <v>12247</v>
      </c>
      <c r="AX934" s="3" t="s">
        <v>12247</v>
      </c>
      <c r="AY934" s="3" t="s">
        <v>12248</v>
      </c>
      <c r="AZ934" s="3" t="s">
        <v>74</v>
      </c>
      <c r="BB934" s="3" t="s">
        <v>12249</v>
      </c>
      <c r="BC934" s="3" t="s">
        <v>12250</v>
      </c>
      <c r="BD934" s="3" t="s">
        <v>12251</v>
      </c>
    </row>
    <row r="935" spans="1:56" ht="45.75" customHeight="1" x14ac:dyDescent="0.25">
      <c r="A935" s="7" t="s">
        <v>58</v>
      </c>
      <c r="B935" s="2" t="s">
        <v>12252</v>
      </c>
      <c r="C935" s="2" t="s">
        <v>12253</v>
      </c>
      <c r="D935" s="2" t="s">
        <v>12254</v>
      </c>
      <c r="F935" s="3" t="s">
        <v>58</v>
      </c>
      <c r="G935" s="3" t="s">
        <v>59</v>
      </c>
      <c r="H935" s="3" t="s">
        <v>58</v>
      </c>
      <c r="I935" s="3" t="s">
        <v>58</v>
      </c>
      <c r="J935" s="3" t="s">
        <v>60</v>
      </c>
      <c r="L935" s="2" t="s">
        <v>12255</v>
      </c>
      <c r="M935" s="3" t="s">
        <v>1500</v>
      </c>
      <c r="O935" s="3" t="s">
        <v>65</v>
      </c>
      <c r="P935" s="3" t="s">
        <v>12256</v>
      </c>
      <c r="R935" s="3" t="s">
        <v>67</v>
      </c>
      <c r="S935" s="4">
        <v>19</v>
      </c>
      <c r="T935" s="4">
        <v>19</v>
      </c>
      <c r="U935" s="5" t="s">
        <v>1005</v>
      </c>
      <c r="V935" s="5" t="s">
        <v>1005</v>
      </c>
      <c r="W935" s="5" t="s">
        <v>3115</v>
      </c>
      <c r="X935" s="5" t="s">
        <v>3115</v>
      </c>
      <c r="Y935" s="4">
        <v>527</v>
      </c>
      <c r="Z935" s="4">
        <v>345</v>
      </c>
      <c r="AA935" s="4">
        <v>347</v>
      </c>
      <c r="AB935" s="4">
        <v>3</v>
      </c>
      <c r="AC935" s="4">
        <v>3</v>
      </c>
      <c r="AD935" s="4">
        <v>19</v>
      </c>
      <c r="AE935" s="4">
        <v>19</v>
      </c>
      <c r="AF935" s="4">
        <v>6</v>
      </c>
      <c r="AG935" s="4">
        <v>6</v>
      </c>
      <c r="AH935" s="4">
        <v>6</v>
      </c>
      <c r="AI935" s="4">
        <v>6</v>
      </c>
      <c r="AJ935" s="4">
        <v>5</v>
      </c>
      <c r="AK935" s="4">
        <v>5</v>
      </c>
      <c r="AL935" s="4">
        <v>1</v>
      </c>
      <c r="AM935" s="4">
        <v>1</v>
      </c>
      <c r="AN935" s="4">
        <v>5</v>
      </c>
      <c r="AO935" s="4">
        <v>5</v>
      </c>
      <c r="AP935" s="3" t="s">
        <v>58</v>
      </c>
      <c r="AQ935" s="3" t="s">
        <v>87</v>
      </c>
      <c r="AR935" s="6" t="str">
        <f>HYPERLINK("http://catalog.hathitrust.org/Record/000044074","HathiTrust Record")</f>
        <v>HathiTrust Record</v>
      </c>
      <c r="AS935" s="6" t="str">
        <f>HYPERLINK("https://creighton-primo.hosted.exlibrisgroup.com/primo-explore/search?tab=default_tab&amp;search_scope=EVERYTHING&amp;vid=01CRU&amp;lang=en_US&amp;offset=0&amp;query=any,contains,991004939169702656","Catalog Record")</f>
        <v>Catalog Record</v>
      </c>
      <c r="AT935" s="6" t="str">
        <f>HYPERLINK("http://www.worldcat.org/oclc/7206828","WorldCat Record")</f>
        <v>WorldCat Record</v>
      </c>
      <c r="AU935" s="3" t="s">
        <v>12257</v>
      </c>
      <c r="AV935" s="3" t="s">
        <v>12258</v>
      </c>
      <c r="AW935" s="3" t="s">
        <v>12259</v>
      </c>
      <c r="AX935" s="3" t="s">
        <v>12259</v>
      </c>
      <c r="AY935" s="3" t="s">
        <v>12260</v>
      </c>
      <c r="AZ935" s="3" t="s">
        <v>74</v>
      </c>
      <c r="BB935" s="3" t="s">
        <v>12261</v>
      </c>
      <c r="BC935" s="3" t="s">
        <v>12262</v>
      </c>
      <c r="BD935" s="3" t="s">
        <v>12263</v>
      </c>
    </row>
    <row r="936" spans="1:56" ht="45.75" customHeight="1" x14ac:dyDescent="0.25">
      <c r="A936" s="7" t="s">
        <v>58</v>
      </c>
      <c r="B936" s="2" t="s">
        <v>12264</v>
      </c>
      <c r="C936" s="2" t="s">
        <v>12265</v>
      </c>
      <c r="D936" s="2" t="s">
        <v>12266</v>
      </c>
      <c r="F936" s="3" t="s">
        <v>58</v>
      </c>
      <c r="G936" s="3" t="s">
        <v>59</v>
      </c>
      <c r="H936" s="3" t="s">
        <v>58</v>
      </c>
      <c r="I936" s="3" t="s">
        <v>58</v>
      </c>
      <c r="J936" s="3" t="s">
        <v>60</v>
      </c>
      <c r="L936" s="2" t="s">
        <v>12267</v>
      </c>
      <c r="M936" s="3" t="s">
        <v>713</v>
      </c>
      <c r="O936" s="3" t="s">
        <v>65</v>
      </c>
      <c r="P936" s="3" t="s">
        <v>132</v>
      </c>
      <c r="R936" s="3" t="s">
        <v>67</v>
      </c>
      <c r="S936" s="4">
        <v>12</v>
      </c>
      <c r="T936" s="4">
        <v>12</v>
      </c>
      <c r="U936" s="5" t="s">
        <v>12268</v>
      </c>
      <c r="V936" s="5" t="s">
        <v>12268</v>
      </c>
      <c r="W936" s="5" t="s">
        <v>12177</v>
      </c>
      <c r="X936" s="5" t="s">
        <v>12177</v>
      </c>
      <c r="Y936" s="4">
        <v>959</v>
      </c>
      <c r="Z936" s="4">
        <v>816</v>
      </c>
      <c r="AA936" s="4">
        <v>864</v>
      </c>
      <c r="AB936" s="4">
        <v>5</v>
      </c>
      <c r="AC936" s="4">
        <v>6</v>
      </c>
      <c r="AD936" s="4">
        <v>32</v>
      </c>
      <c r="AE936" s="4">
        <v>33</v>
      </c>
      <c r="AF936" s="4">
        <v>13</v>
      </c>
      <c r="AG936" s="4">
        <v>13</v>
      </c>
      <c r="AH936" s="4">
        <v>9</v>
      </c>
      <c r="AI936" s="4">
        <v>9</v>
      </c>
      <c r="AJ936" s="4">
        <v>12</v>
      </c>
      <c r="AK936" s="4">
        <v>12</v>
      </c>
      <c r="AL936" s="4">
        <v>4</v>
      </c>
      <c r="AM936" s="4">
        <v>5</v>
      </c>
      <c r="AN936" s="4">
        <v>1</v>
      </c>
      <c r="AO936" s="4">
        <v>1</v>
      </c>
      <c r="AP936" s="3" t="s">
        <v>58</v>
      </c>
      <c r="AQ936" s="3" t="s">
        <v>58</v>
      </c>
      <c r="AS936" s="6" t="str">
        <f>HYPERLINK("https://creighton-primo.hosted.exlibrisgroup.com/primo-explore/search?tab=default_tab&amp;search_scope=EVERYTHING&amp;vid=01CRU&amp;lang=en_US&amp;offset=0&amp;query=any,contains,991005086959702656","Catalog Record")</f>
        <v>Catalog Record</v>
      </c>
      <c r="AT936" s="6" t="str">
        <f>HYPERLINK("http://www.worldcat.org/oclc/7197161","WorldCat Record")</f>
        <v>WorldCat Record</v>
      </c>
      <c r="AU936" s="3" t="s">
        <v>12269</v>
      </c>
      <c r="AV936" s="3" t="s">
        <v>12270</v>
      </c>
      <c r="AW936" s="3" t="s">
        <v>12271</v>
      </c>
      <c r="AX936" s="3" t="s">
        <v>12271</v>
      </c>
      <c r="AY936" s="3" t="s">
        <v>12272</v>
      </c>
      <c r="AZ936" s="3" t="s">
        <v>74</v>
      </c>
      <c r="BB936" s="3" t="s">
        <v>12273</v>
      </c>
      <c r="BC936" s="3" t="s">
        <v>12274</v>
      </c>
      <c r="BD936" s="3" t="s">
        <v>12275</v>
      </c>
    </row>
    <row r="937" spans="1:56" ht="45.75" customHeight="1" x14ac:dyDescent="0.25">
      <c r="A937" s="7" t="s">
        <v>58</v>
      </c>
      <c r="B937" s="2" t="s">
        <v>12276</v>
      </c>
      <c r="C937" s="2" t="s">
        <v>12277</v>
      </c>
      <c r="D937" s="2" t="s">
        <v>12278</v>
      </c>
      <c r="F937" s="3" t="s">
        <v>58</v>
      </c>
      <c r="G937" s="3" t="s">
        <v>59</v>
      </c>
      <c r="H937" s="3" t="s">
        <v>87</v>
      </c>
      <c r="I937" s="3" t="s">
        <v>58</v>
      </c>
      <c r="J937" s="3" t="s">
        <v>60</v>
      </c>
      <c r="L937" s="2" t="s">
        <v>12217</v>
      </c>
      <c r="M937" s="3" t="s">
        <v>1485</v>
      </c>
      <c r="O937" s="3" t="s">
        <v>65</v>
      </c>
      <c r="P937" s="3" t="s">
        <v>148</v>
      </c>
      <c r="R937" s="3" t="s">
        <v>67</v>
      </c>
      <c r="S937" s="4">
        <v>13</v>
      </c>
      <c r="T937" s="4">
        <v>18</v>
      </c>
      <c r="U937" s="5" t="s">
        <v>12279</v>
      </c>
      <c r="V937" s="5" t="s">
        <v>12279</v>
      </c>
      <c r="W937" s="5" t="s">
        <v>1061</v>
      </c>
      <c r="X937" s="5" t="s">
        <v>1061</v>
      </c>
      <c r="Y937" s="4">
        <v>859</v>
      </c>
      <c r="Z937" s="4">
        <v>717</v>
      </c>
      <c r="AA937" s="4">
        <v>725</v>
      </c>
      <c r="AB937" s="4">
        <v>7</v>
      </c>
      <c r="AC937" s="4">
        <v>7</v>
      </c>
      <c r="AD937" s="4">
        <v>38</v>
      </c>
      <c r="AE937" s="4">
        <v>38</v>
      </c>
      <c r="AF937" s="4">
        <v>14</v>
      </c>
      <c r="AG937" s="4">
        <v>14</v>
      </c>
      <c r="AH937" s="4">
        <v>6</v>
      </c>
      <c r="AI937" s="4">
        <v>6</v>
      </c>
      <c r="AJ937" s="4">
        <v>13</v>
      </c>
      <c r="AK937" s="4">
        <v>13</v>
      </c>
      <c r="AL937" s="4">
        <v>4</v>
      </c>
      <c r="AM937" s="4">
        <v>4</v>
      </c>
      <c r="AN937" s="4">
        <v>10</v>
      </c>
      <c r="AO937" s="4">
        <v>10</v>
      </c>
      <c r="AP937" s="3" t="s">
        <v>58</v>
      </c>
      <c r="AQ937" s="3" t="s">
        <v>87</v>
      </c>
      <c r="AR937" s="6" t="str">
        <f>HYPERLINK("http://catalog.hathitrust.org/Record/000713826","HathiTrust Record")</f>
        <v>HathiTrust Record</v>
      </c>
      <c r="AS937" s="6" t="str">
        <f>HYPERLINK("https://creighton-primo.hosted.exlibrisgroup.com/primo-explore/search?tab=default_tab&amp;search_scope=EVERYTHING&amp;vid=01CRU&amp;lang=en_US&amp;offset=0&amp;query=any,contains,991001758999702656","Catalog Record")</f>
        <v>Catalog Record</v>
      </c>
      <c r="AT937" s="6" t="str">
        <f>HYPERLINK("http://www.worldcat.org/oclc/2119566","WorldCat Record")</f>
        <v>WorldCat Record</v>
      </c>
      <c r="AU937" s="3" t="s">
        <v>12280</v>
      </c>
      <c r="AV937" s="3" t="s">
        <v>12281</v>
      </c>
      <c r="AW937" s="3" t="s">
        <v>12282</v>
      </c>
      <c r="AX937" s="3" t="s">
        <v>12282</v>
      </c>
      <c r="AY937" s="3" t="s">
        <v>12283</v>
      </c>
      <c r="AZ937" s="3" t="s">
        <v>74</v>
      </c>
      <c r="BB937" s="3" t="s">
        <v>12284</v>
      </c>
      <c r="BC937" s="3" t="s">
        <v>12285</v>
      </c>
      <c r="BD937" s="3" t="s">
        <v>12286</v>
      </c>
    </row>
    <row r="938" spans="1:56" ht="45.75" customHeight="1" x14ac:dyDescent="0.25">
      <c r="A938" s="7" t="s">
        <v>58</v>
      </c>
      <c r="B938" s="2" t="s">
        <v>12287</v>
      </c>
      <c r="C938" s="2" t="s">
        <v>12288</v>
      </c>
      <c r="D938" s="2" t="s">
        <v>12289</v>
      </c>
      <c r="F938" s="3" t="s">
        <v>58</v>
      </c>
      <c r="G938" s="3" t="s">
        <v>59</v>
      </c>
      <c r="H938" s="3" t="s">
        <v>87</v>
      </c>
      <c r="I938" s="3" t="s">
        <v>58</v>
      </c>
      <c r="J938" s="3" t="s">
        <v>60</v>
      </c>
      <c r="L938" s="2" t="s">
        <v>12290</v>
      </c>
      <c r="M938" s="3" t="s">
        <v>1419</v>
      </c>
      <c r="O938" s="3" t="s">
        <v>65</v>
      </c>
      <c r="P938" s="3" t="s">
        <v>84</v>
      </c>
      <c r="R938" s="3" t="s">
        <v>67</v>
      </c>
      <c r="S938" s="4">
        <v>13</v>
      </c>
      <c r="T938" s="4">
        <v>16</v>
      </c>
      <c r="U938" s="5" t="s">
        <v>12291</v>
      </c>
      <c r="V938" s="5" t="s">
        <v>12291</v>
      </c>
      <c r="W938" s="5" t="s">
        <v>1758</v>
      </c>
      <c r="X938" s="5" t="s">
        <v>1758</v>
      </c>
      <c r="Y938" s="4">
        <v>512</v>
      </c>
      <c r="Z938" s="4">
        <v>428</v>
      </c>
      <c r="AA938" s="4">
        <v>442</v>
      </c>
      <c r="AB938" s="4">
        <v>7</v>
      </c>
      <c r="AC938" s="4">
        <v>7</v>
      </c>
      <c r="AD938" s="4">
        <v>20</v>
      </c>
      <c r="AE938" s="4">
        <v>20</v>
      </c>
      <c r="AF938" s="4">
        <v>4</v>
      </c>
      <c r="AG938" s="4">
        <v>4</v>
      </c>
      <c r="AH938" s="4">
        <v>6</v>
      </c>
      <c r="AI938" s="4">
        <v>6</v>
      </c>
      <c r="AJ938" s="4">
        <v>5</v>
      </c>
      <c r="AK938" s="4">
        <v>5</v>
      </c>
      <c r="AL938" s="4">
        <v>4</v>
      </c>
      <c r="AM938" s="4">
        <v>4</v>
      </c>
      <c r="AN938" s="4">
        <v>4</v>
      </c>
      <c r="AO938" s="4">
        <v>4</v>
      </c>
      <c r="AP938" s="3" t="s">
        <v>58</v>
      </c>
      <c r="AQ938" s="3" t="s">
        <v>87</v>
      </c>
      <c r="AR938" s="6" t="str">
        <f>HYPERLINK("http://catalog.hathitrust.org/Record/000253383","HathiTrust Record")</f>
        <v>HathiTrust Record</v>
      </c>
      <c r="AS938" s="6" t="str">
        <f>HYPERLINK("https://creighton-primo.hosted.exlibrisgroup.com/primo-explore/search?tab=default_tab&amp;search_scope=EVERYTHING&amp;vid=01CRU&amp;lang=en_US&amp;offset=0&amp;query=any,contains,991001758959702656","Catalog Record")</f>
        <v>Catalog Record</v>
      </c>
      <c r="AT938" s="6" t="str">
        <f>HYPERLINK("http://www.worldcat.org/oclc/3071393","WorldCat Record")</f>
        <v>WorldCat Record</v>
      </c>
      <c r="AU938" s="3" t="s">
        <v>12292</v>
      </c>
      <c r="AV938" s="3" t="s">
        <v>12293</v>
      </c>
      <c r="AW938" s="3" t="s">
        <v>12294</v>
      </c>
      <c r="AX938" s="3" t="s">
        <v>12294</v>
      </c>
      <c r="AY938" s="3" t="s">
        <v>12295</v>
      </c>
      <c r="AZ938" s="3" t="s">
        <v>74</v>
      </c>
      <c r="BB938" s="3" t="s">
        <v>12296</v>
      </c>
      <c r="BC938" s="3" t="s">
        <v>12297</v>
      </c>
      <c r="BD938" s="3" t="s">
        <v>12298</v>
      </c>
    </row>
    <row r="939" spans="1:56" ht="45.75" customHeight="1" x14ac:dyDescent="0.25">
      <c r="A939" s="7" t="s">
        <v>58</v>
      </c>
      <c r="B939" s="2" t="s">
        <v>12299</v>
      </c>
      <c r="C939" s="2" t="s">
        <v>12300</v>
      </c>
      <c r="D939" s="2" t="s">
        <v>12301</v>
      </c>
      <c r="F939" s="3" t="s">
        <v>58</v>
      </c>
      <c r="G939" s="3" t="s">
        <v>59</v>
      </c>
      <c r="H939" s="3" t="s">
        <v>58</v>
      </c>
      <c r="I939" s="3" t="s">
        <v>58</v>
      </c>
      <c r="J939" s="3" t="s">
        <v>60</v>
      </c>
      <c r="L939" s="2" t="s">
        <v>9960</v>
      </c>
      <c r="M939" s="3" t="s">
        <v>908</v>
      </c>
      <c r="O939" s="3" t="s">
        <v>65</v>
      </c>
      <c r="P939" s="3" t="s">
        <v>148</v>
      </c>
      <c r="R939" s="3" t="s">
        <v>67</v>
      </c>
      <c r="S939" s="4">
        <v>11</v>
      </c>
      <c r="T939" s="4">
        <v>11</v>
      </c>
      <c r="U939" s="5" t="s">
        <v>3723</v>
      </c>
      <c r="V939" s="5" t="s">
        <v>3723</v>
      </c>
      <c r="W939" s="5" t="s">
        <v>715</v>
      </c>
      <c r="X939" s="5" t="s">
        <v>715</v>
      </c>
      <c r="Y939" s="4">
        <v>569</v>
      </c>
      <c r="Z939" s="4">
        <v>476</v>
      </c>
      <c r="AA939" s="4">
        <v>485</v>
      </c>
      <c r="AB939" s="4">
        <v>4</v>
      </c>
      <c r="AC939" s="4">
        <v>4</v>
      </c>
      <c r="AD939" s="4">
        <v>29</v>
      </c>
      <c r="AE939" s="4">
        <v>29</v>
      </c>
      <c r="AF939" s="4">
        <v>13</v>
      </c>
      <c r="AG939" s="4">
        <v>13</v>
      </c>
      <c r="AH939" s="4">
        <v>5</v>
      </c>
      <c r="AI939" s="4">
        <v>5</v>
      </c>
      <c r="AJ939" s="4">
        <v>9</v>
      </c>
      <c r="AK939" s="4">
        <v>9</v>
      </c>
      <c r="AL939" s="4">
        <v>2</v>
      </c>
      <c r="AM939" s="4">
        <v>2</v>
      </c>
      <c r="AN939" s="4">
        <v>8</v>
      </c>
      <c r="AO939" s="4">
        <v>8</v>
      </c>
      <c r="AP939" s="3" t="s">
        <v>58</v>
      </c>
      <c r="AQ939" s="3" t="s">
        <v>87</v>
      </c>
      <c r="AR939" s="6" t="str">
        <f>HYPERLINK("http://catalog.hathitrust.org/Record/000177967","HathiTrust Record")</f>
        <v>HathiTrust Record</v>
      </c>
      <c r="AS939" s="6" t="str">
        <f>HYPERLINK("https://creighton-primo.hosted.exlibrisgroup.com/primo-explore/search?tab=default_tab&amp;search_scope=EVERYTHING&amp;vid=01CRU&amp;lang=en_US&amp;offset=0&amp;query=any,contains,991005248499702656","Catalog Record")</f>
        <v>Catalog Record</v>
      </c>
      <c r="AT939" s="6" t="str">
        <f>HYPERLINK("http://www.worldcat.org/oclc/4037386","WorldCat Record")</f>
        <v>WorldCat Record</v>
      </c>
      <c r="AU939" s="3" t="s">
        <v>12302</v>
      </c>
      <c r="AV939" s="3" t="s">
        <v>12303</v>
      </c>
      <c r="AW939" s="3" t="s">
        <v>12304</v>
      </c>
      <c r="AX939" s="3" t="s">
        <v>12304</v>
      </c>
      <c r="AY939" s="3" t="s">
        <v>12305</v>
      </c>
      <c r="AZ939" s="3" t="s">
        <v>74</v>
      </c>
      <c r="BB939" s="3" t="s">
        <v>12306</v>
      </c>
      <c r="BC939" s="3" t="s">
        <v>12307</v>
      </c>
      <c r="BD939" s="3" t="s">
        <v>12308</v>
      </c>
    </row>
    <row r="940" spans="1:56" ht="45.75" customHeight="1" x14ac:dyDescent="0.25">
      <c r="A940" s="7" t="s">
        <v>58</v>
      </c>
      <c r="B940" s="2" t="s">
        <v>12309</v>
      </c>
      <c r="C940" s="2" t="s">
        <v>12310</v>
      </c>
      <c r="D940" s="2" t="s">
        <v>12311</v>
      </c>
      <c r="F940" s="3" t="s">
        <v>58</v>
      </c>
      <c r="G940" s="3" t="s">
        <v>59</v>
      </c>
      <c r="H940" s="3" t="s">
        <v>58</v>
      </c>
      <c r="I940" s="3" t="s">
        <v>58</v>
      </c>
      <c r="J940" s="3" t="s">
        <v>60</v>
      </c>
      <c r="K940" s="2" t="s">
        <v>12312</v>
      </c>
      <c r="L940" s="2" t="s">
        <v>12313</v>
      </c>
      <c r="M940" s="3" t="s">
        <v>1032</v>
      </c>
      <c r="O940" s="3" t="s">
        <v>65</v>
      </c>
      <c r="P940" s="3" t="s">
        <v>84</v>
      </c>
      <c r="Q940" s="2" t="s">
        <v>12314</v>
      </c>
      <c r="R940" s="3" t="s">
        <v>67</v>
      </c>
      <c r="S940" s="4">
        <v>4</v>
      </c>
      <c r="T940" s="4">
        <v>4</v>
      </c>
      <c r="U940" s="5" t="s">
        <v>12315</v>
      </c>
      <c r="V940" s="5" t="s">
        <v>12315</v>
      </c>
      <c r="W940" s="5" t="s">
        <v>12316</v>
      </c>
      <c r="X940" s="5" t="s">
        <v>12316</v>
      </c>
      <c r="Y940" s="4">
        <v>82</v>
      </c>
      <c r="Z940" s="4">
        <v>56</v>
      </c>
      <c r="AA940" s="4">
        <v>84</v>
      </c>
      <c r="AB940" s="4">
        <v>1</v>
      </c>
      <c r="AC940" s="4">
        <v>1</v>
      </c>
      <c r="AD940" s="4">
        <v>1</v>
      </c>
      <c r="AE940" s="4">
        <v>1</v>
      </c>
      <c r="AF940" s="4">
        <v>0</v>
      </c>
      <c r="AG940" s="4">
        <v>0</v>
      </c>
      <c r="AH940" s="4">
        <v>0</v>
      </c>
      <c r="AI940" s="4">
        <v>0</v>
      </c>
      <c r="AJ940" s="4">
        <v>1</v>
      </c>
      <c r="AK940" s="4">
        <v>1</v>
      </c>
      <c r="AL940" s="4">
        <v>0</v>
      </c>
      <c r="AM940" s="4">
        <v>0</v>
      </c>
      <c r="AN940" s="4">
        <v>0</v>
      </c>
      <c r="AO940" s="4">
        <v>0</v>
      </c>
      <c r="AP940" s="3" t="s">
        <v>58</v>
      </c>
      <c r="AQ940" s="3" t="s">
        <v>58</v>
      </c>
      <c r="AS940" s="6" t="str">
        <f>HYPERLINK("https://creighton-primo.hosted.exlibrisgroup.com/primo-explore/search?tab=default_tab&amp;search_scope=EVERYTHING&amp;vid=01CRU&amp;lang=en_US&amp;offset=0&amp;query=any,contains,991002701999702656","Catalog Record")</f>
        <v>Catalog Record</v>
      </c>
      <c r="AT940" s="6" t="str">
        <f>HYPERLINK("http://www.worldcat.org/oclc/35280533","WorldCat Record")</f>
        <v>WorldCat Record</v>
      </c>
      <c r="AU940" s="3" t="s">
        <v>12317</v>
      </c>
      <c r="AV940" s="3" t="s">
        <v>12318</v>
      </c>
      <c r="AW940" s="3" t="s">
        <v>12319</v>
      </c>
      <c r="AX940" s="3" t="s">
        <v>12319</v>
      </c>
      <c r="AY940" s="3" t="s">
        <v>12320</v>
      </c>
      <c r="AZ940" s="3" t="s">
        <v>74</v>
      </c>
      <c r="BB940" s="3" t="s">
        <v>12321</v>
      </c>
      <c r="BC940" s="3" t="s">
        <v>12322</v>
      </c>
      <c r="BD940" s="3" t="s">
        <v>12323</v>
      </c>
    </row>
    <row r="941" spans="1:56" ht="45.75" customHeight="1" x14ac:dyDescent="0.25">
      <c r="A941" s="7" t="s">
        <v>58</v>
      </c>
      <c r="B941" s="2" t="s">
        <v>12324</v>
      </c>
      <c r="C941" s="2" t="s">
        <v>12325</v>
      </c>
      <c r="D941" s="2" t="s">
        <v>12326</v>
      </c>
      <c r="F941" s="3" t="s">
        <v>58</v>
      </c>
      <c r="G941" s="3" t="s">
        <v>59</v>
      </c>
      <c r="H941" s="3" t="s">
        <v>58</v>
      </c>
      <c r="I941" s="3" t="s">
        <v>58</v>
      </c>
      <c r="J941" s="3" t="s">
        <v>60</v>
      </c>
      <c r="L941" s="2" t="s">
        <v>12327</v>
      </c>
      <c r="M941" s="3" t="s">
        <v>263</v>
      </c>
      <c r="O941" s="3" t="s">
        <v>65</v>
      </c>
      <c r="P941" s="3" t="s">
        <v>363</v>
      </c>
      <c r="R941" s="3" t="s">
        <v>67</v>
      </c>
      <c r="S941" s="4">
        <v>4</v>
      </c>
      <c r="T941" s="4">
        <v>4</v>
      </c>
      <c r="U941" s="5" t="s">
        <v>11821</v>
      </c>
      <c r="V941" s="5" t="s">
        <v>11821</v>
      </c>
      <c r="W941" s="5" t="s">
        <v>3320</v>
      </c>
      <c r="X941" s="5" t="s">
        <v>3320</v>
      </c>
      <c r="Y941" s="4">
        <v>96</v>
      </c>
      <c r="Z941" s="4">
        <v>88</v>
      </c>
      <c r="AA941" s="4">
        <v>91</v>
      </c>
      <c r="AB941" s="4">
        <v>1</v>
      </c>
      <c r="AC941" s="4">
        <v>1</v>
      </c>
      <c r="AD941" s="4">
        <v>5</v>
      </c>
      <c r="AE941" s="4">
        <v>5</v>
      </c>
      <c r="AF941" s="4">
        <v>1</v>
      </c>
      <c r="AG941" s="4">
        <v>1</v>
      </c>
      <c r="AH941" s="4">
        <v>2</v>
      </c>
      <c r="AI941" s="4">
        <v>2</v>
      </c>
      <c r="AJ941" s="4">
        <v>3</v>
      </c>
      <c r="AK941" s="4">
        <v>3</v>
      </c>
      <c r="AL941" s="4">
        <v>0</v>
      </c>
      <c r="AM941" s="4">
        <v>0</v>
      </c>
      <c r="AN941" s="4">
        <v>0</v>
      </c>
      <c r="AO941" s="4">
        <v>0</v>
      </c>
      <c r="AP941" s="3" t="s">
        <v>58</v>
      </c>
      <c r="AQ941" s="3" t="s">
        <v>87</v>
      </c>
      <c r="AR941" s="6" t="str">
        <f>HYPERLINK("http://catalog.hathitrust.org/Record/003951264","HathiTrust Record")</f>
        <v>HathiTrust Record</v>
      </c>
      <c r="AS941" s="6" t="str">
        <f>HYPERLINK("https://creighton-primo.hosted.exlibrisgroup.com/primo-explore/search?tab=default_tab&amp;search_scope=EVERYTHING&amp;vid=01CRU&amp;lang=en_US&amp;offset=0&amp;query=any,contains,991005423739702656","Catalog Record")</f>
        <v>Catalog Record</v>
      </c>
      <c r="AT941" s="6" t="str">
        <f>HYPERLINK("http://www.worldcat.org/oclc/34618215","WorldCat Record")</f>
        <v>WorldCat Record</v>
      </c>
      <c r="AU941" s="3" t="s">
        <v>12328</v>
      </c>
      <c r="AV941" s="3" t="s">
        <v>12329</v>
      </c>
      <c r="AW941" s="3" t="s">
        <v>12330</v>
      </c>
      <c r="AX941" s="3" t="s">
        <v>12330</v>
      </c>
      <c r="AY941" s="3" t="s">
        <v>12331</v>
      </c>
      <c r="AZ941" s="3" t="s">
        <v>74</v>
      </c>
      <c r="BB941" s="3" t="s">
        <v>12332</v>
      </c>
      <c r="BC941" s="3" t="s">
        <v>12333</v>
      </c>
      <c r="BD941" s="3" t="s">
        <v>12334</v>
      </c>
    </row>
    <row r="942" spans="1:56" ht="45.75" customHeight="1" x14ac:dyDescent="0.25">
      <c r="A942" s="7" t="s">
        <v>58</v>
      </c>
      <c r="B942" s="2" t="s">
        <v>12335</v>
      </c>
      <c r="C942" s="2" t="s">
        <v>12336</v>
      </c>
      <c r="D942" s="2" t="s">
        <v>12337</v>
      </c>
      <c r="F942" s="3" t="s">
        <v>58</v>
      </c>
      <c r="G942" s="3" t="s">
        <v>59</v>
      </c>
      <c r="H942" s="3" t="s">
        <v>58</v>
      </c>
      <c r="I942" s="3" t="s">
        <v>58</v>
      </c>
      <c r="J942" s="3" t="s">
        <v>60</v>
      </c>
      <c r="L942" s="2" t="s">
        <v>12338</v>
      </c>
      <c r="M942" s="3" t="s">
        <v>713</v>
      </c>
      <c r="O942" s="3" t="s">
        <v>65</v>
      </c>
      <c r="P942" s="3" t="s">
        <v>336</v>
      </c>
      <c r="R942" s="3" t="s">
        <v>67</v>
      </c>
      <c r="S942" s="4">
        <v>4</v>
      </c>
      <c r="T942" s="4">
        <v>4</v>
      </c>
      <c r="U942" s="5" t="s">
        <v>5821</v>
      </c>
      <c r="V942" s="5" t="s">
        <v>5821</v>
      </c>
      <c r="W942" s="5" t="s">
        <v>715</v>
      </c>
      <c r="X942" s="5" t="s">
        <v>715</v>
      </c>
      <c r="Y942" s="4">
        <v>430</v>
      </c>
      <c r="Z942" s="4">
        <v>375</v>
      </c>
      <c r="AA942" s="4">
        <v>380</v>
      </c>
      <c r="AB942" s="4">
        <v>4</v>
      </c>
      <c r="AC942" s="4">
        <v>4</v>
      </c>
      <c r="AD942" s="4">
        <v>21</v>
      </c>
      <c r="AE942" s="4">
        <v>21</v>
      </c>
      <c r="AF942" s="4">
        <v>6</v>
      </c>
      <c r="AG942" s="4">
        <v>6</v>
      </c>
      <c r="AH942" s="4">
        <v>2</v>
      </c>
      <c r="AI942" s="4">
        <v>2</v>
      </c>
      <c r="AJ942" s="4">
        <v>12</v>
      </c>
      <c r="AK942" s="4">
        <v>12</v>
      </c>
      <c r="AL942" s="4">
        <v>2</v>
      </c>
      <c r="AM942" s="4">
        <v>2</v>
      </c>
      <c r="AN942" s="4">
        <v>4</v>
      </c>
      <c r="AO942" s="4">
        <v>4</v>
      </c>
      <c r="AP942" s="3" t="s">
        <v>58</v>
      </c>
      <c r="AQ942" s="3" t="s">
        <v>58</v>
      </c>
      <c r="AS942" s="6" t="str">
        <f>HYPERLINK("https://creighton-primo.hosted.exlibrisgroup.com/primo-explore/search?tab=default_tab&amp;search_scope=EVERYTHING&amp;vid=01CRU&amp;lang=en_US&amp;offset=0&amp;query=any,contains,991004894309702656","Catalog Record")</f>
        <v>Catalog Record</v>
      </c>
      <c r="AT942" s="6" t="str">
        <f>HYPERLINK("http://www.worldcat.org/oclc/5892192","WorldCat Record")</f>
        <v>WorldCat Record</v>
      </c>
      <c r="AU942" s="3" t="s">
        <v>12339</v>
      </c>
      <c r="AV942" s="3" t="s">
        <v>12340</v>
      </c>
      <c r="AW942" s="3" t="s">
        <v>12341</v>
      </c>
      <c r="AX942" s="3" t="s">
        <v>12341</v>
      </c>
      <c r="AY942" s="3" t="s">
        <v>12342</v>
      </c>
      <c r="AZ942" s="3" t="s">
        <v>74</v>
      </c>
      <c r="BB942" s="3" t="s">
        <v>12343</v>
      </c>
      <c r="BC942" s="3" t="s">
        <v>12344</v>
      </c>
      <c r="BD942" s="3" t="s">
        <v>12345</v>
      </c>
    </row>
    <row r="943" spans="1:56" ht="45.75" customHeight="1" x14ac:dyDescent="0.25">
      <c r="A943" s="7" t="s">
        <v>58</v>
      </c>
      <c r="B943" s="2" t="s">
        <v>12346</v>
      </c>
      <c r="C943" s="2" t="s">
        <v>12347</v>
      </c>
      <c r="D943" s="2" t="s">
        <v>12348</v>
      </c>
      <c r="F943" s="3" t="s">
        <v>58</v>
      </c>
      <c r="G943" s="3" t="s">
        <v>59</v>
      </c>
      <c r="H943" s="3" t="s">
        <v>87</v>
      </c>
      <c r="I943" s="3" t="s">
        <v>87</v>
      </c>
      <c r="J943" s="3" t="s">
        <v>60</v>
      </c>
      <c r="K943" s="2" t="s">
        <v>12349</v>
      </c>
      <c r="L943" s="2" t="s">
        <v>12350</v>
      </c>
      <c r="M943" s="3" t="s">
        <v>3601</v>
      </c>
      <c r="O943" s="3" t="s">
        <v>65</v>
      </c>
      <c r="P943" s="3" t="s">
        <v>84</v>
      </c>
      <c r="R943" s="3" t="s">
        <v>67</v>
      </c>
      <c r="S943" s="4">
        <v>7</v>
      </c>
      <c r="T943" s="4">
        <v>15</v>
      </c>
      <c r="U943" s="5" t="s">
        <v>12351</v>
      </c>
      <c r="V943" s="5" t="s">
        <v>12351</v>
      </c>
      <c r="W943" s="5" t="s">
        <v>12352</v>
      </c>
      <c r="X943" s="5" t="s">
        <v>12353</v>
      </c>
      <c r="Y943" s="4">
        <v>1156</v>
      </c>
      <c r="Z943" s="4">
        <v>992</v>
      </c>
      <c r="AA943" s="4">
        <v>1428</v>
      </c>
      <c r="AB943" s="4">
        <v>9</v>
      </c>
      <c r="AC943" s="4">
        <v>14</v>
      </c>
      <c r="AD943" s="4">
        <v>55</v>
      </c>
      <c r="AE943" s="4">
        <v>73</v>
      </c>
      <c r="AF943" s="4">
        <v>17</v>
      </c>
      <c r="AG943" s="4">
        <v>21</v>
      </c>
      <c r="AH943" s="4">
        <v>7</v>
      </c>
      <c r="AI943" s="4">
        <v>10</v>
      </c>
      <c r="AJ943" s="4">
        <v>15</v>
      </c>
      <c r="AK943" s="4">
        <v>21</v>
      </c>
      <c r="AL943" s="4">
        <v>5</v>
      </c>
      <c r="AM943" s="4">
        <v>9</v>
      </c>
      <c r="AN943" s="4">
        <v>20</v>
      </c>
      <c r="AO943" s="4">
        <v>23</v>
      </c>
      <c r="AP943" s="3" t="s">
        <v>58</v>
      </c>
      <c r="AQ943" s="3" t="s">
        <v>87</v>
      </c>
      <c r="AR943" s="6" t="str">
        <f>HYPERLINK("http://catalog.hathitrust.org/Record/001132438","HathiTrust Record")</f>
        <v>HathiTrust Record</v>
      </c>
      <c r="AS943" s="6" t="str">
        <f>HYPERLINK("https://creighton-primo.hosted.exlibrisgroup.com/primo-explore/search?tab=default_tab&amp;search_scope=EVERYTHING&amp;vid=01CRU&amp;lang=en_US&amp;offset=0&amp;query=any,contains,991001669979702656","Catalog Record")</f>
        <v>Catalog Record</v>
      </c>
      <c r="AT943" s="6" t="str">
        <f>HYPERLINK("http://www.worldcat.org/oclc/698682","WorldCat Record")</f>
        <v>WorldCat Record</v>
      </c>
      <c r="AU943" s="3" t="s">
        <v>12354</v>
      </c>
      <c r="AV943" s="3" t="s">
        <v>12355</v>
      </c>
      <c r="AW943" s="3" t="s">
        <v>12356</v>
      </c>
      <c r="AX943" s="3" t="s">
        <v>12356</v>
      </c>
      <c r="AY943" s="3" t="s">
        <v>12357</v>
      </c>
      <c r="AZ943" s="3" t="s">
        <v>74</v>
      </c>
      <c r="BB943" s="3" t="s">
        <v>12358</v>
      </c>
      <c r="BC943" s="3" t="s">
        <v>12359</v>
      </c>
      <c r="BD943" s="3" t="s">
        <v>12360</v>
      </c>
    </row>
    <row r="944" spans="1:56" ht="45.75" customHeight="1" x14ac:dyDescent="0.25">
      <c r="A944" s="7" t="s">
        <v>58</v>
      </c>
      <c r="B944" s="2" t="s">
        <v>12361</v>
      </c>
      <c r="C944" s="2" t="s">
        <v>12362</v>
      </c>
      <c r="D944" s="2" t="s">
        <v>12363</v>
      </c>
      <c r="F944" s="3" t="s">
        <v>58</v>
      </c>
      <c r="G944" s="3" t="s">
        <v>59</v>
      </c>
      <c r="H944" s="3" t="s">
        <v>58</v>
      </c>
      <c r="I944" s="3" t="s">
        <v>58</v>
      </c>
      <c r="J944" s="3" t="s">
        <v>60</v>
      </c>
      <c r="L944" s="2" t="s">
        <v>12364</v>
      </c>
      <c r="M944" s="3" t="s">
        <v>557</v>
      </c>
      <c r="O944" s="3" t="s">
        <v>65</v>
      </c>
      <c r="P944" s="3" t="s">
        <v>175</v>
      </c>
      <c r="R944" s="3" t="s">
        <v>67</v>
      </c>
      <c r="S944" s="4">
        <v>14</v>
      </c>
      <c r="T944" s="4">
        <v>14</v>
      </c>
      <c r="U944" s="5" t="s">
        <v>12365</v>
      </c>
      <c r="V944" s="5" t="s">
        <v>12365</v>
      </c>
      <c r="W944" s="5" t="s">
        <v>12366</v>
      </c>
      <c r="X944" s="5" t="s">
        <v>12366</v>
      </c>
      <c r="Y944" s="4">
        <v>231</v>
      </c>
      <c r="Z944" s="4">
        <v>97</v>
      </c>
      <c r="AA944" s="4">
        <v>99</v>
      </c>
      <c r="AB944" s="4">
        <v>1</v>
      </c>
      <c r="AC944" s="4">
        <v>1</v>
      </c>
      <c r="AD944" s="4">
        <v>4</v>
      </c>
      <c r="AE944" s="4">
        <v>4</v>
      </c>
      <c r="AF944" s="4">
        <v>0</v>
      </c>
      <c r="AG944" s="4">
        <v>0</v>
      </c>
      <c r="AH944" s="4">
        <v>1</v>
      </c>
      <c r="AI944" s="4">
        <v>1</v>
      </c>
      <c r="AJ944" s="4">
        <v>2</v>
      </c>
      <c r="AK944" s="4">
        <v>2</v>
      </c>
      <c r="AL944" s="4">
        <v>0</v>
      </c>
      <c r="AM944" s="4">
        <v>0</v>
      </c>
      <c r="AN944" s="4">
        <v>1</v>
      </c>
      <c r="AO944" s="4">
        <v>1</v>
      </c>
      <c r="AP944" s="3" t="s">
        <v>58</v>
      </c>
      <c r="AQ944" s="3" t="s">
        <v>87</v>
      </c>
      <c r="AR944" s="6" t="str">
        <f>HYPERLINK("http://catalog.hathitrust.org/Record/002753981","HathiTrust Record")</f>
        <v>HathiTrust Record</v>
      </c>
      <c r="AS944" s="6" t="str">
        <f>HYPERLINK("https://creighton-primo.hosted.exlibrisgroup.com/primo-explore/search?tab=default_tab&amp;search_scope=EVERYTHING&amp;vid=01CRU&amp;lang=en_US&amp;offset=0&amp;query=any,contains,991002271089702656","Catalog Record")</f>
        <v>Catalog Record</v>
      </c>
      <c r="AT944" s="6" t="str">
        <f>HYPERLINK("http://www.worldcat.org/oclc/29474655","WorldCat Record")</f>
        <v>WorldCat Record</v>
      </c>
      <c r="AU944" s="3" t="s">
        <v>12367</v>
      </c>
      <c r="AV944" s="3" t="s">
        <v>12368</v>
      </c>
      <c r="AW944" s="3" t="s">
        <v>12369</v>
      </c>
      <c r="AX944" s="3" t="s">
        <v>12369</v>
      </c>
      <c r="AY944" s="3" t="s">
        <v>12370</v>
      </c>
      <c r="AZ944" s="3" t="s">
        <v>74</v>
      </c>
      <c r="BB944" s="3" t="s">
        <v>12371</v>
      </c>
      <c r="BC944" s="3" t="s">
        <v>12372</v>
      </c>
      <c r="BD944" s="3" t="s">
        <v>12373</v>
      </c>
    </row>
    <row r="945" spans="1:56" ht="45.75" customHeight="1" x14ac:dyDescent="0.25">
      <c r="A945" s="7" t="s">
        <v>58</v>
      </c>
      <c r="B945" s="2" t="s">
        <v>12374</v>
      </c>
      <c r="C945" s="2" t="s">
        <v>12375</v>
      </c>
      <c r="D945" s="2" t="s">
        <v>12376</v>
      </c>
      <c r="F945" s="3" t="s">
        <v>58</v>
      </c>
      <c r="G945" s="3" t="s">
        <v>59</v>
      </c>
      <c r="H945" s="3" t="s">
        <v>58</v>
      </c>
      <c r="I945" s="3" t="s">
        <v>58</v>
      </c>
      <c r="J945" s="3" t="s">
        <v>60</v>
      </c>
      <c r="L945" s="2" t="s">
        <v>12377</v>
      </c>
      <c r="M945" s="3" t="s">
        <v>557</v>
      </c>
      <c r="O945" s="3" t="s">
        <v>65</v>
      </c>
      <c r="P945" s="3" t="s">
        <v>175</v>
      </c>
      <c r="R945" s="3" t="s">
        <v>67</v>
      </c>
      <c r="S945" s="4">
        <v>13</v>
      </c>
      <c r="T945" s="4">
        <v>13</v>
      </c>
      <c r="U945" s="5" t="s">
        <v>3487</v>
      </c>
      <c r="V945" s="5" t="s">
        <v>3487</v>
      </c>
      <c r="W945" s="5" t="s">
        <v>12378</v>
      </c>
      <c r="X945" s="5" t="s">
        <v>12378</v>
      </c>
      <c r="Y945" s="4">
        <v>311</v>
      </c>
      <c r="Z945" s="4">
        <v>160</v>
      </c>
      <c r="AA945" s="4">
        <v>161</v>
      </c>
      <c r="AB945" s="4">
        <v>2</v>
      </c>
      <c r="AC945" s="4">
        <v>2</v>
      </c>
      <c r="AD945" s="4">
        <v>8</v>
      </c>
      <c r="AE945" s="4">
        <v>8</v>
      </c>
      <c r="AF945" s="4">
        <v>3</v>
      </c>
      <c r="AG945" s="4">
        <v>3</v>
      </c>
      <c r="AH945" s="4">
        <v>2</v>
      </c>
      <c r="AI945" s="4">
        <v>2</v>
      </c>
      <c r="AJ945" s="4">
        <v>4</v>
      </c>
      <c r="AK945" s="4">
        <v>4</v>
      </c>
      <c r="AL945" s="4">
        <v>1</v>
      </c>
      <c r="AM945" s="4">
        <v>1</v>
      </c>
      <c r="AN945" s="4">
        <v>0</v>
      </c>
      <c r="AO945" s="4">
        <v>0</v>
      </c>
      <c r="AP945" s="3" t="s">
        <v>58</v>
      </c>
      <c r="AQ945" s="3" t="s">
        <v>87</v>
      </c>
      <c r="AR945" s="6" t="str">
        <f>HYPERLINK("http://catalog.hathitrust.org/Record/002737105","HathiTrust Record")</f>
        <v>HathiTrust Record</v>
      </c>
      <c r="AS945" s="6" t="str">
        <f>HYPERLINK("https://creighton-primo.hosted.exlibrisgroup.com/primo-explore/search?tab=default_tab&amp;search_scope=EVERYTHING&amp;vid=01CRU&amp;lang=en_US&amp;offset=0&amp;query=any,contains,991002254179702656","Catalog Record")</f>
        <v>Catalog Record</v>
      </c>
      <c r="AT945" s="6" t="str">
        <f>HYPERLINK("http://www.worldcat.org/oclc/29218146","WorldCat Record")</f>
        <v>WorldCat Record</v>
      </c>
      <c r="AU945" s="3" t="s">
        <v>12379</v>
      </c>
      <c r="AV945" s="3" t="s">
        <v>12380</v>
      </c>
      <c r="AW945" s="3" t="s">
        <v>12381</v>
      </c>
      <c r="AX945" s="3" t="s">
        <v>12381</v>
      </c>
      <c r="AY945" s="3" t="s">
        <v>12382</v>
      </c>
      <c r="AZ945" s="3" t="s">
        <v>74</v>
      </c>
      <c r="BB945" s="3" t="s">
        <v>12383</v>
      </c>
      <c r="BC945" s="3" t="s">
        <v>12384</v>
      </c>
      <c r="BD945" s="3" t="s">
        <v>12385</v>
      </c>
    </row>
    <row r="946" spans="1:56" ht="45.75" customHeight="1" x14ac:dyDescent="0.25">
      <c r="A946" s="7" t="s">
        <v>58</v>
      </c>
      <c r="B946" s="2" t="s">
        <v>12386</v>
      </c>
      <c r="C946" s="2" t="s">
        <v>12387</v>
      </c>
      <c r="D946" s="2" t="s">
        <v>12388</v>
      </c>
      <c r="F946" s="3" t="s">
        <v>58</v>
      </c>
      <c r="G946" s="3" t="s">
        <v>59</v>
      </c>
      <c r="H946" s="3" t="s">
        <v>58</v>
      </c>
      <c r="I946" s="3" t="s">
        <v>58</v>
      </c>
      <c r="J946" s="3" t="s">
        <v>60</v>
      </c>
      <c r="K946" s="2" t="s">
        <v>12389</v>
      </c>
      <c r="L946" s="2" t="s">
        <v>12390</v>
      </c>
      <c r="M946" s="3" t="s">
        <v>1485</v>
      </c>
      <c r="O946" s="3" t="s">
        <v>65</v>
      </c>
      <c r="P946" s="3" t="s">
        <v>84</v>
      </c>
      <c r="R946" s="3" t="s">
        <v>67</v>
      </c>
      <c r="S946" s="4">
        <v>6</v>
      </c>
      <c r="T946" s="4">
        <v>6</v>
      </c>
      <c r="U946" s="5" t="s">
        <v>12391</v>
      </c>
      <c r="V946" s="5" t="s">
        <v>12391</v>
      </c>
      <c r="W946" s="5" t="s">
        <v>12392</v>
      </c>
      <c r="X946" s="5" t="s">
        <v>12392</v>
      </c>
      <c r="Y946" s="4">
        <v>1191</v>
      </c>
      <c r="Z946" s="4">
        <v>1059</v>
      </c>
      <c r="AA946" s="4">
        <v>1266</v>
      </c>
      <c r="AB946" s="4">
        <v>12</v>
      </c>
      <c r="AC946" s="4">
        <v>14</v>
      </c>
      <c r="AD946" s="4">
        <v>35</v>
      </c>
      <c r="AE946" s="4">
        <v>43</v>
      </c>
      <c r="AF946" s="4">
        <v>13</v>
      </c>
      <c r="AG946" s="4">
        <v>17</v>
      </c>
      <c r="AH946" s="4">
        <v>6</v>
      </c>
      <c r="AI946" s="4">
        <v>6</v>
      </c>
      <c r="AJ946" s="4">
        <v>15</v>
      </c>
      <c r="AK946" s="4">
        <v>17</v>
      </c>
      <c r="AL946" s="4">
        <v>7</v>
      </c>
      <c r="AM946" s="4">
        <v>9</v>
      </c>
      <c r="AN946" s="4">
        <v>3</v>
      </c>
      <c r="AO946" s="4">
        <v>3</v>
      </c>
      <c r="AP946" s="3" t="s">
        <v>58</v>
      </c>
      <c r="AQ946" s="3" t="s">
        <v>87</v>
      </c>
      <c r="AR946" s="6" t="str">
        <f>HYPERLINK("http://catalog.hathitrust.org/Record/000722525","HathiTrust Record")</f>
        <v>HathiTrust Record</v>
      </c>
      <c r="AS946" s="6" t="str">
        <f>HYPERLINK("https://creighton-primo.hosted.exlibrisgroup.com/primo-explore/search?tab=default_tab&amp;search_scope=EVERYTHING&amp;vid=01CRU&amp;lang=en_US&amp;offset=0&amp;query=any,contains,991004008839702656","Catalog Record")</f>
        <v>Catalog Record</v>
      </c>
      <c r="AT946" s="6" t="str">
        <f>HYPERLINK("http://www.worldcat.org/oclc/2089544","WorldCat Record")</f>
        <v>WorldCat Record</v>
      </c>
      <c r="AU946" s="3" t="s">
        <v>12393</v>
      </c>
      <c r="AV946" s="3" t="s">
        <v>12394</v>
      </c>
      <c r="AW946" s="3" t="s">
        <v>12395</v>
      </c>
      <c r="AX946" s="3" t="s">
        <v>12395</v>
      </c>
      <c r="AY946" s="3" t="s">
        <v>12396</v>
      </c>
      <c r="AZ946" s="3" t="s">
        <v>74</v>
      </c>
      <c r="BB946" s="3" t="s">
        <v>12397</v>
      </c>
      <c r="BC946" s="3" t="s">
        <v>12398</v>
      </c>
      <c r="BD946" s="3" t="s">
        <v>12399</v>
      </c>
    </row>
    <row r="947" spans="1:56" ht="45.75" customHeight="1" x14ac:dyDescent="0.25">
      <c r="A947" s="7" t="s">
        <v>58</v>
      </c>
      <c r="B947" s="2" t="s">
        <v>12400</v>
      </c>
      <c r="C947" s="2" t="s">
        <v>12401</v>
      </c>
      <c r="D947" s="2" t="s">
        <v>12402</v>
      </c>
      <c r="F947" s="3" t="s">
        <v>58</v>
      </c>
      <c r="G947" s="3" t="s">
        <v>59</v>
      </c>
      <c r="H947" s="3" t="s">
        <v>58</v>
      </c>
      <c r="I947" s="3" t="s">
        <v>58</v>
      </c>
      <c r="J947" s="3" t="s">
        <v>60</v>
      </c>
      <c r="K947" s="2" t="s">
        <v>12403</v>
      </c>
      <c r="L947" s="2" t="s">
        <v>12404</v>
      </c>
      <c r="M947" s="3" t="s">
        <v>713</v>
      </c>
      <c r="O947" s="3" t="s">
        <v>65</v>
      </c>
      <c r="P947" s="3" t="s">
        <v>84</v>
      </c>
      <c r="R947" s="3" t="s">
        <v>67</v>
      </c>
      <c r="S947" s="4">
        <v>7</v>
      </c>
      <c r="T947" s="4">
        <v>7</v>
      </c>
      <c r="U947" s="5" t="s">
        <v>12405</v>
      </c>
      <c r="V947" s="5" t="s">
        <v>12405</v>
      </c>
      <c r="W947" s="5" t="s">
        <v>8824</v>
      </c>
      <c r="X947" s="5" t="s">
        <v>8824</v>
      </c>
      <c r="Y947" s="4">
        <v>727</v>
      </c>
      <c r="Z947" s="4">
        <v>627</v>
      </c>
      <c r="AA947" s="4">
        <v>627</v>
      </c>
      <c r="AB947" s="4">
        <v>8</v>
      </c>
      <c r="AC947" s="4">
        <v>8</v>
      </c>
      <c r="AD947" s="4">
        <v>33</v>
      </c>
      <c r="AE947" s="4">
        <v>33</v>
      </c>
      <c r="AF947" s="4">
        <v>11</v>
      </c>
      <c r="AG947" s="4">
        <v>11</v>
      </c>
      <c r="AH947" s="4">
        <v>6</v>
      </c>
      <c r="AI947" s="4">
        <v>6</v>
      </c>
      <c r="AJ947" s="4">
        <v>13</v>
      </c>
      <c r="AK947" s="4">
        <v>13</v>
      </c>
      <c r="AL947" s="4">
        <v>5</v>
      </c>
      <c r="AM947" s="4">
        <v>5</v>
      </c>
      <c r="AN947" s="4">
        <v>5</v>
      </c>
      <c r="AO947" s="4">
        <v>5</v>
      </c>
      <c r="AP947" s="3" t="s">
        <v>58</v>
      </c>
      <c r="AQ947" s="3" t="s">
        <v>58</v>
      </c>
      <c r="AS947" s="6" t="str">
        <f>HYPERLINK("https://creighton-primo.hosted.exlibrisgroup.com/primo-explore/search?tab=default_tab&amp;search_scope=EVERYTHING&amp;vid=01CRU&amp;lang=en_US&amp;offset=0&amp;query=any,contains,991005079549702656","Catalog Record")</f>
        <v>Catalog Record</v>
      </c>
      <c r="AT947" s="6" t="str">
        <f>HYPERLINK("http://www.worldcat.org/oclc/7169891","WorldCat Record")</f>
        <v>WorldCat Record</v>
      </c>
      <c r="AU947" s="3" t="s">
        <v>12406</v>
      </c>
      <c r="AV947" s="3" t="s">
        <v>12407</v>
      </c>
      <c r="AW947" s="3" t="s">
        <v>12408</v>
      </c>
      <c r="AX947" s="3" t="s">
        <v>12408</v>
      </c>
      <c r="AY947" s="3" t="s">
        <v>12409</v>
      </c>
      <c r="AZ947" s="3" t="s">
        <v>74</v>
      </c>
      <c r="BB947" s="3" t="s">
        <v>12410</v>
      </c>
      <c r="BC947" s="3" t="s">
        <v>12411</v>
      </c>
      <c r="BD947" s="3" t="s">
        <v>12412</v>
      </c>
    </row>
    <row r="948" spans="1:56" ht="45.75" customHeight="1" x14ac:dyDescent="0.25">
      <c r="A948" s="7" t="s">
        <v>58</v>
      </c>
      <c r="B948" s="2" t="s">
        <v>12413</v>
      </c>
      <c r="C948" s="2" t="s">
        <v>12414</v>
      </c>
      <c r="D948" s="2" t="s">
        <v>12415</v>
      </c>
      <c r="F948" s="3" t="s">
        <v>58</v>
      </c>
      <c r="G948" s="3" t="s">
        <v>59</v>
      </c>
      <c r="H948" s="3" t="s">
        <v>58</v>
      </c>
      <c r="I948" s="3" t="s">
        <v>58</v>
      </c>
      <c r="J948" s="3" t="s">
        <v>60</v>
      </c>
      <c r="K948" s="2" t="s">
        <v>12416</v>
      </c>
      <c r="L948" s="2" t="s">
        <v>12417</v>
      </c>
      <c r="M948" s="3" t="s">
        <v>937</v>
      </c>
      <c r="O948" s="3" t="s">
        <v>65</v>
      </c>
      <c r="P948" s="3" t="s">
        <v>1340</v>
      </c>
      <c r="R948" s="3" t="s">
        <v>67</v>
      </c>
      <c r="S948" s="4">
        <v>13</v>
      </c>
      <c r="T948" s="4">
        <v>13</v>
      </c>
      <c r="U948" s="5" t="s">
        <v>1005</v>
      </c>
      <c r="V948" s="5" t="s">
        <v>1005</v>
      </c>
      <c r="W948" s="5" t="s">
        <v>12418</v>
      </c>
      <c r="X948" s="5" t="s">
        <v>12418</v>
      </c>
      <c r="Y948" s="4">
        <v>136</v>
      </c>
      <c r="Z948" s="4">
        <v>117</v>
      </c>
      <c r="AA948" s="4">
        <v>126</v>
      </c>
      <c r="AB948" s="4">
        <v>1</v>
      </c>
      <c r="AC948" s="4">
        <v>1</v>
      </c>
      <c r="AD948" s="4">
        <v>2</v>
      </c>
      <c r="AE948" s="4">
        <v>2</v>
      </c>
      <c r="AF948" s="4">
        <v>1</v>
      </c>
      <c r="AG948" s="4">
        <v>1</v>
      </c>
      <c r="AH948" s="4">
        <v>0</v>
      </c>
      <c r="AI948" s="4">
        <v>0</v>
      </c>
      <c r="AJ948" s="4">
        <v>1</v>
      </c>
      <c r="AK948" s="4">
        <v>1</v>
      </c>
      <c r="AL948" s="4">
        <v>0</v>
      </c>
      <c r="AM948" s="4">
        <v>0</v>
      </c>
      <c r="AN948" s="4">
        <v>0</v>
      </c>
      <c r="AO948" s="4">
        <v>0</v>
      </c>
      <c r="AP948" s="3" t="s">
        <v>87</v>
      </c>
      <c r="AQ948" s="3" t="s">
        <v>58</v>
      </c>
      <c r="AR948" s="6" t="str">
        <f>HYPERLINK("http://catalog.hathitrust.org/Record/102330061","HathiTrust Record")</f>
        <v>HathiTrust Record</v>
      </c>
      <c r="AS948" s="6" t="str">
        <f>HYPERLINK("https://creighton-primo.hosted.exlibrisgroup.com/primo-explore/search?tab=default_tab&amp;search_scope=EVERYTHING&amp;vid=01CRU&amp;lang=en_US&amp;offset=0&amp;query=any,contains,991004477569702656","Catalog Record")</f>
        <v>Catalog Record</v>
      </c>
      <c r="AT948" s="6" t="str">
        <f>HYPERLINK("http://www.worldcat.org/oclc/3611055","WorldCat Record")</f>
        <v>WorldCat Record</v>
      </c>
      <c r="AU948" s="3" t="s">
        <v>12419</v>
      </c>
      <c r="AV948" s="3" t="s">
        <v>12420</v>
      </c>
      <c r="AW948" s="3" t="s">
        <v>12421</v>
      </c>
      <c r="AX948" s="3" t="s">
        <v>12421</v>
      </c>
      <c r="AY948" s="3" t="s">
        <v>12422</v>
      </c>
      <c r="AZ948" s="3" t="s">
        <v>74</v>
      </c>
      <c r="BC948" s="3" t="s">
        <v>12423</v>
      </c>
      <c r="BD948" s="3" t="s">
        <v>12424</v>
      </c>
    </row>
    <row r="949" spans="1:56" ht="45.75" customHeight="1" x14ac:dyDescent="0.25">
      <c r="A949" s="7" t="s">
        <v>58</v>
      </c>
      <c r="B949" s="2" t="s">
        <v>12425</v>
      </c>
      <c r="C949" s="2" t="s">
        <v>12426</v>
      </c>
      <c r="D949" s="2" t="s">
        <v>12427</v>
      </c>
      <c r="F949" s="3" t="s">
        <v>58</v>
      </c>
      <c r="G949" s="3" t="s">
        <v>59</v>
      </c>
      <c r="H949" s="3" t="s">
        <v>58</v>
      </c>
      <c r="I949" s="3" t="s">
        <v>58</v>
      </c>
      <c r="J949" s="3" t="s">
        <v>60</v>
      </c>
      <c r="K949" s="2" t="s">
        <v>12428</v>
      </c>
      <c r="L949" s="2" t="s">
        <v>12429</v>
      </c>
      <c r="M949" s="3" t="s">
        <v>923</v>
      </c>
      <c r="O949" s="3" t="s">
        <v>65</v>
      </c>
      <c r="P949" s="3" t="s">
        <v>175</v>
      </c>
      <c r="R949" s="3" t="s">
        <v>67</v>
      </c>
      <c r="S949" s="4">
        <v>22</v>
      </c>
      <c r="T949" s="4">
        <v>22</v>
      </c>
      <c r="U949" s="5" t="s">
        <v>12430</v>
      </c>
      <c r="V949" s="5" t="s">
        <v>12430</v>
      </c>
      <c r="W949" s="5" t="s">
        <v>12431</v>
      </c>
      <c r="X949" s="5" t="s">
        <v>12431</v>
      </c>
      <c r="Y949" s="4">
        <v>49</v>
      </c>
      <c r="Z949" s="4">
        <v>15</v>
      </c>
      <c r="AA949" s="4">
        <v>295</v>
      </c>
      <c r="AB949" s="4">
        <v>1</v>
      </c>
      <c r="AC949" s="4">
        <v>4</v>
      </c>
      <c r="AD949" s="4">
        <v>1</v>
      </c>
      <c r="AE949" s="4">
        <v>13</v>
      </c>
      <c r="AF949" s="4">
        <v>0</v>
      </c>
      <c r="AG949" s="4">
        <v>4</v>
      </c>
      <c r="AH949" s="4">
        <v>0</v>
      </c>
      <c r="AI949" s="4">
        <v>4</v>
      </c>
      <c r="AJ949" s="4">
        <v>1</v>
      </c>
      <c r="AK949" s="4">
        <v>6</v>
      </c>
      <c r="AL949" s="4">
        <v>0</v>
      </c>
      <c r="AM949" s="4">
        <v>2</v>
      </c>
      <c r="AN949" s="4">
        <v>0</v>
      </c>
      <c r="AO949" s="4">
        <v>1</v>
      </c>
      <c r="AP949" s="3" t="s">
        <v>58</v>
      </c>
      <c r="AQ949" s="3" t="s">
        <v>58</v>
      </c>
      <c r="AS949" s="6" t="str">
        <f>HYPERLINK("https://creighton-primo.hosted.exlibrisgroup.com/primo-explore/search?tab=default_tab&amp;search_scope=EVERYTHING&amp;vid=01CRU&amp;lang=en_US&amp;offset=0&amp;query=any,contains,991000324079702656","Catalog Record")</f>
        <v>Catalog Record</v>
      </c>
      <c r="AT949" s="6" t="str">
        <f>HYPERLINK("http://www.worldcat.org/oclc/10162774","WorldCat Record")</f>
        <v>WorldCat Record</v>
      </c>
      <c r="AU949" s="3" t="s">
        <v>12432</v>
      </c>
      <c r="AV949" s="3" t="s">
        <v>12433</v>
      </c>
      <c r="AW949" s="3" t="s">
        <v>12434</v>
      </c>
      <c r="AX949" s="3" t="s">
        <v>12434</v>
      </c>
      <c r="AY949" s="3" t="s">
        <v>12435</v>
      </c>
      <c r="AZ949" s="3" t="s">
        <v>74</v>
      </c>
      <c r="BB949" s="3" t="s">
        <v>12436</v>
      </c>
      <c r="BC949" s="3" t="s">
        <v>12437</v>
      </c>
      <c r="BD949" s="3" t="s">
        <v>12438</v>
      </c>
    </row>
    <row r="950" spans="1:56" ht="45.75" customHeight="1" x14ac:dyDescent="0.25">
      <c r="A950" s="7" t="s">
        <v>58</v>
      </c>
      <c r="B950" s="2" t="s">
        <v>12439</v>
      </c>
      <c r="C950" s="2" t="s">
        <v>12440</v>
      </c>
      <c r="D950" s="2" t="s">
        <v>12441</v>
      </c>
      <c r="F950" s="3" t="s">
        <v>58</v>
      </c>
      <c r="G950" s="3" t="s">
        <v>59</v>
      </c>
      <c r="H950" s="3" t="s">
        <v>58</v>
      </c>
      <c r="I950" s="3" t="s">
        <v>58</v>
      </c>
      <c r="J950" s="3" t="s">
        <v>60</v>
      </c>
      <c r="L950" s="2" t="s">
        <v>12442</v>
      </c>
      <c r="M950" s="3" t="s">
        <v>1500</v>
      </c>
      <c r="N950" s="2" t="s">
        <v>543</v>
      </c>
      <c r="O950" s="3" t="s">
        <v>65</v>
      </c>
      <c r="P950" s="3" t="s">
        <v>132</v>
      </c>
      <c r="R950" s="3" t="s">
        <v>67</v>
      </c>
      <c r="S950" s="4">
        <v>9</v>
      </c>
      <c r="T950" s="4">
        <v>9</v>
      </c>
      <c r="U950" s="5" t="s">
        <v>2191</v>
      </c>
      <c r="V950" s="5" t="s">
        <v>2191</v>
      </c>
      <c r="W950" s="5" t="s">
        <v>1626</v>
      </c>
      <c r="X950" s="5" t="s">
        <v>1626</v>
      </c>
      <c r="Y950" s="4">
        <v>742</v>
      </c>
      <c r="Z950" s="4">
        <v>631</v>
      </c>
      <c r="AA950" s="4">
        <v>654</v>
      </c>
      <c r="AB950" s="4">
        <v>7</v>
      </c>
      <c r="AC950" s="4">
        <v>7</v>
      </c>
      <c r="AD950" s="4">
        <v>25</v>
      </c>
      <c r="AE950" s="4">
        <v>26</v>
      </c>
      <c r="AF950" s="4">
        <v>12</v>
      </c>
      <c r="AG950" s="4">
        <v>13</v>
      </c>
      <c r="AH950" s="4">
        <v>4</v>
      </c>
      <c r="AI950" s="4">
        <v>4</v>
      </c>
      <c r="AJ950" s="4">
        <v>9</v>
      </c>
      <c r="AK950" s="4">
        <v>9</v>
      </c>
      <c r="AL950" s="4">
        <v>5</v>
      </c>
      <c r="AM950" s="4">
        <v>5</v>
      </c>
      <c r="AN950" s="4">
        <v>0</v>
      </c>
      <c r="AO950" s="4">
        <v>0</v>
      </c>
      <c r="AP950" s="3" t="s">
        <v>58</v>
      </c>
      <c r="AQ950" s="3" t="s">
        <v>87</v>
      </c>
      <c r="AR950" s="6" t="str">
        <f>HYPERLINK("http://catalog.hathitrust.org/Record/000690455","HathiTrust Record")</f>
        <v>HathiTrust Record</v>
      </c>
      <c r="AS950" s="6" t="str">
        <f>HYPERLINK("https://creighton-primo.hosted.exlibrisgroup.com/primo-explore/search?tab=default_tab&amp;search_scope=EVERYTHING&amp;vid=01CRU&amp;lang=en_US&amp;offset=0&amp;query=any,contains,991004861619702656","Catalog Record")</f>
        <v>Catalog Record</v>
      </c>
      <c r="AT950" s="6" t="str">
        <f>HYPERLINK("http://www.worldcat.org/oclc/5706733","WorldCat Record")</f>
        <v>WorldCat Record</v>
      </c>
      <c r="AU950" s="3" t="s">
        <v>12443</v>
      </c>
      <c r="AV950" s="3" t="s">
        <v>12444</v>
      </c>
      <c r="AW950" s="3" t="s">
        <v>12445</v>
      </c>
      <c r="AX950" s="3" t="s">
        <v>12445</v>
      </c>
      <c r="AY950" s="3" t="s">
        <v>12446</v>
      </c>
      <c r="AZ950" s="3" t="s">
        <v>74</v>
      </c>
      <c r="BB950" s="3" t="s">
        <v>12447</v>
      </c>
      <c r="BC950" s="3" t="s">
        <v>12448</v>
      </c>
      <c r="BD950" s="3" t="s">
        <v>12449</v>
      </c>
    </row>
    <row r="951" spans="1:56" ht="45.75" customHeight="1" x14ac:dyDescent="0.25">
      <c r="A951" s="7" t="s">
        <v>58</v>
      </c>
      <c r="B951" s="2" t="s">
        <v>12450</v>
      </c>
      <c r="C951" s="2" t="s">
        <v>12451</v>
      </c>
      <c r="D951" s="2" t="s">
        <v>12452</v>
      </c>
      <c r="F951" s="3" t="s">
        <v>58</v>
      </c>
      <c r="G951" s="3" t="s">
        <v>59</v>
      </c>
      <c r="H951" s="3" t="s">
        <v>58</v>
      </c>
      <c r="I951" s="3" t="s">
        <v>58</v>
      </c>
      <c r="J951" s="3" t="s">
        <v>60</v>
      </c>
      <c r="L951" s="2" t="s">
        <v>12453</v>
      </c>
      <c r="M951" s="3" t="s">
        <v>1209</v>
      </c>
      <c r="O951" s="3" t="s">
        <v>65</v>
      </c>
      <c r="P951" s="3" t="s">
        <v>175</v>
      </c>
      <c r="R951" s="3" t="s">
        <v>67</v>
      </c>
      <c r="S951" s="4">
        <v>7</v>
      </c>
      <c r="T951" s="4">
        <v>7</v>
      </c>
      <c r="U951" s="5" t="s">
        <v>12454</v>
      </c>
      <c r="V951" s="5" t="s">
        <v>12454</v>
      </c>
      <c r="W951" s="5" t="s">
        <v>12431</v>
      </c>
      <c r="X951" s="5" t="s">
        <v>12431</v>
      </c>
      <c r="Y951" s="4">
        <v>169</v>
      </c>
      <c r="Z951" s="4">
        <v>87</v>
      </c>
      <c r="AA951" s="4">
        <v>87</v>
      </c>
      <c r="AB951" s="4">
        <v>1</v>
      </c>
      <c r="AC951" s="4">
        <v>1</v>
      </c>
      <c r="AD951" s="4">
        <v>0</v>
      </c>
      <c r="AE951" s="4">
        <v>0</v>
      </c>
      <c r="AF951" s="4">
        <v>0</v>
      </c>
      <c r="AG951" s="4">
        <v>0</v>
      </c>
      <c r="AH951" s="4">
        <v>0</v>
      </c>
      <c r="AI951" s="4">
        <v>0</v>
      </c>
      <c r="AJ951" s="4">
        <v>0</v>
      </c>
      <c r="AK951" s="4">
        <v>0</v>
      </c>
      <c r="AL951" s="4">
        <v>0</v>
      </c>
      <c r="AM951" s="4">
        <v>0</v>
      </c>
      <c r="AN951" s="4">
        <v>0</v>
      </c>
      <c r="AO951" s="4">
        <v>0</v>
      </c>
      <c r="AP951" s="3" t="s">
        <v>58</v>
      </c>
      <c r="AQ951" s="3" t="s">
        <v>58</v>
      </c>
      <c r="AS951" s="6" t="str">
        <f>HYPERLINK("https://creighton-primo.hosted.exlibrisgroup.com/primo-explore/search?tab=default_tab&amp;search_scope=EVERYTHING&amp;vid=01CRU&amp;lang=en_US&amp;offset=0&amp;query=any,contains,991001068799702656","Catalog Record")</f>
        <v>Catalog Record</v>
      </c>
      <c r="AT951" s="6" t="str">
        <f>HYPERLINK("http://www.worldcat.org/oclc/15856385","WorldCat Record")</f>
        <v>WorldCat Record</v>
      </c>
      <c r="AU951" s="3" t="s">
        <v>12455</v>
      </c>
      <c r="AV951" s="3" t="s">
        <v>12456</v>
      </c>
      <c r="AW951" s="3" t="s">
        <v>12457</v>
      </c>
      <c r="AX951" s="3" t="s">
        <v>12457</v>
      </c>
      <c r="AY951" s="3" t="s">
        <v>12458</v>
      </c>
      <c r="AZ951" s="3" t="s">
        <v>74</v>
      </c>
      <c r="BB951" s="3" t="s">
        <v>12459</v>
      </c>
      <c r="BC951" s="3" t="s">
        <v>12460</v>
      </c>
      <c r="BD951" s="3" t="s">
        <v>12461</v>
      </c>
    </row>
    <row r="952" spans="1:56" ht="45.75" customHeight="1" x14ac:dyDescent="0.25">
      <c r="A952" s="7" t="s">
        <v>58</v>
      </c>
      <c r="B952" s="2" t="s">
        <v>12462</v>
      </c>
      <c r="C952" s="2" t="s">
        <v>12463</v>
      </c>
      <c r="D952" s="2" t="s">
        <v>12464</v>
      </c>
      <c r="F952" s="3" t="s">
        <v>58</v>
      </c>
      <c r="G952" s="3" t="s">
        <v>59</v>
      </c>
      <c r="H952" s="3" t="s">
        <v>87</v>
      </c>
      <c r="I952" s="3" t="s">
        <v>58</v>
      </c>
      <c r="J952" s="3" t="s">
        <v>60</v>
      </c>
      <c r="K952" s="2" t="s">
        <v>12465</v>
      </c>
      <c r="L952" s="2" t="s">
        <v>12466</v>
      </c>
      <c r="M952" s="3" t="s">
        <v>100</v>
      </c>
      <c r="O952" s="3" t="s">
        <v>65</v>
      </c>
      <c r="P952" s="3" t="s">
        <v>175</v>
      </c>
      <c r="R952" s="3" t="s">
        <v>67</v>
      </c>
      <c r="S952" s="4">
        <v>9</v>
      </c>
      <c r="T952" s="4">
        <v>11</v>
      </c>
      <c r="U952" s="5" t="s">
        <v>12467</v>
      </c>
      <c r="V952" s="5" t="s">
        <v>12468</v>
      </c>
      <c r="W952" s="5" t="s">
        <v>1061</v>
      </c>
      <c r="X952" s="5" t="s">
        <v>6038</v>
      </c>
      <c r="Y952" s="4">
        <v>466</v>
      </c>
      <c r="Z952" s="4">
        <v>325</v>
      </c>
      <c r="AA952" s="4">
        <v>332</v>
      </c>
      <c r="AB952" s="4">
        <v>4</v>
      </c>
      <c r="AC952" s="4">
        <v>4</v>
      </c>
      <c r="AD952" s="4">
        <v>5</v>
      </c>
      <c r="AE952" s="4">
        <v>5</v>
      </c>
      <c r="AF952" s="4">
        <v>1</v>
      </c>
      <c r="AG952" s="4">
        <v>1</v>
      </c>
      <c r="AH952" s="4">
        <v>2</v>
      </c>
      <c r="AI952" s="4">
        <v>2</v>
      </c>
      <c r="AJ952" s="4">
        <v>3</v>
      </c>
      <c r="AK952" s="4">
        <v>3</v>
      </c>
      <c r="AL952" s="4">
        <v>1</v>
      </c>
      <c r="AM952" s="4">
        <v>1</v>
      </c>
      <c r="AN952" s="4">
        <v>0</v>
      </c>
      <c r="AO952" s="4">
        <v>0</v>
      </c>
      <c r="AP952" s="3" t="s">
        <v>58</v>
      </c>
      <c r="AQ952" s="3" t="s">
        <v>87</v>
      </c>
      <c r="AR952" s="6" t="str">
        <f>HYPERLINK("http://catalog.hathitrust.org/Record/000033973","HathiTrust Record")</f>
        <v>HathiTrust Record</v>
      </c>
      <c r="AS952" s="6" t="str">
        <f>HYPERLINK("https://creighton-primo.hosted.exlibrisgroup.com/primo-explore/search?tab=default_tab&amp;search_scope=EVERYTHING&amp;vid=01CRU&amp;lang=en_US&amp;offset=0&amp;query=any,contains,991001730029702656","Catalog Record")</f>
        <v>Catalog Record</v>
      </c>
      <c r="AT952" s="6" t="str">
        <f>HYPERLINK("http://www.worldcat.org/oclc/1582833","WorldCat Record")</f>
        <v>WorldCat Record</v>
      </c>
      <c r="AU952" s="3" t="s">
        <v>12469</v>
      </c>
      <c r="AV952" s="3" t="s">
        <v>12470</v>
      </c>
      <c r="AW952" s="3" t="s">
        <v>12471</v>
      </c>
      <c r="AX952" s="3" t="s">
        <v>12471</v>
      </c>
      <c r="AY952" s="3" t="s">
        <v>12472</v>
      </c>
      <c r="AZ952" s="3" t="s">
        <v>74</v>
      </c>
      <c r="BB952" s="3" t="s">
        <v>12473</v>
      </c>
      <c r="BC952" s="3" t="s">
        <v>12474</v>
      </c>
      <c r="BD952" s="3" t="s">
        <v>12475</v>
      </c>
    </row>
    <row r="953" spans="1:56" ht="45.75" customHeight="1" x14ac:dyDescent="0.25">
      <c r="A953" s="7" t="s">
        <v>58</v>
      </c>
      <c r="B953" s="2" t="s">
        <v>12476</v>
      </c>
      <c r="C953" s="2" t="s">
        <v>12477</v>
      </c>
      <c r="D953" s="2" t="s">
        <v>12478</v>
      </c>
      <c r="F953" s="3" t="s">
        <v>58</v>
      </c>
      <c r="G953" s="3" t="s">
        <v>59</v>
      </c>
      <c r="H953" s="3" t="s">
        <v>58</v>
      </c>
      <c r="I953" s="3" t="s">
        <v>58</v>
      </c>
      <c r="J953" s="3" t="s">
        <v>60</v>
      </c>
      <c r="L953" s="2" t="s">
        <v>1101</v>
      </c>
      <c r="M953" s="3" t="s">
        <v>713</v>
      </c>
      <c r="O953" s="3" t="s">
        <v>65</v>
      </c>
      <c r="P953" s="3" t="s">
        <v>84</v>
      </c>
      <c r="R953" s="3" t="s">
        <v>67</v>
      </c>
      <c r="S953" s="4">
        <v>17</v>
      </c>
      <c r="T953" s="4">
        <v>17</v>
      </c>
      <c r="U953" s="5" t="s">
        <v>12479</v>
      </c>
      <c r="V953" s="5" t="s">
        <v>12479</v>
      </c>
      <c r="W953" s="5" t="s">
        <v>1240</v>
      </c>
      <c r="X953" s="5" t="s">
        <v>1240</v>
      </c>
      <c r="Y953" s="4">
        <v>607</v>
      </c>
      <c r="Z953" s="4">
        <v>506</v>
      </c>
      <c r="AA953" s="4">
        <v>513</v>
      </c>
      <c r="AB953" s="4">
        <v>3</v>
      </c>
      <c r="AC953" s="4">
        <v>3</v>
      </c>
      <c r="AD953" s="4">
        <v>16</v>
      </c>
      <c r="AE953" s="4">
        <v>16</v>
      </c>
      <c r="AF953" s="4">
        <v>7</v>
      </c>
      <c r="AG953" s="4">
        <v>7</v>
      </c>
      <c r="AH953" s="4">
        <v>4</v>
      </c>
      <c r="AI953" s="4">
        <v>4</v>
      </c>
      <c r="AJ953" s="4">
        <v>9</v>
      </c>
      <c r="AK953" s="4">
        <v>9</v>
      </c>
      <c r="AL953" s="4">
        <v>2</v>
      </c>
      <c r="AM953" s="4">
        <v>2</v>
      </c>
      <c r="AN953" s="4">
        <v>0</v>
      </c>
      <c r="AO953" s="4">
        <v>0</v>
      </c>
      <c r="AP953" s="3" t="s">
        <v>58</v>
      </c>
      <c r="AQ953" s="3" t="s">
        <v>87</v>
      </c>
      <c r="AR953" s="6" t="str">
        <f>HYPERLINK("http://catalog.hathitrust.org/Record/000266779","HathiTrust Record")</f>
        <v>HathiTrust Record</v>
      </c>
      <c r="AS953" s="6" t="str">
        <f>HYPERLINK("https://creighton-primo.hosted.exlibrisgroup.com/primo-explore/search?tab=default_tab&amp;search_scope=EVERYTHING&amp;vid=01CRU&amp;lang=en_US&amp;offset=0&amp;query=any,contains,991005130859702656","Catalog Record")</f>
        <v>Catalog Record</v>
      </c>
      <c r="AT953" s="6" t="str">
        <f>HYPERLINK("http://www.worldcat.org/oclc/7572359","WorldCat Record")</f>
        <v>WorldCat Record</v>
      </c>
      <c r="AU953" s="3" t="s">
        <v>12480</v>
      </c>
      <c r="AV953" s="3" t="s">
        <v>12481</v>
      </c>
      <c r="AW953" s="3" t="s">
        <v>12482</v>
      </c>
      <c r="AX953" s="3" t="s">
        <v>12482</v>
      </c>
      <c r="AY953" s="3" t="s">
        <v>12483</v>
      </c>
      <c r="AZ953" s="3" t="s">
        <v>74</v>
      </c>
      <c r="BB953" s="3" t="s">
        <v>12484</v>
      </c>
      <c r="BC953" s="3" t="s">
        <v>12485</v>
      </c>
      <c r="BD953" s="3" t="s">
        <v>12486</v>
      </c>
    </row>
    <row r="954" spans="1:56" ht="45.75" customHeight="1" x14ac:dyDescent="0.25">
      <c r="A954" s="7" t="s">
        <v>58</v>
      </c>
      <c r="B954" s="2" t="s">
        <v>12487</v>
      </c>
      <c r="C954" s="2" t="s">
        <v>12488</v>
      </c>
      <c r="D954" s="2" t="s">
        <v>12489</v>
      </c>
      <c r="F954" s="3" t="s">
        <v>58</v>
      </c>
      <c r="G954" s="3" t="s">
        <v>59</v>
      </c>
      <c r="H954" s="3" t="s">
        <v>58</v>
      </c>
      <c r="I954" s="3" t="s">
        <v>58</v>
      </c>
      <c r="J954" s="3" t="s">
        <v>60</v>
      </c>
      <c r="K954" s="2" t="s">
        <v>12490</v>
      </c>
      <c r="L954" s="2" t="s">
        <v>2174</v>
      </c>
      <c r="M954" s="3" t="s">
        <v>116</v>
      </c>
      <c r="O954" s="3" t="s">
        <v>65</v>
      </c>
      <c r="P954" s="3" t="s">
        <v>148</v>
      </c>
      <c r="R954" s="3" t="s">
        <v>67</v>
      </c>
      <c r="S954" s="4">
        <v>7</v>
      </c>
      <c r="T954" s="4">
        <v>7</v>
      </c>
      <c r="U954" s="5" t="s">
        <v>10270</v>
      </c>
      <c r="V954" s="5" t="s">
        <v>10270</v>
      </c>
      <c r="W954" s="5" t="s">
        <v>10347</v>
      </c>
      <c r="X954" s="5" t="s">
        <v>10347</v>
      </c>
      <c r="Y954" s="4">
        <v>676</v>
      </c>
      <c r="Z954" s="4">
        <v>565</v>
      </c>
      <c r="AA954" s="4">
        <v>597</v>
      </c>
      <c r="AB954" s="4">
        <v>3</v>
      </c>
      <c r="AC954" s="4">
        <v>3</v>
      </c>
      <c r="AD954" s="4">
        <v>35</v>
      </c>
      <c r="AE954" s="4">
        <v>35</v>
      </c>
      <c r="AF954" s="4">
        <v>11</v>
      </c>
      <c r="AG954" s="4">
        <v>11</v>
      </c>
      <c r="AH954" s="4">
        <v>9</v>
      </c>
      <c r="AI954" s="4">
        <v>9</v>
      </c>
      <c r="AJ954" s="4">
        <v>16</v>
      </c>
      <c r="AK954" s="4">
        <v>16</v>
      </c>
      <c r="AL954" s="4">
        <v>2</v>
      </c>
      <c r="AM954" s="4">
        <v>2</v>
      </c>
      <c r="AN954" s="4">
        <v>7</v>
      </c>
      <c r="AO954" s="4">
        <v>7</v>
      </c>
      <c r="AP954" s="3" t="s">
        <v>58</v>
      </c>
      <c r="AQ954" s="3" t="s">
        <v>58</v>
      </c>
      <c r="AS954" s="6" t="str">
        <f>HYPERLINK("https://creighton-primo.hosted.exlibrisgroup.com/primo-explore/search?tab=default_tab&amp;search_scope=EVERYTHING&amp;vid=01CRU&amp;lang=en_US&amp;offset=0&amp;query=any,contains,991002939139702656","Catalog Record")</f>
        <v>Catalog Record</v>
      </c>
      <c r="AT954" s="6" t="str">
        <f>HYPERLINK("http://www.worldcat.org/oclc/39101910","WorldCat Record")</f>
        <v>WorldCat Record</v>
      </c>
      <c r="AU954" s="3" t="s">
        <v>12491</v>
      </c>
      <c r="AV954" s="3" t="s">
        <v>12492</v>
      </c>
      <c r="AW954" s="3" t="s">
        <v>12493</v>
      </c>
      <c r="AX954" s="3" t="s">
        <v>12493</v>
      </c>
      <c r="AY954" s="3" t="s">
        <v>12494</v>
      </c>
      <c r="AZ954" s="3" t="s">
        <v>74</v>
      </c>
      <c r="BB954" s="3" t="s">
        <v>12495</v>
      </c>
      <c r="BC954" s="3" t="s">
        <v>12496</v>
      </c>
      <c r="BD954" s="3" t="s">
        <v>12497</v>
      </c>
    </row>
    <row r="955" spans="1:56" ht="45.75" customHeight="1" x14ac:dyDescent="0.25">
      <c r="A955" s="7" t="s">
        <v>58</v>
      </c>
      <c r="B955" s="2" t="s">
        <v>12498</v>
      </c>
      <c r="C955" s="2" t="s">
        <v>12499</v>
      </c>
      <c r="D955" s="2" t="s">
        <v>12500</v>
      </c>
      <c r="F955" s="3" t="s">
        <v>58</v>
      </c>
      <c r="G955" s="3" t="s">
        <v>59</v>
      </c>
      <c r="H955" s="3" t="s">
        <v>58</v>
      </c>
      <c r="I955" s="3" t="s">
        <v>58</v>
      </c>
      <c r="J955" s="3" t="s">
        <v>60</v>
      </c>
      <c r="K955" s="2" t="s">
        <v>12501</v>
      </c>
      <c r="L955" s="2" t="s">
        <v>12502</v>
      </c>
      <c r="M955" s="3" t="s">
        <v>573</v>
      </c>
      <c r="N955" s="2" t="s">
        <v>64</v>
      </c>
      <c r="O955" s="3" t="s">
        <v>65</v>
      </c>
      <c r="P955" s="3" t="s">
        <v>84</v>
      </c>
      <c r="Q955" s="2" t="s">
        <v>501</v>
      </c>
      <c r="R955" s="3" t="s">
        <v>67</v>
      </c>
      <c r="S955" s="4">
        <v>2</v>
      </c>
      <c r="T955" s="4">
        <v>2</v>
      </c>
      <c r="U955" s="5" t="s">
        <v>12503</v>
      </c>
      <c r="V955" s="5" t="s">
        <v>12503</v>
      </c>
      <c r="W955" s="5" t="s">
        <v>12504</v>
      </c>
      <c r="X955" s="5" t="s">
        <v>12504</v>
      </c>
      <c r="Y955" s="4">
        <v>341</v>
      </c>
      <c r="Z955" s="4">
        <v>268</v>
      </c>
      <c r="AA955" s="4">
        <v>608</v>
      </c>
      <c r="AB955" s="4">
        <v>4</v>
      </c>
      <c r="AC955" s="4">
        <v>7</v>
      </c>
      <c r="AD955" s="4">
        <v>13</v>
      </c>
      <c r="AE955" s="4">
        <v>27</v>
      </c>
      <c r="AF955" s="4">
        <v>1</v>
      </c>
      <c r="AG955" s="4">
        <v>9</v>
      </c>
      <c r="AH955" s="4">
        <v>4</v>
      </c>
      <c r="AI955" s="4">
        <v>4</v>
      </c>
      <c r="AJ955" s="4">
        <v>6</v>
      </c>
      <c r="AK955" s="4">
        <v>11</v>
      </c>
      <c r="AL955" s="4">
        <v>3</v>
      </c>
      <c r="AM955" s="4">
        <v>6</v>
      </c>
      <c r="AN955" s="4">
        <v>0</v>
      </c>
      <c r="AO955" s="4">
        <v>1</v>
      </c>
      <c r="AP955" s="3" t="s">
        <v>58</v>
      </c>
      <c r="AQ955" s="3" t="s">
        <v>58</v>
      </c>
      <c r="AS955" s="6" t="str">
        <f>HYPERLINK("https://creighton-primo.hosted.exlibrisgroup.com/primo-explore/search?tab=default_tab&amp;search_scope=EVERYTHING&amp;vid=01CRU&amp;lang=en_US&amp;offset=0&amp;query=any,contains,991004101769702656","Catalog Record")</f>
        <v>Catalog Record</v>
      </c>
      <c r="AT955" s="6" t="str">
        <f>HYPERLINK("http://www.worldcat.org/oclc/51290059","WorldCat Record")</f>
        <v>WorldCat Record</v>
      </c>
      <c r="AU955" s="3" t="s">
        <v>12505</v>
      </c>
      <c r="AV955" s="3" t="s">
        <v>12506</v>
      </c>
      <c r="AW955" s="3" t="s">
        <v>12507</v>
      </c>
      <c r="AX955" s="3" t="s">
        <v>12507</v>
      </c>
      <c r="AY955" s="3" t="s">
        <v>12508</v>
      </c>
      <c r="AZ955" s="3" t="s">
        <v>74</v>
      </c>
      <c r="BB955" s="3" t="s">
        <v>12509</v>
      </c>
      <c r="BC955" s="3" t="s">
        <v>12510</v>
      </c>
      <c r="BD955" s="3" t="s">
        <v>12511</v>
      </c>
    </row>
    <row r="956" spans="1:56" ht="45.75" customHeight="1" x14ac:dyDescent="0.25">
      <c r="A956" s="7" t="s">
        <v>58</v>
      </c>
      <c r="B956" s="2" t="s">
        <v>12512</v>
      </c>
      <c r="C956" s="2" t="s">
        <v>12513</v>
      </c>
      <c r="D956" s="2" t="s">
        <v>12514</v>
      </c>
      <c r="F956" s="3" t="s">
        <v>58</v>
      </c>
      <c r="G956" s="3" t="s">
        <v>59</v>
      </c>
      <c r="H956" s="3" t="s">
        <v>58</v>
      </c>
      <c r="I956" s="3" t="s">
        <v>58</v>
      </c>
      <c r="J956" s="3" t="s">
        <v>60</v>
      </c>
      <c r="L956" s="2" t="s">
        <v>12515</v>
      </c>
      <c r="M956" s="3" t="s">
        <v>1209</v>
      </c>
      <c r="O956" s="3" t="s">
        <v>65</v>
      </c>
      <c r="P956" s="3" t="s">
        <v>148</v>
      </c>
      <c r="R956" s="3" t="s">
        <v>67</v>
      </c>
      <c r="S956" s="4">
        <v>5</v>
      </c>
      <c r="T956" s="4">
        <v>5</v>
      </c>
      <c r="U956" s="5" t="s">
        <v>7697</v>
      </c>
      <c r="V956" s="5" t="s">
        <v>7697</v>
      </c>
      <c r="W956" s="5" t="s">
        <v>1758</v>
      </c>
      <c r="X956" s="5" t="s">
        <v>1758</v>
      </c>
      <c r="Y956" s="4">
        <v>666</v>
      </c>
      <c r="Z956" s="4">
        <v>600</v>
      </c>
      <c r="AA956" s="4">
        <v>617</v>
      </c>
      <c r="AB956" s="4">
        <v>3</v>
      </c>
      <c r="AC956" s="4">
        <v>3</v>
      </c>
      <c r="AD956" s="4">
        <v>19</v>
      </c>
      <c r="AE956" s="4">
        <v>21</v>
      </c>
      <c r="AF956" s="4">
        <v>10</v>
      </c>
      <c r="AG956" s="4">
        <v>11</v>
      </c>
      <c r="AH956" s="4">
        <v>6</v>
      </c>
      <c r="AI956" s="4">
        <v>7</v>
      </c>
      <c r="AJ956" s="4">
        <v>9</v>
      </c>
      <c r="AK956" s="4">
        <v>9</v>
      </c>
      <c r="AL956" s="4">
        <v>2</v>
      </c>
      <c r="AM956" s="4">
        <v>2</v>
      </c>
      <c r="AN956" s="4">
        <v>0</v>
      </c>
      <c r="AO956" s="4">
        <v>0</v>
      </c>
      <c r="AP956" s="3" t="s">
        <v>58</v>
      </c>
      <c r="AQ956" s="3" t="s">
        <v>87</v>
      </c>
      <c r="AR956" s="6" t="str">
        <f>HYPERLINK("http://catalog.hathitrust.org/Record/000820951","HathiTrust Record")</f>
        <v>HathiTrust Record</v>
      </c>
      <c r="AS956" s="6" t="str">
        <f>HYPERLINK("https://creighton-primo.hosted.exlibrisgroup.com/primo-explore/search?tab=default_tab&amp;search_scope=EVERYTHING&amp;vid=01CRU&amp;lang=en_US&amp;offset=0&amp;query=any,contains,991000934419702656","Catalog Record")</f>
        <v>Catalog Record</v>
      </c>
      <c r="AT956" s="6" t="str">
        <f>HYPERLINK("http://www.worldcat.org/oclc/14356409","WorldCat Record")</f>
        <v>WorldCat Record</v>
      </c>
      <c r="AU956" s="3" t="s">
        <v>12516</v>
      </c>
      <c r="AV956" s="3" t="s">
        <v>12517</v>
      </c>
      <c r="AW956" s="3" t="s">
        <v>12518</v>
      </c>
      <c r="AX956" s="3" t="s">
        <v>12518</v>
      </c>
      <c r="AY956" s="3" t="s">
        <v>12519</v>
      </c>
      <c r="AZ956" s="3" t="s">
        <v>74</v>
      </c>
      <c r="BB956" s="3" t="s">
        <v>12520</v>
      </c>
      <c r="BC956" s="3" t="s">
        <v>12521</v>
      </c>
      <c r="BD956" s="3" t="s">
        <v>12522</v>
      </c>
    </row>
    <row r="957" spans="1:56" ht="45.75" customHeight="1" x14ac:dyDescent="0.25">
      <c r="A957" s="7" t="s">
        <v>58</v>
      </c>
      <c r="B957" s="2" t="s">
        <v>12523</v>
      </c>
      <c r="C957" s="2" t="s">
        <v>12524</v>
      </c>
      <c r="D957" s="2" t="s">
        <v>12525</v>
      </c>
      <c r="F957" s="3" t="s">
        <v>58</v>
      </c>
      <c r="G957" s="3" t="s">
        <v>59</v>
      </c>
      <c r="H957" s="3" t="s">
        <v>58</v>
      </c>
      <c r="I957" s="3" t="s">
        <v>58</v>
      </c>
      <c r="J957" s="3" t="s">
        <v>60</v>
      </c>
      <c r="L957" s="2" t="s">
        <v>12526</v>
      </c>
      <c r="M957" s="3" t="s">
        <v>800</v>
      </c>
      <c r="O957" s="3" t="s">
        <v>65</v>
      </c>
      <c r="P957" s="3" t="s">
        <v>175</v>
      </c>
      <c r="R957" s="3" t="s">
        <v>67</v>
      </c>
      <c r="S957" s="4">
        <v>39</v>
      </c>
      <c r="T957" s="4">
        <v>39</v>
      </c>
      <c r="U957" s="5" t="s">
        <v>12430</v>
      </c>
      <c r="V957" s="5" t="s">
        <v>12430</v>
      </c>
      <c r="W957" s="5" t="s">
        <v>2148</v>
      </c>
      <c r="X957" s="5" t="s">
        <v>2148</v>
      </c>
      <c r="Y957" s="4">
        <v>666</v>
      </c>
      <c r="Z957" s="4">
        <v>578</v>
      </c>
      <c r="AA957" s="4">
        <v>594</v>
      </c>
      <c r="AB957" s="4">
        <v>6</v>
      </c>
      <c r="AC957" s="4">
        <v>6</v>
      </c>
      <c r="AD957" s="4">
        <v>24</v>
      </c>
      <c r="AE957" s="4">
        <v>25</v>
      </c>
      <c r="AF957" s="4">
        <v>5</v>
      </c>
      <c r="AG957" s="4">
        <v>6</v>
      </c>
      <c r="AH957" s="4">
        <v>8</v>
      </c>
      <c r="AI957" s="4">
        <v>8</v>
      </c>
      <c r="AJ957" s="4">
        <v>14</v>
      </c>
      <c r="AK957" s="4">
        <v>15</v>
      </c>
      <c r="AL957" s="4">
        <v>4</v>
      </c>
      <c r="AM957" s="4">
        <v>4</v>
      </c>
      <c r="AN957" s="4">
        <v>0</v>
      </c>
      <c r="AO957" s="4">
        <v>0</v>
      </c>
      <c r="AP957" s="3" t="s">
        <v>58</v>
      </c>
      <c r="AQ957" s="3" t="s">
        <v>58</v>
      </c>
      <c r="AS957" s="6" t="str">
        <f>HYPERLINK("https://creighton-primo.hosted.exlibrisgroup.com/primo-explore/search?tab=default_tab&amp;search_scope=EVERYTHING&amp;vid=01CRU&amp;lang=en_US&amp;offset=0&amp;query=any,contains,991001898139702656","Catalog Record")</f>
        <v>Catalog Record</v>
      </c>
      <c r="AT957" s="6" t="str">
        <f>HYPERLINK("http://www.worldcat.org/oclc/23974497","WorldCat Record")</f>
        <v>WorldCat Record</v>
      </c>
      <c r="AU957" s="3" t="s">
        <v>12527</v>
      </c>
      <c r="AV957" s="3" t="s">
        <v>12528</v>
      </c>
      <c r="AW957" s="3" t="s">
        <v>12529</v>
      </c>
      <c r="AX957" s="3" t="s">
        <v>12529</v>
      </c>
      <c r="AY957" s="3" t="s">
        <v>12530</v>
      </c>
      <c r="AZ957" s="3" t="s">
        <v>74</v>
      </c>
      <c r="BB957" s="3" t="s">
        <v>12531</v>
      </c>
      <c r="BC957" s="3" t="s">
        <v>12532</v>
      </c>
      <c r="BD957" s="3" t="s">
        <v>12533</v>
      </c>
    </row>
    <row r="958" spans="1:56" ht="45.75" customHeight="1" x14ac:dyDescent="0.25">
      <c r="A958" s="7" t="s">
        <v>58</v>
      </c>
      <c r="B958" s="2" t="s">
        <v>12534</v>
      </c>
      <c r="C958" s="2" t="s">
        <v>12535</v>
      </c>
      <c r="D958" s="2" t="s">
        <v>12536</v>
      </c>
      <c r="F958" s="3" t="s">
        <v>58</v>
      </c>
      <c r="G958" s="3" t="s">
        <v>59</v>
      </c>
      <c r="H958" s="3" t="s">
        <v>58</v>
      </c>
      <c r="I958" s="3" t="s">
        <v>58</v>
      </c>
      <c r="J958" s="3" t="s">
        <v>60</v>
      </c>
      <c r="L958" s="2" t="s">
        <v>12537</v>
      </c>
      <c r="M958" s="3" t="s">
        <v>923</v>
      </c>
      <c r="O958" s="3" t="s">
        <v>65</v>
      </c>
      <c r="P958" s="3" t="s">
        <v>148</v>
      </c>
      <c r="R958" s="3" t="s">
        <v>67</v>
      </c>
      <c r="S958" s="4">
        <v>5</v>
      </c>
      <c r="T958" s="4">
        <v>5</v>
      </c>
      <c r="U958" s="5" t="s">
        <v>12430</v>
      </c>
      <c r="V958" s="5" t="s">
        <v>12430</v>
      </c>
      <c r="W958" s="5" t="s">
        <v>12538</v>
      </c>
      <c r="X958" s="5" t="s">
        <v>12538</v>
      </c>
      <c r="Y958" s="4">
        <v>872</v>
      </c>
      <c r="Z958" s="4">
        <v>718</v>
      </c>
      <c r="AA958" s="4">
        <v>748</v>
      </c>
      <c r="AB958" s="4">
        <v>3</v>
      </c>
      <c r="AC958" s="4">
        <v>3</v>
      </c>
      <c r="AD958" s="4">
        <v>27</v>
      </c>
      <c r="AE958" s="4">
        <v>28</v>
      </c>
      <c r="AF958" s="4">
        <v>15</v>
      </c>
      <c r="AG958" s="4">
        <v>16</v>
      </c>
      <c r="AH958" s="4">
        <v>6</v>
      </c>
      <c r="AI958" s="4">
        <v>6</v>
      </c>
      <c r="AJ958" s="4">
        <v>12</v>
      </c>
      <c r="AK958" s="4">
        <v>12</v>
      </c>
      <c r="AL958" s="4">
        <v>1</v>
      </c>
      <c r="AM958" s="4">
        <v>1</v>
      </c>
      <c r="AN958" s="4">
        <v>2</v>
      </c>
      <c r="AO958" s="4">
        <v>2</v>
      </c>
      <c r="AP958" s="3" t="s">
        <v>58</v>
      </c>
      <c r="AQ958" s="3" t="s">
        <v>87</v>
      </c>
      <c r="AR958" s="6" t="str">
        <f>HYPERLINK("http://catalog.hathitrust.org/Record/000318663","HathiTrust Record")</f>
        <v>HathiTrust Record</v>
      </c>
      <c r="AS958" s="6" t="str">
        <f>HYPERLINK("https://creighton-primo.hosted.exlibrisgroup.com/primo-explore/search?tab=default_tab&amp;search_scope=EVERYTHING&amp;vid=01CRU&amp;lang=en_US&amp;offset=0&amp;query=any,contains,991005145069702656","Catalog Record")</f>
        <v>Catalog Record</v>
      </c>
      <c r="AT958" s="6" t="str">
        <f>HYPERLINK("http://www.worldcat.org/oclc/7653721","WorldCat Record")</f>
        <v>WorldCat Record</v>
      </c>
      <c r="AU958" s="3" t="s">
        <v>12539</v>
      </c>
      <c r="AV958" s="3" t="s">
        <v>12540</v>
      </c>
      <c r="AW958" s="3" t="s">
        <v>12541</v>
      </c>
      <c r="AX958" s="3" t="s">
        <v>12541</v>
      </c>
      <c r="AY958" s="3" t="s">
        <v>12542</v>
      </c>
      <c r="AZ958" s="3" t="s">
        <v>74</v>
      </c>
      <c r="BB958" s="3" t="s">
        <v>12543</v>
      </c>
      <c r="BC958" s="3" t="s">
        <v>12544</v>
      </c>
      <c r="BD958" s="3" t="s">
        <v>12545</v>
      </c>
    </row>
    <row r="959" spans="1:56" ht="45.75" customHeight="1" x14ac:dyDescent="0.25">
      <c r="A959" s="7" t="s">
        <v>58</v>
      </c>
      <c r="B959" s="2" t="s">
        <v>12546</v>
      </c>
      <c r="C959" s="2" t="s">
        <v>12547</v>
      </c>
      <c r="D959" s="2" t="s">
        <v>12548</v>
      </c>
      <c r="F959" s="3" t="s">
        <v>58</v>
      </c>
      <c r="G959" s="3" t="s">
        <v>59</v>
      </c>
      <c r="H959" s="3" t="s">
        <v>58</v>
      </c>
      <c r="I959" s="3" t="s">
        <v>58</v>
      </c>
      <c r="J959" s="3" t="s">
        <v>60</v>
      </c>
      <c r="K959" s="2" t="s">
        <v>12549</v>
      </c>
      <c r="L959" s="2" t="s">
        <v>12550</v>
      </c>
      <c r="M959" s="3" t="s">
        <v>1254</v>
      </c>
      <c r="O959" s="3" t="s">
        <v>65</v>
      </c>
      <c r="P959" s="3" t="s">
        <v>132</v>
      </c>
      <c r="R959" s="3" t="s">
        <v>67</v>
      </c>
      <c r="S959" s="4">
        <v>21</v>
      </c>
      <c r="T959" s="4">
        <v>21</v>
      </c>
      <c r="U959" s="5" t="s">
        <v>12430</v>
      </c>
      <c r="V959" s="5" t="s">
        <v>12430</v>
      </c>
      <c r="W959" s="5" t="s">
        <v>3115</v>
      </c>
      <c r="X959" s="5" t="s">
        <v>3115</v>
      </c>
      <c r="Y959" s="4">
        <v>180</v>
      </c>
      <c r="Z959" s="4">
        <v>156</v>
      </c>
      <c r="AA959" s="4">
        <v>161</v>
      </c>
      <c r="AB959" s="4">
        <v>2</v>
      </c>
      <c r="AC959" s="4">
        <v>2</v>
      </c>
      <c r="AD959" s="4">
        <v>3</v>
      </c>
      <c r="AE959" s="4">
        <v>3</v>
      </c>
      <c r="AF959" s="4">
        <v>0</v>
      </c>
      <c r="AG959" s="4">
        <v>0</v>
      </c>
      <c r="AH959" s="4">
        <v>0</v>
      </c>
      <c r="AI959" s="4">
        <v>0</v>
      </c>
      <c r="AJ959" s="4">
        <v>2</v>
      </c>
      <c r="AK959" s="4">
        <v>2</v>
      </c>
      <c r="AL959" s="4">
        <v>1</v>
      </c>
      <c r="AM959" s="4">
        <v>1</v>
      </c>
      <c r="AN959" s="4">
        <v>0</v>
      </c>
      <c r="AO959" s="4">
        <v>0</v>
      </c>
      <c r="AP959" s="3" t="s">
        <v>58</v>
      </c>
      <c r="AQ959" s="3" t="s">
        <v>87</v>
      </c>
      <c r="AR959" s="6" t="str">
        <f>HYPERLINK("http://catalog.hathitrust.org/Record/000435344","HathiTrust Record")</f>
        <v>HathiTrust Record</v>
      </c>
      <c r="AS959" s="6" t="str">
        <f>HYPERLINK("https://creighton-primo.hosted.exlibrisgroup.com/primo-explore/search?tab=default_tab&amp;search_scope=EVERYTHING&amp;vid=01CRU&amp;lang=en_US&amp;offset=0&amp;query=any,contains,991000806379702656","Catalog Record")</f>
        <v>Catalog Record</v>
      </c>
      <c r="AT959" s="6" t="str">
        <f>HYPERLINK("http://www.worldcat.org/oclc/13042413","WorldCat Record")</f>
        <v>WorldCat Record</v>
      </c>
      <c r="AU959" s="3" t="s">
        <v>12551</v>
      </c>
      <c r="AV959" s="3" t="s">
        <v>12552</v>
      </c>
      <c r="AW959" s="3" t="s">
        <v>12553</v>
      </c>
      <c r="AX959" s="3" t="s">
        <v>12553</v>
      </c>
      <c r="AY959" s="3" t="s">
        <v>12554</v>
      </c>
      <c r="AZ959" s="3" t="s">
        <v>74</v>
      </c>
      <c r="BB959" s="3" t="s">
        <v>12555</v>
      </c>
      <c r="BC959" s="3" t="s">
        <v>12556</v>
      </c>
      <c r="BD959" s="3" t="s">
        <v>12557</v>
      </c>
    </row>
    <row r="960" spans="1:56" ht="45.75" customHeight="1" x14ac:dyDescent="0.25">
      <c r="A960" s="7" t="s">
        <v>58</v>
      </c>
      <c r="B960" s="2" t="s">
        <v>12558</v>
      </c>
      <c r="C960" s="2" t="s">
        <v>12559</v>
      </c>
      <c r="D960" s="2" t="s">
        <v>12560</v>
      </c>
      <c r="F960" s="3" t="s">
        <v>58</v>
      </c>
      <c r="G960" s="3" t="s">
        <v>59</v>
      </c>
      <c r="H960" s="3" t="s">
        <v>58</v>
      </c>
      <c r="I960" s="3" t="s">
        <v>58</v>
      </c>
      <c r="J960" s="3" t="s">
        <v>60</v>
      </c>
      <c r="L960" s="2" t="s">
        <v>12561</v>
      </c>
      <c r="M960" s="3" t="s">
        <v>1500</v>
      </c>
      <c r="O960" s="3" t="s">
        <v>65</v>
      </c>
      <c r="P960" s="3" t="s">
        <v>175</v>
      </c>
      <c r="R960" s="3" t="s">
        <v>67</v>
      </c>
      <c r="S960" s="4">
        <v>24</v>
      </c>
      <c r="T960" s="4">
        <v>24</v>
      </c>
      <c r="U960" s="5" t="s">
        <v>12430</v>
      </c>
      <c r="V960" s="5" t="s">
        <v>12430</v>
      </c>
      <c r="W960" s="5" t="s">
        <v>1758</v>
      </c>
      <c r="X960" s="5" t="s">
        <v>1758</v>
      </c>
      <c r="Y960" s="4">
        <v>201</v>
      </c>
      <c r="Z960" s="4">
        <v>104</v>
      </c>
      <c r="AA960" s="4">
        <v>445</v>
      </c>
      <c r="AB960" s="4">
        <v>2</v>
      </c>
      <c r="AC960" s="4">
        <v>8</v>
      </c>
      <c r="AD960" s="4">
        <v>4</v>
      </c>
      <c r="AE960" s="4">
        <v>22</v>
      </c>
      <c r="AF960" s="4">
        <v>0</v>
      </c>
      <c r="AG960" s="4">
        <v>7</v>
      </c>
      <c r="AH960" s="4">
        <v>2</v>
      </c>
      <c r="AI960" s="4">
        <v>5</v>
      </c>
      <c r="AJ960" s="4">
        <v>1</v>
      </c>
      <c r="AK960" s="4">
        <v>8</v>
      </c>
      <c r="AL960" s="4">
        <v>1</v>
      </c>
      <c r="AM960" s="4">
        <v>6</v>
      </c>
      <c r="AN960" s="4">
        <v>0</v>
      </c>
      <c r="AO960" s="4">
        <v>0</v>
      </c>
      <c r="AP960" s="3" t="s">
        <v>58</v>
      </c>
      <c r="AQ960" s="3" t="s">
        <v>87</v>
      </c>
      <c r="AR960" s="6" t="str">
        <f>HYPERLINK("http://catalog.hathitrust.org/Record/000084325","HathiTrust Record")</f>
        <v>HathiTrust Record</v>
      </c>
      <c r="AS960" s="6" t="str">
        <f>HYPERLINK("https://creighton-primo.hosted.exlibrisgroup.com/primo-explore/search?tab=default_tab&amp;search_scope=EVERYTHING&amp;vid=01CRU&amp;lang=en_US&amp;offset=0&amp;query=any,contains,991005102199702656","Catalog Record")</f>
        <v>Catalog Record</v>
      </c>
      <c r="AT960" s="6" t="str">
        <f>HYPERLINK("http://www.worldcat.org/oclc/7741343","WorldCat Record")</f>
        <v>WorldCat Record</v>
      </c>
      <c r="AU960" s="3" t="s">
        <v>12562</v>
      </c>
      <c r="AV960" s="3" t="s">
        <v>12563</v>
      </c>
      <c r="AW960" s="3" t="s">
        <v>12564</v>
      </c>
      <c r="AX960" s="3" t="s">
        <v>12564</v>
      </c>
      <c r="AY960" s="3" t="s">
        <v>12565</v>
      </c>
      <c r="AZ960" s="3" t="s">
        <v>74</v>
      </c>
      <c r="BB960" s="3" t="s">
        <v>12566</v>
      </c>
      <c r="BC960" s="3" t="s">
        <v>12567</v>
      </c>
      <c r="BD960" s="3" t="s">
        <v>12568</v>
      </c>
    </row>
    <row r="961" spans="1:56" ht="45.75" customHeight="1" x14ac:dyDescent="0.25">
      <c r="A961" s="7" t="s">
        <v>58</v>
      </c>
      <c r="B961" s="2" t="s">
        <v>12569</v>
      </c>
      <c r="C961" s="2" t="s">
        <v>12570</v>
      </c>
      <c r="D961" s="2" t="s">
        <v>12571</v>
      </c>
      <c r="F961" s="3" t="s">
        <v>58</v>
      </c>
      <c r="G961" s="3" t="s">
        <v>59</v>
      </c>
      <c r="H961" s="3" t="s">
        <v>58</v>
      </c>
      <c r="I961" s="3" t="s">
        <v>58</v>
      </c>
      <c r="J961" s="3" t="s">
        <v>60</v>
      </c>
      <c r="L961" s="2" t="s">
        <v>12572</v>
      </c>
      <c r="M961" s="3" t="s">
        <v>116</v>
      </c>
      <c r="O961" s="3" t="s">
        <v>65</v>
      </c>
      <c r="P961" s="3" t="s">
        <v>66</v>
      </c>
      <c r="R961" s="3" t="s">
        <v>67</v>
      </c>
      <c r="S961" s="4">
        <v>6</v>
      </c>
      <c r="T961" s="4">
        <v>6</v>
      </c>
      <c r="U961" s="5" t="s">
        <v>12573</v>
      </c>
      <c r="V961" s="5" t="s">
        <v>12573</v>
      </c>
      <c r="W961" s="5" t="s">
        <v>12574</v>
      </c>
      <c r="X961" s="5" t="s">
        <v>12574</v>
      </c>
      <c r="Y961" s="4">
        <v>444</v>
      </c>
      <c r="Z961" s="4">
        <v>376</v>
      </c>
      <c r="AA961" s="4">
        <v>404</v>
      </c>
      <c r="AB961" s="4">
        <v>4</v>
      </c>
      <c r="AC961" s="4">
        <v>4</v>
      </c>
      <c r="AD961" s="4">
        <v>19</v>
      </c>
      <c r="AE961" s="4">
        <v>21</v>
      </c>
      <c r="AF961" s="4">
        <v>6</v>
      </c>
      <c r="AG961" s="4">
        <v>6</v>
      </c>
      <c r="AH961" s="4">
        <v>5</v>
      </c>
      <c r="AI961" s="4">
        <v>5</v>
      </c>
      <c r="AJ961" s="4">
        <v>10</v>
      </c>
      <c r="AK961" s="4">
        <v>12</v>
      </c>
      <c r="AL961" s="4">
        <v>3</v>
      </c>
      <c r="AM961" s="4">
        <v>3</v>
      </c>
      <c r="AN961" s="4">
        <v>1</v>
      </c>
      <c r="AO961" s="4">
        <v>1</v>
      </c>
      <c r="AP961" s="3" t="s">
        <v>58</v>
      </c>
      <c r="AQ961" s="3" t="s">
        <v>58</v>
      </c>
      <c r="AS961" s="6" t="str">
        <f>HYPERLINK("https://creighton-primo.hosted.exlibrisgroup.com/primo-explore/search?tab=default_tab&amp;search_scope=EVERYTHING&amp;vid=01CRU&amp;lang=en_US&amp;offset=0&amp;query=any,contains,991002878839702656","Catalog Record")</f>
        <v>Catalog Record</v>
      </c>
      <c r="AT961" s="6" t="str">
        <f>HYPERLINK("http://www.worldcat.org/oclc/37935184","WorldCat Record")</f>
        <v>WorldCat Record</v>
      </c>
      <c r="AU961" s="3" t="s">
        <v>12575</v>
      </c>
      <c r="AV961" s="3" t="s">
        <v>12576</v>
      </c>
      <c r="AW961" s="3" t="s">
        <v>12577</v>
      </c>
      <c r="AX961" s="3" t="s">
        <v>12577</v>
      </c>
      <c r="AY961" s="3" t="s">
        <v>12578</v>
      </c>
      <c r="AZ961" s="3" t="s">
        <v>74</v>
      </c>
      <c r="BB961" s="3" t="s">
        <v>12579</v>
      </c>
      <c r="BC961" s="3" t="s">
        <v>12580</v>
      </c>
      <c r="BD961" s="3" t="s">
        <v>12581</v>
      </c>
    </row>
    <row r="962" spans="1:56" ht="45.75" customHeight="1" x14ac:dyDescent="0.25">
      <c r="A962" s="7" t="s">
        <v>58</v>
      </c>
      <c r="B962" s="2" t="s">
        <v>12582</v>
      </c>
      <c r="C962" s="2" t="s">
        <v>12583</v>
      </c>
      <c r="D962" s="2" t="s">
        <v>12584</v>
      </c>
      <c r="F962" s="3" t="s">
        <v>58</v>
      </c>
      <c r="G962" s="3" t="s">
        <v>59</v>
      </c>
      <c r="H962" s="3" t="s">
        <v>58</v>
      </c>
      <c r="I962" s="3" t="s">
        <v>58</v>
      </c>
      <c r="J962" s="3" t="s">
        <v>60</v>
      </c>
      <c r="K962" s="2" t="s">
        <v>12585</v>
      </c>
      <c r="L962" s="2" t="s">
        <v>12586</v>
      </c>
      <c r="M962" s="3" t="s">
        <v>248</v>
      </c>
      <c r="O962" s="3" t="s">
        <v>65</v>
      </c>
      <c r="P962" s="3" t="s">
        <v>336</v>
      </c>
      <c r="R962" s="3" t="s">
        <v>67</v>
      </c>
      <c r="S962" s="4">
        <v>3</v>
      </c>
      <c r="T962" s="4">
        <v>3</v>
      </c>
      <c r="U962" s="5" t="s">
        <v>12587</v>
      </c>
      <c r="V962" s="5" t="s">
        <v>12587</v>
      </c>
      <c r="W962" s="5" t="s">
        <v>8166</v>
      </c>
      <c r="X962" s="5" t="s">
        <v>8166</v>
      </c>
      <c r="Y962" s="4">
        <v>484</v>
      </c>
      <c r="Z962" s="4">
        <v>373</v>
      </c>
      <c r="AA962" s="4">
        <v>605</v>
      </c>
      <c r="AB962" s="4">
        <v>2</v>
      </c>
      <c r="AC962" s="4">
        <v>2</v>
      </c>
      <c r="AD962" s="4">
        <v>17</v>
      </c>
      <c r="AE962" s="4">
        <v>28</v>
      </c>
      <c r="AF962" s="4">
        <v>5</v>
      </c>
      <c r="AG962" s="4">
        <v>11</v>
      </c>
      <c r="AH962" s="4">
        <v>7</v>
      </c>
      <c r="AI962" s="4">
        <v>9</v>
      </c>
      <c r="AJ962" s="4">
        <v>9</v>
      </c>
      <c r="AK962" s="4">
        <v>14</v>
      </c>
      <c r="AL962" s="4">
        <v>1</v>
      </c>
      <c r="AM962" s="4">
        <v>1</v>
      </c>
      <c r="AN962" s="4">
        <v>0</v>
      </c>
      <c r="AO962" s="4">
        <v>1</v>
      </c>
      <c r="AP962" s="3" t="s">
        <v>58</v>
      </c>
      <c r="AQ962" s="3" t="s">
        <v>58</v>
      </c>
      <c r="AS962" s="6" t="str">
        <f>HYPERLINK("https://creighton-primo.hosted.exlibrisgroup.com/primo-explore/search?tab=default_tab&amp;search_scope=EVERYTHING&amp;vid=01CRU&amp;lang=en_US&amp;offset=0&amp;query=any,contains,991005304679702656","Catalog Record")</f>
        <v>Catalog Record</v>
      </c>
      <c r="AT962" s="6" t="str">
        <f>HYPERLINK("http://www.worldcat.org/oclc/64427469","WorldCat Record")</f>
        <v>WorldCat Record</v>
      </c>
      <c r="AU962" s="3" t="s">
        <v>12588</v>
      </c>
      <c r="AV962" s="3" t="s">
        <v>12589</v>
      </c>
      <c r="AW962" s="3" t="s">
        <v>12590</v>
      </c>
      <c r="AX962" s="3" t="s">
        <v>12590</v>
      </c>
      <c r="AY962" s="3" t="s">
        <v>12591</v>
      </c>
      <c r="AZ962" s="3" t="s">
        <v>74</v>
      </c>
      <c r="BB962" s="3" t="s">
        <v>12592</v>
      </c>
      <c r="BC962" s="3" t="s">
        <v>12593</v>
      </c>
      <c r="BD962" s="3" t="s">
        <v>12594</v>
      </c>
    </row>
    <row r="963" spans="1:56" ht="45.75" customHeight="1" x14ac:dyDescent="0.25">
      <c r="A963" s="7" t="s">
        <v>58</v>
      </c>
      <c r="B963" s="2" t="s">
        <v>12595</v>
      </c>
      <c r="C963" s="2" t="s">
        <v>12596</v>
      </c>
      <c r="D963" s="2" t="s">
        <v>12597</v>
      </c>
      <c r="F963" s="3" t="s">
        <v>58</v>
      </c>
      <c r="G963" s="3" t="s">
        <v>59</v>
      </c>
      <c r="H963" s="3" t="s">
        <v>58</v>
      </c>
      <c r="I963" s="3" t="s">
        <v>58</v>
      </c>
      <c r="J963" s="3" t="s">
        <v>60</v>
      </c>
      <c r="K963" s="2" t="s">
        <v>12598</v>
      </c>
      <c r="L963" s="2" t="s">
        <v>12599</v>
      </c>
      <c r="M963" s="3" t="s">
        <v>220</v>
      </c>
      <c r="O963" s="3" t="s">
        <v>65</v>
      </c>
      <c r="P963" s="3" t="s">
        <v>148</v>
      </c>
      <c r="R963" s="3" t="s">
        <v>67</v>
      </c>
      <c r="S963" s="4">
        <v>7</v>
      </c>
      <c r="T963" s="4">
        <v>7</v>
      </c>
      <c r="U963" s="5" t="s">
        <v>12600</v>
      </c>
      <c r="V963" s="5" t="s">
        <v>12600</v>
      </c>
      <c r="W963" s="5" t="s">
        <v>12601</v>
      </c>
      <c r="X963" s="5" t="s">
        <v>12601</v>
      </c>
      <c r="Y963" s="4">
        <v>1100</v>
      </c>
      <c r="Z963" s="4">
        <v>1036</v>
      </c>
      <c r="AA963" s="4">
        <v>1068</v>
      </c>
      <c r="AB963" s="4">
        <v>7</v>
      </c>
      <c r="AC963" s="4">
        <v>7</v>
      </c>
      <c r="AD963" s="4">
        <v>39</v>
      </c>
      <c r="AE963" s="4">
        <v>39</v>
      </c>
      <c r="AF963" s="4">
        <v>13</v>
      </c>
      <c r="AG963" s="4">
        <v>13</v>
      </c>
      <c r="AH963" s="4">
        <v>4</v>
      </c>
      <c r="AI963" s="4">
        <v>4</v>
      </c>
      <c r="AJ963" s="4">
        <v>14</v>
      </c>
      <c r="AK963" s="4">
        <v>14</v>
      </c>
      <c r="AL963" s="4">
        <v>6</v>
      </c>
      <c r="AM963" s="4">
        <v>6</v>
      </c>
      <c r="AN963" s="4">
        <v>7</v>
      </c>
      <c r="AO963" s="4">
        <v>7</v>
      </c>
      <c r="AP963" s="3" t="s">
        <v>58</v>
      </c>
      <c r="AQ963" s="3" t="s">
        <v>87</v>
      </c>
      <c r="AR963" s="6" t="str">
        <f>HYPERLINK("http://catalog.hathitrust.org/Record/004053163","HathiTrust Record")</f>
        <v>HathiTrust Record</v>
      </c>
      <c r="AS963" s="6" t="str">
        <f>HYPERLINK("https://creighton-primo.hosted.exlibrisgroup.com/primo-explore/search?tab=default_tab&amp;search_scope=EVERYTHING&amp;vid=01CRU&amp;lang=en_US&amp;offset=0&amp;query=any,contains,991003239379702656","Catalog Record")</f>
        <v>Catalog Record</v>
      </c>
      <c r="AT963" s="6" t="str">
        <f>HYPERLINK("http://www.worldcat.org/oclc/41039845","WorldCat Record")</f>
        <v>WorldCat Record</v>
      </c>
      <c r="AU963" s="3" t="s">
        <v>12602</v>
      </c>
      <c r="AV963" s="3" t="s">
        <v>12603</v>
      </c>
      <c r="AW963" s="3" t="s">
        <v>12604</v>
      </c>
      <c r="AX963" s="3" t="s">
        <v>12604</v>
      </c>
      <c r="AY963" s="3" t="s">
        <v>12605</v>
      </c>
      <c r="AZ963" s="3" t="s">
        <v>74</v>
      </c>
      <c r="BB963" s="3" t="s">
        <v>12606</v>
      </c>
      <c r="BC963" s="3" t="s">
        <v>12607</v>
      </c>
      <c r="BD963" s="3" t="s">
        <v>12608</v>
      </c>
    </row>
    <row r="964" spans="1:56" ht="45.75" customHeight="1" x14ac:dyDescent="0.25">
      <c r="A964" s="7" t="s">
        <v>58</v>
      </c>
      <c r="B964" s="2" t="s">
        <v>12609</v>
      </c>
      <c r="C964" s="2" t="s">
        <v>12610</v>
      </c>
      <c r="D964" s="2" t="s">
        <v>12611</v>
      </c>
      <c r="F964" s="3" t="s">
        <v>58</v>
      </c>
      <c r="G964" s="3" t="s">
        <v>59</v>
      </c>
      <c r="H964" s="3" t="s">
        <v>87</v>
      </c>
      <c r="I964" s="3" t="s">
        <v>87</v>
      </c>
      <c r="J964" s="3" t="s">
        <v>60</v>
      </c>
      <c r="L964" s="2" t="s">
        <v>12612</v>
      </c>
      <c r="M964" s="3" t="s">
        <v>1500</v>
      </c>
      <c r="N964" s="2" t="s">
        <v>12613</v>
      </c>
      <c r="O964" s="3" t="s">
        <v>65</v>
      </c>
      <c r="P964" s="3" t="s">
        <v>190</v>
      </c>
      <c r="R964" s="3" t="s">
        <v>67</v>
      </c>
      <c r="S964" s="4">
        <v>7</v>
      </c>
      <c r="T964" s="4">
        <v>7</v>
      </c>
      <c r="U964" s="5" t="s">
        <v>12430</v>
      </c>
      <c r="V964" s="5" t="s">
        <v>12430</v>
      </c>
      <c r="W964" s="5" t="s">
        <v>4776</v>
      </c>
      <c r="X964" s="5" t="s">
        <v>4776</v>
      </c>
      <c r="Y964" s="4">
        <v>932</v>
      </c>
      <c r="Z964" s="4">
        <v>783</v>
      </c>
      <c r="AA964" s="4">
        <v>2030</v>
      </c>
      <c r="AB964" s="4">
        <v>9</v>
      </c>
      <c r="AC964" s="4">
        <v>20</v>
      </c>
      <c r="AD964" s="4">
        <v>22</v>
      </c>
      <c r="AE964" s="4">
        <v>71</v>
      </c>
      <c r="AF964" s="4">
        <v>7</v>
      </c>
      <c r="AG964" s="4">
        <v>20</v>
      </c>
      <c r="AH964" s="4">
        <v>3</v>
      </c>
      <c r="AI964" s="4">
        <v>9</v>
      </c>
      <c r="AJ964" s="4">
        <v>6</v>
      </c>
      <c r="AK964" s="4">
        <v>23</v>
      </c>
      <c r="AL964" s="4">
        <v>5</v>
      </c>
      <c r="AM964" s="4">
        <v>10</v>
      </c>
      <c r="AN964" s="4">
        <v>5</v>
      </c>
      <c r="AO964" s="4">
        <v>20</v>
      </c>
      <c r="AP964" s="3" t="s">
        <v>58</v>
      </c>
      <c r="AQ964" s="3" t="s">
        <v>58</v>
      </c>
      <c r="AS964" s="6" t="str">
        <f>HYPERLINK("https://creighton-primo.hosted.exlibrisgroup.com/primo-explore/search?tab=default_tab&amp;search_scope=EVERYTHING&amp;vid=01CRU&amp;lang=en_US&amp;offset=0&amp;query=any,contains,991001616149702656","Catalog Record")</f>
        <v>Catalog Record</v>
      </c>
      <c r="AT964" s="6" t="str">
        <f>HYPERLINK("http://www.worldcat.org/oclc/6250713","WorldCat Record")</f>
        <v>WorldCat Record</v>
      </c>
      <c r="AU964" s="3" t="s">
        <v>12614</v>
      </c>
      <c r="AV964" s="3" t="s">
        <v>12615</v>
      </c>
      <c r="AW964" s="3" t="s">
        <v>12616</v>
      </c>
      <c r="AX964" s="3" t="s">
        <v>12616</v>
      </c>
      <c r="AY964" s="3" t="s">
        <v>12617</v>
      </c>
      <c r="AZ964" s="3" t="s">
        <v>74</v>
      </c>
      <c r="BB964" s="3" t="s">
        <v>12618</v>
      </c>
      <c r="BC964" s="3" t="s">
        <v>12619</v>
      </c>
      <c r="BD964" s="3" t="s">
        <v>12620</v>
      </c>
    </row>
    <row r="965" spans="1:56" ht="45.75" customHeight="1" x14ac:dyDescent="0.25">
      <c r="A965" s="7" t="s">
        <v>58</v>
      </c>
      <c r="B965" s="2" t="s">
        <v>12621</v>
      </c>
      <c r="C965" s="2" t="s">
        <v>12622</v>
      </c>
      <c r="D965" s="2" t="s">
        <v>12623</v>
      </c>
      <c r="F965" s="3" t="s">
        <v>58</v>
      </c>
      <c r="G965" s="3" t="s">
        <v>59</v>
      </c>
      <c r="H965" s="3" t="s">
        <v>58</v>
      </c>
      <c r="I965" s="3" t="s">
        <v>58</v>
      </c>
      <c r="J965" s="3" t="s">
        <v>60</v>
      </c>
      <c r="K965" s="2" t="s">
        <v>12624</v>
      </c>
      <c r="L965" s="2" t="s">
        <v>12625</v>
      </c>
      <c r="M965" s="3" t="s">
        <v>923</v>
      </c>
      <c r="O965" s="3" t="s">
        <v>65</v>
      </c>
      <c r="P965" s="3" t="s">
        <v>132</v>
      </c>
      <c r="R965" s="3" t="s">
        <v>67</v>
      </c>
      <c r="S965" s="4">
        <v>5</v>
      </c>
      <c r="T965" s="4">
        <v>5</v>
      </c>
      <c r="U965" s="5" t="s">
        <v>12176</v>
      </c>
      <c r="V965" s="5" t="s">
        <v>12176</v>
      </c>
      <c r="W965" s="5" t="s">
        <v>3588</v>
      </c>
      <c r="X965" s="5" t="s">
        <v>3588</v>
      </c>
      <c r="Y965" s="4">
        <v>185</v>
      </c>
      <c r="Z965" s="4">
        <v>159</v>
      </c>
      <c r="AA965" s="4">
        <v>159</v>
      </c>
      <c r="AB965" s="4">
        <v>3</v>
      </c>
      <c r="AC965" s="4">
        <v>3</v>
      </c>
      <c r="AD965" s="4">
        <v>10</v>
      </c>
      <c r="AE965" s="4">
        <v>10</v>
      </c>
      <c r="AF965" s="4">
        <v>3</v>
      </c>
      <c r="AG965" s="4">
        <v>3</v>
      </c>
      <c r="AH965" s="4">
        <v>0</v>
      </c>
      <c r="AI965" s="4">
        <v>0</v>
      </c>
      <c r="AJ965" s="4">
        <v>5</v>
      </c>
      <c r="AK965" s="4">
        <v>5</v>
      </c>
      <c r="AL965" s="4">
        <v>2</v>
      </c>
      <c r="AM965" s="4">
        <v>2</v>
      </c>
      <c r="AN965" s="4">
        <v>0</v>
      </c>
      <c r="AO965" s="4">
        <v>0</v>
      </c>
      <c r="AP965" s="3" t="s">
        <v>58</v>
      </c>
      <c r="AQ965" s="3" t="s">
        <v>58</v>
      </c>
      <c r="AS965" s="6" t="str">
        <f>HYPERLINK("https://creighton-primo.hosted.exlibrisgroup.com/primo-explore/search?tab=default_tab&amp;search_scope=EVERYTHING&amp;vid=01CRU&amp;lang=en_US&amp;offset=0&amp;query=any,contains,991000053169702656","Catalog Record")</f>
        <v>Catalog Record</v>
      </c>
      <c r="AT965" s="6" t="str">
        <f>HYPERLINK("http://www.worldcat.org/oclc/8690466","WorldCat Record")</f>
        <v>WorldCat Record</v>
      </c>
      <c r="AU965" s="3" t="s">
        <v>12626</v>
      </c>
      <c r="AV965" s="3" t="s">
        <v>12627</v>
      </c>
      <c r="AW965" s="3" t="s">
        <v>12628</v>
      </c>
      <c r="AX965" s="3" t="s">
        <v>12628</v>
      </c>
      <c r="AY965" s="3" t="s">
        <v>12629</v>
      </c>
      <c r="AZ965" s="3" t="s">
        <v>74</v>
      </c>
      <c r="BB965" s="3" t="s">
        <v>12630</v>
      </c>
      <c r="BC965" s="3" t="s">
        <v>12631</v>
      </c>
      <c r="BD965" s="3" t="s">
        <v>12632</v>
      </c>
    </row>
    <row r="966" spans="1:56" ht="45.75" customHeight="1" x14ac:dyDescent="0.25">
      <c r="A966" s="7" t="s">
        <v>58</v>
      </c>
      <c r="B966" s="2" t="s">
        <v>12633</v>
      </c>
      <c r="C966" s="2" t="s">
        <v>12634</v>
      </c>
      <c r="D966" s="2" t="s">
        <v>12635</v>
      </c>
      <c r="F966" s="3" t="s">
        <v>58</v>
      </c>
      <c r="G966" s="3" t="s">
        <v>59</v>
      </c>
      <c r="H966" s="3" t="s">
        <v>58</v>
      </c>
      <c r="I966" s="3" t="s">
        <v>58</v>
      </c>
      <c r="J966" s="3" t="s">
        <v>60</v>
      </c>
      <c r="L966" s="2" t="s">
        <v>12636</v>
      </c>
      <c r="M966" s="3" t="s">
        <v>63</v>
      </c>
      <c r="O966" s="3" t="s">
        <v>65</v>
      </c>
      <c r="P966" s="3" t="s">
        <v>336</v>
      </c>
      <c r="R966" s="3" t="s">
        <v>67</v>
      </c>
      <c r="S966" s="4">
        <v>1</v>
      </c>
      <c r="T966" s="4">
        <v>1</v>
      </c>
      <c r="U966" s="5" t="s">
        <v>392</v>
      </c>
      <c r="V966" s="5" t="s">
        <v>392</v>
      </c>
      <c r="W966" s="5" t="s">
        <v>392</v>
      </c>
      <c r="X966" s="5" t="s">
        <v>392</v>
      </c>
      <c r="Y966" s="4">
        <v>295</v>
      </c>
      <c r="Z966" s="4">
        <v>264</v>
      </c>
      <c r="AA966" s="4">
        <v>288</v>
      </c>
      <c r="AB966" s="4">
        <v>4</v>
      </c>
      <c r="AC966" s="4">
        <v>4</v>
      </c>
      <c r="AD966" s="4">
        <v>13</v>
      </c>
      <c r="AE966" s="4">
        <v>13</v>
      </c>
      <c r="AF966" s="4">
        <v>3</v>
      </c>
      <c r="AG966" s="4">
        <v>3</v>
      </c>
      <c r="AH966" s="4">
        <v>3</v>
      </c>
      <c r="AI966" s="4">
        <v>3</v>
      </c>
      <c r="AJ966" s="4">
        <v>8</v>
      </c>
      <c r="AK966" s="4">
        <v>8</v>
      </c>
      <c r="AL966" s="4">
        <v>3</v>
      </c>
      <c r="AM966" s="4">
        <v>3</v>
      </c>
      <c r="AN966" s="4">
        <v>0</v>
      </c>
      <c r="AO966" s="4">
        <v>0</v>
      </c>
      <c r="AP966" s="3" t="s">
        <v>58</v>
      </c>
      <c r="AQ966" s="3" t="s">
        <v>58</v>
      </c>
      <c r="AS966" s="6" t="str">
        <f>HYPERLINK("https://creighton-primo.hosted.exlibrisgroup.com/primo-explore/search?tab=default_tab&amp;search_scope=EVERYTHING&amp;vid=01CRU&amp;lang=en_US&amp;offset=0&amp;query=any,contains,991005141149702656","Catalog Record")</f>
        <v>Catalog Record</v>
      </c>
      <c r="AT966" s="6" t="str">
        <f>HYPERLINK("http://www.worldcat.org/oclc/57211327","WorldCat Record")</f>
        <v>WorldCat Record</v>
      </c>
      <c r="AU966" s="3" t="s">
        <v>12637</v>
      </c>
      <c r="AV966" s="3" t="s">
        <v>12638</v>
      </c>
      <c r="AW966" s="3" t="s">
        <v>12639</v>
      </c>
      <c r="AX966" s="3" t="s">
        <v>12639</v>
      </c>
      <c r="AY966" s="3" t="s">
        <v>12640</v>
      </c>
      <c r="AZ966" s="3" t="s">
        <v>74</v>
      </c>
      <c r="BB966" s="3" t="s">
        <v>12641</v>
      </c>
      <c r="BC966" s="3" t="s">
        <v>12642</v>
      </c>
      <c r="BD966" s="3" t="s">
        <v>12643</v>
      </c>
    </row>
    <row r="967" spans="1:56" ht="45.75" customHeight="1" x14ac:dyDescent="0.25">
      <c r="A967" s="7" t="s">
        <v>58</v>
      </c>
      <c r="B967" s="2" t="s">
        <v>12644</v>
      </c>
      <c r="C967" s="2" t="s">
        <v>12645</v>
      </c>
      <c r="D967" s="2" t="s">
        <v>12646</v>
      </c>
      <c r="F967" s="3" t="s">
        <v>58</v>
      </c>
      <c r="G967" s="3" t="s">
        <v>59</v>
      </c>
      <c r="H967" s="3" t="s">
        <v>58</v>
      </c>
      <c r="I967" s="3" t="s">
        <v>58</v>
      </c>
      <c r="J967" s="3" t="s">
        <v>60</v>
      </c>
      <c r="K967" s="2" t="s">
        <v>12647</v>
      </c>
      <c r="L967" s="2" t="s">
        <v>12648</v>
      </c>
      <c r="M967" s="3" t="s">
        <v>263</v>
      </c>
      <c r="O967" s="3" t="s">
        <v>65</v>
      </c>
      <c r="P967" s="3" t="s">
        <v>587</v>
      </c>
      <c r="R967" s="3" t="s">
        <v>67</v>
      </c>
      <c r="S967" s="4">
        <v>3</v>
      </c>
      <c r="T967" s="4">
        <v>3</v>
      </c>
      <c r="U967" s="5" t="s">
        <v>12193</v>
      </c>
      <c r="V967" s="5" t="s">
        <v>12193</v>
      </c>
      <c r="W967" s="5" t="s">
        <v>12649</v>
      </c>
      <c r="X967" s="5" t="s">
        <v>12649</v>
      </c>
      <c r="Y967" s="4">
        <v>559</v>
      </c>
      <c r="Z967" s="4">
        <v>524</v>
      </c>
      <c r="AA967" s="4">
        <v>878</v>
      </c>
      <c r="AB967" s="4">
        <v>6</v>
      </c>
      <c r="AC967" s="4">
        <v>7</v>
      </c>
      <c r="AD967" s="4">
        <v>20</v>
      </c>
      <c r="AE967" s="4">
        <v>26</v>
      </c>
      <c r="AF967" s="4">
        <v>5</v>
      </c>
      <c r="AG967" s="4">
        <v>9</v>
      </c>
      <c r="AH967" s="4">
        <v>4</v>
      </c>
      <c r="AI967" s="4">
        <v>5</v>
      </c>
      <c r="AJ967" s="4">
        <v>9</v>
      </c>
      <c r="AK967" s="4">
        <v>11</v>
      </c>
      <c r="AL967" s="4">
        <v>5</v>
      </c>
      <c r="AM967" s="4">
        <v>6</v>
      </c>
      <c r="AN967" s="4">
        <v>2</v>
      </c>
      <c r="AO967" s="4">
        <v>2</v>
      </c>
      <c r="AP967" s="3" t="s">
        <v>58</v>
      </c>
      <c r="AQ967" s="3" t="s">
        <v>87</v>
      </c>
      <c r="AR967" s="6" t="str">
        <f>HYPERLINK("http://catalog.hathitrust.org/Record/003048834","HathiTrust Record")</f>
        <v>HathiTrust Record</v>
      </c>
      <c r="AS967" s="6" t="str">
        <f>HYPERLINK("https://creighton-primo.hosted.exlibrisgroup.com/primo-explore/search?tab=default_tab&amp;search_scope=EVERYTHING&amp;vid=01CRU&amp;lang=en_US&amp;offset=0&amp;query=any,contains,991002527929702656","Catalog Record")</f>
        <v>Catalog Record</v>
      </c>
      <c r="AT967" s="6" t="str">
        <f>HYPERLINK("http://www.worldcat.org/oclc/32856364","WorldCat Record")</f>
        <v>WorldCat Record</v>
      </c>
      <c r="AU967" s="3" t="s">
        <v>12650</v>
      </c>
      <c r="AV967" s="3" t="s">
        <v>12651</v>
      </c>
      <c r="AW967" s="3" t="s">
        <v>12652</v>
      </c>
      <c r="AX967" s="3" t="s">
        <v>12652</v>
      </c>
      <c r="AY967" s="3" t="s">
        <v>12653</v>
      </c>
      <c r="AZ967" s="3" t="s">
        <v>74</v>
      </c>
      <c r="BB967" s="3" t="s">
        <v>12654</v>
      </c>
      <c r="BC967" s="3" t="s">
        <v>12655</v>
      </c>
      <c r="BD967" s="3" t="s">
        <v>12656</v>
      </c>
    </row>
    <row r="968" spans="1:56" ht="45.75" customHeight="1" x14ac:dyDescent="0.25">
      <c r="A968" s="7" t="s">
        <v>58</v>
      </c>
      <c r="B968" s="2" t="s">
        <v>12657</v>
      </c>
      <c r="C968" s="2" t="s">
        <v>12658</v>
      </c>
      <c r="D968" s="2" t="s">
        <v>12659</v>
      </c>
      <c r="F968" s="3" t="s">
        <v>58</v>
      </c>
      <c r="G968" s="3" t="s">
        <v>59</v>
      </c>
      <c r="H968" s="3" t="s">
        <v>58</v>
      </c>
      <c r="I968" s="3" t="s">
        <v>58</v>
      </c>
      <c r="J968" s="3" t="s">
        <v>60</v>
      </c>
      <c r="K968" s="2" t="s">
        <v>12660</v>
      </c>
      <c r="L968" s="2" t="s">
        <v>12661</v>
      </c>
      <c r="M968" s="3" t="s">
        <v>147</v>
      </c>
      <c r="O968" s="3" t="s">
        <v>65</v>
      </c>
      <c r="P968" s="3" t="s">
        <v>84</v>
      </c>
      <c r="R968" s="3" t="s">
        <v>67</v>
      </c>
      <c r="S968" s="4">
        <v>3</v>
      </c>
      <c r="T968" s="4">
        <v>3</v>
      </c>
      <c r="U968" s="5" t="s">
        <v>12176</v>
      </c>
      <c r="V968" s="5" t="s">
        <v>12176</v>
      </c>
      <c r="W968" s="5" t="s">
        <v>10868</v>
      </c>
      <c r="X968" s="5" t="s">
        <v>10868</v>
      </c>
      <c r="Y968" s="4">
        <v>128</v>
      </c>
      <c r="Z968" s="4">
        <v>115</v>
      </c>
      <c r="AA968" s="4">
        <v>122</v>
      </c>
      <c r="AB968" s="4">
        <v>2</v>
      </c>
      <c r="AC968" s="4">
        <v>2</v>
      </c>
      <c r="AD968" s="4">
        <v>7</v>
      </c>
      <c r="AE968" s="4">
        <v>7</v>
      </c>
      <c r="AF968" s="4">
        <v>2</v>
      </c>
      <c r="AG968" s="4">
        <v>2</v>
      </c>
      <c r="AH968" s="4">
        <v>2</v>
      </c>
      <c r="AI968" s="4">
        <v>2</v>
      </c>
      <c r="AJ968" s="4">
        <v>4</v>
      </c>
      <c r="AK968" s="4">
        <v>4</v>
      </c>
      <c r="AL968" s="4">
        <v>1</v>
      </c>
      <c r="AM968" s="4">
        <v>1</v>
      </c>
      <c r="AN968" s="4">
        <v>0</v>
      </c>
      <c r="AO968" s="4">
        <v>0</v>
      </c>
      <c r="AP968" s="3" t="s">
        <v>58</v>
      </c>
      <c r="AQ968" s="3" t="s">
        <v>58</v>
      </c>
      <c r="AS968" s="6" t="str">
        <f>HYPERLINK("https://creighton-primo.hosted.exlibrisgroup.com/primo-explore/search?tab=default_tab&amp;search_scope=EVERYTHING&amp;vid=01CRU&amp;lang=en_US&amp;offset=0&amp;query=any,contains,991004330399702656","Catalog Record")</f>
        <v>Catalog Record</v>
      </c>
      <c r="AT968" s="6" t="str">
        <f>HYPERLINK("http://www.worldcat.org/oclc/55108945","WorldCat Record")</f>
        <v>WorldCat Record</v>
      </c>
      <c r="AU968" s="3" t="s">
        <v>12662</v>
      </c>
      <c r="AV968" s="3" t="s">
        <v>12663</v>
      </c>
      <c r="AW968" s="3" t="s">
        <v>12664</v>
      </c>
      <c r="AX968" s="3" t="s">
        <v>12664</v>
      </c>
      <c r="AY968" s="3" t="s">
        <v>12665</v>
      </c>
      <c r="AZ968" s="3" t="s">
        <v>74</v>
      </c>
      <c r="BB968" s="3" t="s">
        <v>12666</v>
      </c>
      <c r="BC968" s="3" t="s">
        <v>12667</v>
      </c>
      <c r="BD968" s="3" t="s">
        <v>12668</v>
      </c>
    </row>
    <row r="969" spans="1:56" ht="45.75" customHeight="1" x14ac:dyDescent="0.25">
      <c r="A969" s="7" t="s">
        <v>58</v>
      </c>
      <c r="B969" s="2" t="s">
        <v>12669</v>
      </c>
      <c r="C969" s="2" t="s">
        <v>12670</v>
      </c>
      <c r="D969" s="2" t="s">
        <v>12671</v>
      </c>
      <c r="F969" s="3" t="s">
        <v>58</v>
      </c>
      <c r="G969" s="3" t="s">
        <v>59</v>
      </c>
      <c r="H969" s="3" t="s">
        <v>58</v>
      </c>
      <c r="I969" s="3" t="s">
        <v>58</v>
      </c>
      <c r="J969" s="3" t="s">
        <v>60</v>
      </c>
      <c r="L969" s="2" t="s">
        <v>12672</v>
      </c>
      <c r="M969" s="3" t="s">
        <v>923</v>
      </c>
      <c r="O969" s="3" t="s">
        <v>65</v>
      </c>
      <c r="P969" s="3" t="s">
        <v>772</v>
      </c>
      <c r="Q969" s="2" t="s">
        <v>12673</v>
      </c>
      <c r="R969" s="3" t="s">
        <v>67</v>
      </c>
      <c r="S969" s="4">
        <v>17</v>
      </c>
      <c r="T969" s="4">
        <v>17</v>
      </c>
      <c r="U969" s="5" t="s">
        <v>12479</v>
      </c>
      <c r="V969" s="5" t="s">
        <v>12479</v>
      </c>
      <c r="W969" s="5" t="s">
        <v>1758</v>
      </c>
      <c r="X969" s="5" t="s">
        <v>1758</v>
      </c>
      <c r="Y969" s="4">
        <v>348</v>
      </c>
      <c r="Z969" s="4">
        <v>303</v>
      </c>
      <c r="AA969" s="4">
        <v>311</v>
      </c>
      <c r="AB969" s="4">
        <v>8</v>
      </c>
      <c r="AC969" s="4">
        <v>8</v>
      </c>
      <c r="AD969" s="4">
        <v>14</v>
      </c>
      <c r="AE969" s="4">
        <v>14</v>
      </c>
      <c r="AF969" s="4">
        <v>2</v>
      </c>
      <c r="AG969" s="4">
        <v>2</v>
      </c>
      <c r="AH969" s="4">
        <v>2</v>
      </c>
      <c r="AI969" s="4">
        <v>2</v>
      </c>
      <c r="AJ969" s="4">
        <v>4</v>
      </c>
      <c r="AK969" s="4">
        <v>4</v>
      </c>
      <c r="AL969" s="4">
        <v>6</v>
      </c>
      <c r="AM969" s="4">
        <v>6</v>
      </c>
      <c r="AN969" s="4">
        <v>2</v>
      </c>
      <c r="AO969" s="4">
        <v>2</v>
      </c>
      <c r="AP969" s="3" t="s">
        <v>58</v>
      </c>
      <c r="AQ969" s="3" t="s">
        <v>87</v>
      </c>
      <c r="AR969" s="6" t="str">
        <f>HYPERLINK("http://catalog.hathitrust.org/Record/000189116","HathiTrust Record")</f>
        <v>HathiTrust Record</v>
      </c>
      <c r="AS969" s="6" t="str">
        <f>HYPERLINK("https://creighton-primo.hosted.exlibrisgroup.com/primo-explore/search?tab=default_tab&amp;search_scope=EVERYTHING&amp;vid=01CRU&amp;lang=en_US&amp;offset=0&amp;query=any,contains,991005247849702656","Catalog Record")</f>
        <v>Catalog Record</v>
      </c>
      <c r="AT969" s="6" t="str">
        <f>HYPERLINK("http://www.worldcat.org/oclc/8474621","WorldCat Record")</f>
        <v>WorldCat Record</v>
      </c>
      <c r="AU969" s="3" t="s">
        <v>12674</v>
      </c>
      <c r="AV969" s="3" t="s">
        <v>12675</v>
      </c>
      <c r="AW969" s="3" t="s">
        <v>12676</v>
      </c>
      <c r="AX969" s="3" t="s">
        <v>12676</v>
      </c>
      <c r="AY969" s="3" t="s">
        <v>12677</v>
      </c>
      <c r="AZ969" s="3" t="s">
        <v>74</v>
      </c>
      <c r="BB969" s="3" t="s">
        <v>12678</v>
      </c>
      <c r="BC969" s="3" t="s">
        <v>12679</v>
      </c>
      <c r="BD969" s="3" t="s">
        <v>12680</v>
      </c>
    </row>
    <row r="970" spans="1:56" ht="45.75" customHeight="1" x14ac:dyDescent="0.25">
      <c r="A970" s="7" t="s">
        <v>58</v>
      </c>
      <c r="B970" s="2" t="s">
        <v>12681</v>
      </c>
      <c r="C970" s="2" t="s">
        <v>12682</v>
      </c>
      <c r="D970" s="2" t="s">
        <v>12683</v>
      </c>
      <c r="F970" s="3" t="s">
        <v>58</v>
      </c>
      <c r="G970" s="3" t="s">
        <v>59</v>
      </c>
      <c r="H970" s="3" t="s">
        <v>87</v>
      </c>
      <c r="I970" s="3" t="s">
        <v>58</v>
      </c>
      <c r="J970" s="3" t="s">
        <v>60</v>
      </c>
      <c r="L970" s="2" t="s">
        <v>12684</v>
      </c>
      <c r="M970" s="3" t="s">
        <v>2324</v>
      </c>
      <c r="O970" s="3" t="s">
        <v>65</v>
      </c>
      <c r="P970" s="3" t="s">
        <v>148</v>
      </c>
      <c r="R970" s="3" t="s">
        <v>67</v>
      </c>
      <c r="S970" s="4">
        <v>14</v>
      </c>
      <c r="T970" s="4">
        <v>14</v>
      </c>
      <c r="U970" s="5" t="s">
        <v>12479</v>
      </c>
      <c r="V970" s="5" t="s">
        <v>12479</v>
      </c>
      <c r="W970" s="5" t="s">
        <v>12177</v>
      </c>
      <c r="X970" s="5" t="s">
        <v>12177</v>
      </c>
      <c r="Y970" s="4">
        <v>440</v>
      </c>
      <c r="Z970" s="4">
        <v>375</v>
      </c>
      <c r="AA970" s="4">
        <v>382</v>
      </c>
      <c r="AB970" s="4">
        <v>6</v>
      </c>
      <c r="AC970" s="4">
        <v>6</v>
      </c>
      <c r="AD970" s="4">
        <v>17</v>
      </c>
      <c r="AE970" s="4">
        <v>18</v>
      </c>
      <c r="AF970" s="4">
        <v>7</v>
      </c>
      <c r="AG970" s="4">
        <v>7</v>
      </c>
      <c r="AH970" s="4">
        <v>4</v>
      </c>
      <c r="AI970" s="4">
        <v>5</v>
      </c>
      <c r="AJ970" s="4">
        <v>6</v>
      </c>
      <c r="AK970" s="4">
        <v>6</v>
      </c>
      <c r="AL970" s="4">
        <v>4</v>
      </c>
      <c r="AM970" s="4">
        <v>4</v>
      </c>
      <c r="AN970" s="4">
        <v>0</v>
      </c>
      <c r="AO970" s="4">
        <v>0</v>
      </c>
      <c r="AP970" s="3" t="s">
        <v>58</v>
      </c>
      <c r="AQ970" s="3" t="s">
        <v>87</v>
      </c>
      <c r="AR970" s="6" t="str">
        <f>HYPERLINK("http://catalog.hathitrust.org/Record/000113329","HathiTrust Record")</f>
        <v>HathiTrust Record</v>
      </c>
      <c r="AS970" s="6" t="str">
        <f>HYPERLINK("https://creighton-primo.hosted.exlibrisgroup.com/primo-explore/search?tab=default_tab&amp;search_scope=EVERYTHING&amp;vid=01CRU&amp;lang=en_US&amp;offset=0&amp;query=any,contains,991000007199702656","Catalog Record")</f>
        <v>Catalog Record</v>
      </c>
      <c r="AT970" s="6" t="str">
        <f>HYPERLINK("http://www.worldcat.org/oclc/8532291","WorldCat Record")</f>
        <v>WorldCat Record</v>
      </c>
      <c r="AU970" s="3" t="s">
        <v>12685</v>
      </c>
      <c r="AV970" s="3" t="s">
        <v>12686</v>
      </c>
      <c r="AW970" s="3" t="s">
        <v>12687</v>
      </c>
      <c r="AX970" s="3" t="s">
        <v>12687</v>
      </c>
      <c r="AY970" s="3" t="s">
        <v>12688</v>
      </c>
      <c r="AZ970" s="3" t="s">
        <v>74</v>
      </c>
      <c r="BB970" s="3" t="s">
        <v>12689</v>
      </c>
      <c r="BC970" s="3" t="s">
        <v>12690</v>
      </c>
      <c r="BD970" s="3" t="s">
        <v>12691</v>
      </c>
    </row>
    <row r="971" spans="1:56" ht="45.75" customHeight="1" x14ac:dyDescent="0.25">
      <c r="A971" s="7" t="s">
        <v>58</v>
      </c>
      <c r="B971" s="2" t="s">
        <v>12692</v>
      </c>
      <c r="C971" s="2" t="s">
        <v>12693</v>
      </c>
      <c r="D971" s="2" t="s">
        <v>12694</v>
      </c>
      <c r="F971" s="3" t="s">
        <v>58</v>
      </c>
      <c r="G971" s="3" t="s">
        <v>59</v>
      </c>
      <c r="H971" s="3" t="s">
        <v>58</v>
      </c>
      <c r="I971" s="3" t="s">
        <v>58</v>
      </c>
      <c r="J971" s="3" t="s">
        <v>60</v>
      </c>
      <c r="L971" s="2" t="s">
        <v>12695</v>
      </c>
      <c r="M971" s="3" t="s">
        <v>100</v>
      </c>
      <c r="O971" s="3" t="s">
        <v>65</v>
      </c>
      <c r="P971" s="3" t="s">
        <v>148</v>
      </c>
      <c r="R971" s="3" t="s">
        <v>67</v>
      </c>
      <c r="S971" s="4">
        <v>6</v>
      </c>
      <c r="T971" s="4">
        <v>6</v>
      </c>
      <c r="U971" s="5" t="s">
        <v>12696</v>
      </c>
      <c r="V971" s="5" t="s">
        <v>12696</v>
      </c>
      <c r="W971" s="5" t="s">
        <v>4070</v>
      </c>
      <c r="X971" s="5" t="s">
        <v>4070</v>
      </c>
      <c r="Y971" s="4">
        <v>737</v>
      </c>
      <c r="Z971" s="4">
        <v>638</v>
      </c>
      <c r="AA971" s="4">
        <v>646</v>
      </c>
      <c r="AB971" s="4">
        <v>7</v>
      </c>
      <c r="AC971" s="4">
        <v>7</v>
      </c>
      <c r="AD971" s="4">
        <v>23</v>
      </c>
      <c r="AE971" s="4">
        <v>23</v>
      </c>
      <c r="AF971" s="4">
        <v>6</v>
      </c>
      <c r="AG971" s="4">
        <v>6</v>
      </c>
      <c r="AH971" s="4">
        <v>6</v>
      </c>
      <c r="AI971" s="4">
        <v>6</v>
      </c>
      <c r="AJ971" s="4">
        <v>8</v>
      </c>
      <c r="AK971" s="4">
        <v>8</v>
      </c>
      <c r="AL971" s="4">
        <v>5</v>
      </c>
      <c r="AM971" s="4">
        <v>5</v>
      </c>
      <c r="AN971" s="4">
        <v>3</v>
      </c>
      <c r="AO971" s="4">
        <v>3</v>
      </c>
      <c r="AP971" s="3" t="s">
        <v>58</v>
      </c>
      <c r="AQ971" s="3" t="s">
        <v>87</v>
      </c>
      <c r="AR971" s="6" t="str">
        <f>HYPERLINK("http://catalog.hathitrust.org/Record/000037613","HathiTrust Record")</f>
        <v>HathiTrust Record</v>
      </c>
      <c r="AS971" s="6" t="str">
        <f>HYPERLINK("https://creighton-primo.hosted.exlibrisgroup.com/primo-explore/search?tab=default_tab&amp;search_scope=EVERYTHING&amp;vid=01CRU&amp;lang=en_US&amp;offset=0&amp;query=any,contains,991003699389702656","Catalog Record")</f>
        <v>Catalog Record</v>
      </c>
      <c r="AT971" s="6" t="str">
        <f>HYPERLINK("http://www.worldcat.org/oclc/1334483","WorldCat Record")</f>
        <v>WorldCat Record</v>
      </c>
      <c r="AU971" s="3" t="s">
        <v>12697</v>
      </c>
      <c r="AV971" s="3" t="s">
        <v>12698</v>
      </c>
      <c r="AW971" s="3" t="s">
        <v>12699</v>
      </c>
      <c r="AX971" s="3" t="s">
        <v>12699</v>
      </c>
      <c r="AY971" s="3" t="s">
        <v>12700</v>
      </c>
      <c r="AZ971" s="3" t="s">
        <v>74</v>
      </c>
      <c r="BB971" s="3" t="s">
        <v>12701</v>
      </c>
      <c r="BC971" s="3" t="s">
        <v>12702</v>
      </c>
      <c r="BD971" s="3" t="s">
        <v>12703</v>
      </c>
    </row>
    <row r="972" spans="1:56" ht="45.75" customHeight="1" x14ac:dyDescent="0.25">
      <c r="A972" s="7" t="s">
        <v>58</v>
      </c>
      <c r="B972" s="2" t="s">
        <v>12704</v>
      </c>
      <c r="C972" s="2" t="s">
        <v>12705</v>
      </c>
      <c r="D972" s="2" t="s">
        <v>12706</v>
      </c>
      <c r="F972" s="3" t="s">
        <v>58</v>
      </c>
      <c r="G972" s="3" t="s">
        <v>59</v>
      </c>
      <c r="H972" s="3" t="s">
        <v>58</v>
      </c>
      <c r="I972" s="3" t="s">
        <v>58</v>
      </c>
      <c r="J972" s="3" t="s">
        <v>60</v>
      </c>
      <c r="L972" s="2" t="s">
        <v>12707</v>
      </c>
      <c r="M972" s="3" t="s">
        <v>923</v>
      </c>
      <c r="O972" s="3" t="s">
        <v>65</v>
      </c>
      <c r="P972" s="3" t="s">
        <v>148</v>
      </c>
      <c r="R972" s="3" t="s">
        <v>67</v>
      </c>
      <c r="S972" s="4">
        <v>6</v>
      </c>
      <c r="T972" s="4">
        <v>6</v>
      </c>
      <c r="U972" s="5" t="s">
        <v>12708</v>
      </c>
      <c r="V972" s="5" t="s">
        <v>12708</v>
      </c>
      <c r="W972" s="5" t="s">
        <v>12392</v>
      </c>
      <c r="X972" s="5" t="s">
        <v>12392</v>
      </c>
      <c r="Y972" s="4">
        <v>303</v>
      </c>
      <c r="Z972" s="4">
        <v>246</v>
      </c>
      <c r="AA972" s="4">
        <v>253</v>
      </c>
      <c r="AB972" s="4">
        <v>3</v>
      </c>
      <c r="AC972" s="4">
        <v>3</v>
      </c>
      <c r="AD972" s="4">
        <v>9</v>
      </c>
      <c r="AE972" s="4">
        <v>9</v>
      </c>
      <c r="AF972" s="4">
        <v>3</v>
      </c>
      <c r="AG972" s="4">
        <v>3</v>
      </c>
      <c r="AH972" s="4">
        <v>1</v>
      </c>
      <c r="AI972" s="4">
        <v>1</v>
      </c>
      <c r="AJ972" s="4">
        <v>5</v>
      </c>
      <c r="AK972" s="4">
        <v>5</v>
      </c>
      <c r="AL972" s="4">
        <v>2</v>
      </c>
      <c r="AM972" s="4">
        <v>2</v>
      </c>
      <c r="AN972" s="4">
        <v>0</v>
      </c>
      <c r="AO972" s="4">
        <v>0</v>
      </c>
      <c r="AP972" s="3" t="s">
        <v>58</v>
      </c>
      <c r="AQ972" s="3" t="s">
        <v>87</v>
      </c>
      <c r="AR972" s="6" t="str">
        <f>HYPERLINK("http://catalog.hathitrust.org/Record/000233290","HathiTrust Record")</f>
        <v>HathiTrust Record</v>
      </c>
      <c r="AS972" s="6" t="str">
        <f>HYPERLINK("https://creighton-primo.hosted.exlibrisgroup.com/primo-explore/search?tab=default_tab&amp;search_scope=EVERYTHING&amp;vid=01CRU&amp;lang=en_US&amp;offset=0&amp;query=any,contains,991005220169702656","Catalog Record")</f>
        <v>Catalog Record</v>
      </c>
      <c r="AT972" s="6" t="str">
        <f>HYPERLINK("http://www.worldcat.org/oclc/8221330","WorldCat Record")</f>
        <v>WorldCat Record</v>
      </c>
      <c r="AU972" s="3" t="s">
        <v>12709</v>
      </c>
      <c r="AV972" s="3" t="s">
        <v>12710</v>
      </c>
      <c r="AW972" s="3" t="s">
        <v>12711</v>
      </c>
      <c r="AX972" s="3" t="s">
        <v>12711</v>
      </c>
      <c r="AY972" s="3" t="s">
        <v>12712</v>
      </c>
      <c r="AZ972" s="3" t="s">
        <v>74</v>
      </c>
      <c r="BB972" s="3" t="s">
        <v>12713</v>
      </c>
      <c r="BC972" s="3" t="s">
        <v>12714</v>
      </c>
      <c r="BD972" s="3" t="s">
        <v>12715</v>
      </c>
    </row>
    <row r="973" spans="1:56" ht="45.75" customHeight="1" x14ac:dyDescent="0.25">
      <c r="A973" s="7" t="s">
        <v>58</v>
      </c>
      <c r="B973" s="2" t="s">
        <v>12716</v>
      </c>
      <c r="C973" s="2" t="s">
        <v>12717</v>
      </c>
      <c r="D973" s="2" t="s">
        <v>12718</v>
      </c>
      <c r="F973" s="3" t="s">
        <v>58</v>
      </c>
      <c r="G973" s="3" t="s">
        <v>59</v>
      </c>
      <c r="H973" s="3" t="s">
        <v>58</v>
      </c>
      <c r="I973" s="3" t="s">
        <v>58</v>
      </c>
      <c r="J973" s="3" t="s">
        <v>60</v>
      </c>
      <c r="L973" s="2" t="s">
        <v>6037</v>
      </c>
      <c r="M973" s="3" t="s">
        <v>1500</v>
      </c>
      <c r="O973" s="3" t="s">
        <v>65</v>
      </c>
      <c r="P973" s="3" t="s">
        <v>84</v>
      </c>
      <c r="R973" s="3" t="s">
        <v>67</v>
      </c>
      <c r="S973" s="4">
        <v>14</v>
      </c>
      <c r="T973" s="4">
        <v>14</v>
      </c>
      <c r="U973" s="5" t="s">
        <v>12719</v>
      </c>
      <c r="V973" s="5" t="s">
        <v>12719</v>
      </c>
      <c r="W973" s="5" t="s">
        <v>12720</v>
      </c>
      <c r="X973" s="5" t="s">
        <v>12720</v>
      </c>
      <c r="Y973" s="4">
        <v>579</v>
      </c>
      <c r="Z973" s="4">
        <v>465</v>
      </c>
      <c r="AA973" s="4">
        <v>471</v>
      </c>
      <c r="AB973" s="4">
        <v>4</v>
      </c>
      <c r="AC973" s="4">
        <v>4</v>
      </c>
      <c r="AD973" s="4">
        <v>23</v>
      </c>
      <c r="AE973" s="4">
        <v>23</v>
      </c>
      <c r="AF973" s="4">
        <v>6</v>
      </c>
      <c r="AG973" s="4">
        <v>6</v>
      </c>
      <c r="AH973" s="4">
        <v>6</v>
      </c>
      <c r="AI973" s="4">
        <v>6</v>
      </c>
      <c r="AJ973" s="4">
        <v>10</v>
      </c>
      <c r="AK973" s="4">
        <v>10</v>
      </c>
      <c r="AL973" s="4">
        <v>2</v>
      </c>
      <c r="AM973" s="4">
        <v>2</v>
      </c>
      <c r="AN973" s="4">
        <v>5</v>
      </c>
      <c r="AO973" s="4">
        <v>5</v>
      </c>
      <c r="AP973" s="3" t="s">
        <v>58</v>
      </c>
      <c r="AQ973" s="3" t="s">
        <v>87</v>
      </c>
      <c r="AR973" s="6" t="str">
        <f>HYPERLINK("http://catalog.hathitrust.org/Record/000719915","HathiTrust Record")</f>
        <v>HathiTrust Record</v>
      </c>
      <c r="AS973" s="6" t="str">
        <f>HYPERLINK("https://creighton-primo.hosted.exlibrisgroup.com/primo-explore/search?tab=default_tab&amp;search_scope=EVERYTHING&amp;vid=01CRU&amp;lang=en_US&amp;offset=0&amp;query=any,contains,991004856429702656","Catalog Record")</f>
        <v>Catalog Record</v>
      </c>
      <c r="AT973" s="6" t="str">
        <f>HYPERLINK("http://www.worldcat.org/oclc/5675342","WorldCat Record")</f>
        <v>WorldCat Record</v>
      </c>
      <c r="AU973" s="3" t="s">
        <v>12721</v>
      </c>
      <c r="AV973" s="3" t="s">
        <v>12722</v>
      </c>
      <c r="AW973" s="3" t="s">
        <v>12723</v>
      </c>
      <c r="AX973" s="3" t="s">
        <v>12723</v>
      </c>
      <c r="AY973" s="3" t="s">
        <v>12724</v>
      </c>
      <c r="AZ973" s="3" t="s">
        <v>74</v>
      </c>
      <c r="BB973" s="3" t="s">
        <v>12725</v>
      </c>
      <c r="BC973" s="3" t="s">
        <v>12726</v>
      </c>
      <c r="BD973" s="3" t="s">
        <v>12727</v>
      </c>
    </row>
    <row r="974" spans="1:56" ht="45.75" customHeight="1" x14ac:dyDescent="0.25">
      <c r="A974" s="7" t="s">
        <v>58</v>
      </c>
      <c r="B974" s="2" t="s">
        <v>12728</v>
      </c>
      <c r="C974" s="2" t="s">
        <v>12729</v>
      </c>
      <c r="D974" s="2" t="s">
        <v>12730</v>
      </c>
      <c r="F974" s="3" t="s">
        <v>58</v>
      </c>
      <c r="G974" s="3" t="s">
        <v>59</v>
      </c>
      <c r="H974" s="3" t="s">
        <v>58</v>
      </c>
      <c r="I974" s="3" t="s">
        <v>58</v>
      </c>
      <c r="J974" s="3" t="s">
        <v>60</v>
      </c>
      <c r="L974" s="2" t="s">
        <v>12731</v>
      </c>
      <c r="M974" s="3" t="s">
        <v>800</v>
      </c>
      <c r="O974" s="3" t="s">
        <v>65</v>
      </c>
      <c r="P974" s="3" t="s">
        <v>175</v>
      </c>
      <c r="R974" s="3" t="s">
        <v>67</v>
      </c>
      <c r="S974" s="4">
        <v>48</v>
      </c>
      <c r="T974" s="4">
        <v>48</v>
      </c>
      <c r="U974" s="5" t="s">
        <v>12732</v>
      </c>
      <c r="V974" s="5" t="s">
        <v>12732</v>
      </c>
      <c r="W974" s="5" t="s">
        <v>12733</v>
      </c>
      <c r="X974" s="5" t="s">
        <v>12733</v>
      </c>
      <c r="Y974" s="4">
        <v>672</v>
      </c>
      <c r="Z974" s="4">
        <v>530</v>
      </c>
      <c r="AA974" s="4">
        <v>536</v>
      </c>
      <c r="AB974" s="4">
        <v>4</v>
      </c>
      <c r="AC974" s="4">
        <v>4</v>
      </c>
      <c r="AD974" s="4">
        <v>35</v>
      </c>
      <c r="AE974" s="4">
        <v>35</v>
      </c>
      <c r="AF974" s="4">
        <v>14</v>
      </c>
      <c r="AG974" s="4">
        <v>14</v>
      </c>
      <c r="AH974" s="4">
        <v>6</v>
      </c>
      <c r="AI974" s="4">
        <v>6</v>
      </c>
      <c r="AJ974" s="4">
        <v>17</v>
      </c>
      <c r="AK974" s="4">
        <v>17</v>
      </c>
      <c r="AL974" s="4">
        <v>3</v>
      </c>
      <c r="AM974" s="4">
        <v>3</v>
      </c>
      <c r="AN974" s="4">
        <v>2</v>
      </c>
      <c r="AO974" s="4">
        <v>2</v>
      </c>
      <c r="AP974" s="3" t="s">
        <v>58</v>
      </c>
      <c r="AQ974" s="3" t="s">
        <v>58</v>
      </c>
      <c r="AS974" s="6" t="str">
        <f>HYPERLINK("https://creighton-primo.hosted.exlibrisgroup.com/primo-explore/search?tab=default_tab&amp;search_scope=EVERYTHING&amp;vid=01CRU&amp;lang=en_US&amp;offset=0&amp;query=any,contains,991005413269702656","Catalog Record")</f>
        <v>Catalog Record</v>
      </c>
      <c r="AT974" s="6" t="str">
        <f>HYPERLINK("http://www.worldcat.org/oclc/23286432","WorldCat Record")</f>
        <v>WorldCat Record</v>
      </c>
      <c r="AU974" s="3" t="s">
        <v>12734</v>
      </c>
      <c r="AV974" s="3" t="s">
        <v>12735</v>
      </c>
      <c r="AW974" s="3" t="s">
        <v>12736</v>
      </c>
      <c r="AX974" s="3" t="s">
        <v>12736</v>
      </c>
      <c r="AY974" s="3" t="s">
        <v>12737</v>
      </c>
      <c r="AZ974" s="3" t="s">
        <v>74</v>
      </c>
      <c r="BB974" s="3" t="s">
        <v>12738</v>
      </c>
      <c r="BC974" s="3" t="s">
        <v>12739</v>
      </c>
      <c r="BD974" s="3" t="s">
        <v>12740</v>
      </c>
    </row>
    <row r="975" spans="1:56" ht="45.75" customHeight="1" x14ac:dyDescent="0.25">
      <c r="A975" s="7" t="s">
        <v>58</v>
      </c>
      <c r="B975" s="2" t="s">
        <v>12741</v>
      </c>
      <c r="C975" s="2" t="s">
        <v>12742</v>
      </c>
      <c r="D975" s="2" t="s">
        <v>12743</v>
      </c>
      <c r="F975" s="3" t="s">
        <v>58</v>
      </c>
      <c r="G975" s="3" t="s">
        <v>59</v>
      </c>
      <c r="H975" s="3" t="s">
        <v>58</v>
      </c>
      <c r="I975" s="3" t="s">
        <v>58</v>
      </c>
      <c r="J975" s="3" t="s">
        <v>60</v>
      </c>
      <c r="L975" s="2" t="s">
        <v>12744</v>
      </c>
      <c r="M975" s="3" t="s">
        <v>220</v>
      </c>
      <c r="O975" s="3" t="s">
        <v>65</v>
      </c>
      <c r="P975" s="3" t="s">
        <v>84</v>
      </c>
      <c r="Q975" s="2" t="s">
        <v>12745</v>
      </c>
      <c r="R975" s="3" t="s">
        <v>67</v>
      </c>
      <c r="S975" s="4">
        <v>4</v>
      </c>
      <c r="T975" s="4">
        <v>4</v>
      </c>
      <c r="U975" s="5" t="s">
        <v>12746</v>
      </c>
      <c r="V975" s="5" t="s">
        <v>12746</v>
      </c>
      <c r="W975" s="5" t="s">
        <v>12747</v>
      </c>
      <c r="X975" s="5" t="s">
        <v>12747</v>
      </c>
      <c r="Y975" s="4">
        <v>219</v>
      </c>
      <c r="Z975" s="4">
        <v>197</v>
      </c>
      <c r="AA975" s="4">
        <v>216</v>
      </c>
      <c r="AB975" s="4">
        <v>3</v>
      </c>
      <c r="AC975" s="4">
        <v>3</v>
      </c>
      <c r="AD975" s="4">
        <v>11</v>
      </c>
      <c r="AE975" s="4">
        <v>11</v>
      </c>
      <c r="AF975" s="4">
        <v>0</v>
      </c>
      <c r="AG975" s="4">
        <v>0</v>
      </c>
      <c r="AH975" s="4">
        <v>4</v>
      </c>
      <c r="AI975" s="4">
        <v>4</v>
      </c>
      <c r="AJ975" s="4">
        <v>7</v>
      </c>
      <c r="AK975" s="4">
        <v>7</v>
      </c>
      <c r="AL975" s="4">
        <v>2</v>
      </c>
      <c r="AM975" s="4">
        <v>2</v>
      </c>
      <c r="AN975" s="4">
        <v>0</v>
      </c>
      <c r="AO975" s="4">
        <v>0</v>
      </c>
      <c r="AP975" s="3" t="s">
        <v>58</v>
      </c>
      <c r="AQ975" s="3" t="s">
        <v>58</v>
      </c>
      <c r="AS975" s="6" t="str">
        <f>HYPERLINK("https://creighton-primo.hosted.exlibrisgroup.com/primo-explore/search?tab=default_tab&amp;search_scope=EVERYTHING&amp;vid=01CRU&amp;lang=en_US&amp;offset=0&amp;query=any,contains,991003481499702656","Catalog Record")</f>
        <v>Catalog Record</v>
      </c>
      <c r="AT975" s="6" t="str">
        <f>HYPERLINK("http://www.worldcat.org/oclc/39765166","WorldCat Record")</f>
        <v>WorldCat Record</v>
      </c>
      <c r="AU975" s="3" t="s">
        <v>12748</v>
      </c>
      <c r="AV975" s="3" t="s">
        <v>12749</v>
      </c>
      <c r="AW975" s="3" t="s">
        <v>12750</v>
      </c>
      <c r="AX975" s="3" t="s">
        <v>12750</v>
      </c>
      <c r="AY975" s="3" t="s">
        <v>12751</v>
      </c>
      <c r="AZ975" s="3" t="s">
        <v>74</v>
      </c>
      <c r="BB975" s="3" t="s">
        <v>12752</v>
      </c>
      <c r="BC975" s="3" t="s">
        <v>12753</v>
      </c>
      <c r="BD975" s="3" t="s">
        <v>12754</v>
      </c>
    </row>
    <row r="976" spans="1:56" ht="45.75" customHeight="1" x14ac:dyDescent="0.25">
      <c r="A976" s="7" t="s">
        <v>58</v>
      </c>
      <c r="B976" s="2" t="s">
        <v>12755</v>
      </c>
      <c r="C976" s="2" t="s">
        <v>12756</v>
      </c>
      <c r="D976" s="2" t="s">
        <v>12757</v>
      </c>
      <c r="F976" s="3" t="s">
        <v>58</v>
      </c>
      <c r="G976" s="3" t="s">
        <v>59</v>
      </c>
      <c r="H976" s="3" t="s">
        <v>58</v>
      </c>
      <c r="I976" s="3" t="s">
        <v>58</v>
      </c>
      <c r="J976" s="3" t="s">
        <v>60</v>
      </c>
      <c r="K976" s="2" t="s">
        <v>12758</v>
      </c>
      <c r="L976" s="2" t="s">
        <v>12759</v>
      </c>
      <c r="M976" s="3" t="s">
        <v>629</v>
      </c>
      <c r="O976" s="3" t="s">
        <v>65</v>
      </c>
      <c r="P976" s="3" t="s">
        <v>148</v>
      </c>
      <c r="R976" s="3" t="s">
        <v>67</v>
      </c>
      <c r="S976" s="4">
        <v>15</v>
      </c>
      <c r="T976" s="4">
        <v>15</v>
      </c>
      <c r="U976" s="5" t="s">
        <v>12760</v>
      </c>
      <c r="V976" s="5" t="s">
        <v>12760</v>
      </c>
      <c r="W976" s="5" t="s">
        <v>12761</v>
      </c>
      <c r="X976" s="5" t="s">
        <v>12761</v>
      </c>
      <c r="Y976" s="4">
        <v>884</v>
      </c>
      <c r="Z976" s="4">
        <v>846</v>
      </c>
      <c r="AA976" s="4">
        <v>852</v>
      </c>
      <c r="AB976" s="4">
        <v>7</v>
      </c>
      <c r="AC976" s="4">
        <v>7</v>
      </c>
      <c r="AD976" s="4">
        <v>35</v>
      </c>
      <c r="AE976" s="4">
        <v>35</v>
      </c>
      <c r="AF976" s="4">
        <v>11</v>
      </c>
      <c r="AG976" s="4">
        <v>11</v>
      </c>
      <c r="AH976" s="4">
        <v>8</v>
      </c>
      <c r="AI976" s="4">
        <v>8</v>
      </c>
      <c r="AJ976" s="4">
        <v>12</v>
      </c>
      <c r="AK976" s="4">
        <v>12</v>
      </c>
      <c r="AL976" s="4">
        <v>6</v>
      </c>
      <c r="AM976" s="4">
        <v>6</v>
      </c>
      <c r="AN976" s="4">
        <v>3</v>
      </c>
      <c r="AO976" s="4">
        <v>3</v>
      </c>
      <c r="AP976" s="3" t="s">
        <v>58</v>
      </c>
      <c r="AQ976" s="3" t="s">
        <v>58</v>
      </c>
      <c r="AS976" s="6" t="str">
        <f>HYPERLINK("https://creighton-primo.hosted.exlibrisgroup.com/primo-explore/search?tab=default_tab&amp;search_scope=EVERYTHING&amp;vid=01CRU&amp;lang=en_US&amp;offset=0&amp;query=any,contains,991002376949702656","Catalog Record")</f>
        <v>Catalog Record</v>
      </c>
      <c r="AT976" s="6" t="str">
        <f>HYPERLINK("http://www.worldcat.org/oclc/30895712","WorldCat Record")</f>
        <v>WorldCat Record</v>
      </c>
      <c r="AU976" s="3" t="s">
        <v>12762</v>
      </c>
      <c r="AV976" s="3" t="s">
        <v>12763</v>
      </c>
      <c r="AW976" s="3" t="s">
        <v>12764</v>
      </c>
      <c r="AX976" s="3" t="s">
        <v>12764</v>
      </c>
      <c r="AY976" s="3" t="s">
        <v>12765</v>
      </c>
      <c r="AZ976" s="3" t="s">
        <v>74</v>
      </c>
      <c r="BB976" s="3" t="s">
        <v>12766</v>
      </c>
      <c r="BC976" s="3" t="s">
        <v>12767</v>
      </c>
      <c r="BD976" s="3" t="s">
        <v>12768</v>
      </c>
    </row>
    <row r="977" spans="1:56" ht="45.75" customHeight="1" x14ac:dyDescent="0.25">
      <c r="A977" s="7" t="s">
        <v>58</v>
      </c>
      <c r="B977" s="2" t="s">
        <v>12769</v>
      </c>
      <c r="C977" s="2" t="s">
        <v>12770</v>
      </c>
      <c r="D977" s="2" t="s">
        <v>12771</v>
      </c>
      <c r="F977" s="3" t="s">
        <v>58</v>
      </c>
      <c r="G977" s="3" t="s">
        <v>59</v>
      </c>
      <c r="H977" s="3" t="s">
        <v>58</v>
      </c>
      <c r="I977" s="3" t="s">
        <v>58</v>
      </c>
      <c r="J977" s="3" t="s">
        <v>60</v>
      </c>
      <c r="L977" s="2" t="s">
        <v>12772</v>
      </c>
      <c r="M977" s="3" t="s">
        <v>1032</v>
      </c>
      <c r="O977" s="3" t="s">
        <v>65</v>
      </c>
      <c r="P977" s="3" t="s">
        <v>84</v>
      </c>
      <c r="R977" s="3" t="s">
        <v>67</v>
      </c>
      <c r="S977" s="4">
        <v>10</v>
      </c>
      <c r="T977" s="4">
        <v>10</v>
      </c>
      <c r="U977" s="5" t="s">
        <v>12773</v>
      </c>
      <c r="V977" s="5" t="s">
        <v>12773</v>
      </c>
      <c r="W977" s="5" t="s">
        <v>12774</v>
      </c>
      <c r="X977" s="5" t="s">
        <v>12774</v>
      </c>
      <c r="Y977" s="4">
        <v>705</v>
      </c>
      <c r="Z977" s="4">
        <v>632</v>
      </c>
      <c r="AA977" s="4">
        <v>743</v>
      </c>
      <c r="AB977" s="4">
        <v>6</v>
      </c>
      <c r="AC977" s="4">
        <v>6</v>
      </c>
      <c r="AD977" s="4">
        <v>33</v>
      </c>
      <c r="AE977" s="4">
        <v>38</v>
      </c>
      <c r="AF977" s="4">
        <v>14</v>
      </c>
      <c r="AG977" s="4">
        <v>18</v>
      </c>
      <c r="AH977" s="4">
        <v>7</v>
      </c>
      <c r="AI977" s="4">
        <v>9</v>
      </c>
      <c r="AJ977" s="4">
        <v>18</v>
      </c>
      <c r="AK977" s="4">
        <v>19</v>
      </c>
      <c r="AL977" s="4">
        <v>5</v>
      </c>
      <c r="AM977" s="4">
        <v>5</v>
      </c>
      <c r="AN977" s="4">
        <v>0</v>
      </c>
      <c r="AO977" s="4">
        <v>0</v>
      </c>
      <c r="AP977" s="3" t="s">
        <v>58</v>
      </c>
      <c r="AQ977" s="3" t="s">
        <v>58</v>
      </c>
      <c r="AS977" s="6" t="str">
        <f>HYPERLINK("https://creighton-primo.hosted.exlibrisgroup.com/primo-explore/search?tab=default_tab&amp;search_scope=EVERYTHING&amp;vid=01CRU&amp;lang=en_US&amp;offset=0&amp;query=any,contains,991002754099702656","Catalog Record")</f>
        <v>Catalog Record</v>
      </c>
      <c r="AT977" s="6" t="str">
        <f>HYPERLINK("http://www.worldcat.org/oclc/36130764","WorldCat Record")</f>
        <v>WorldCat Record</v>
      </c>
      <c r="AU977" s="3" t="s">
        <v>12775</v>
      </c>
      <c r="AV977" s="3" t="s">
        <v>12776</v>
      </c>
      <c r="AW977" s="3" t="s">
        <v>12777</v>
      </c>
      <c r="AX977" s="3" t="s">
        <v>12777</v>
      </c>
      <c r="AY977" s="3" t="s">
        <v>12778</v>
      </c>
      <c r="AZ977" s="3" t="s">
        <v>74</v>
      </c>
      <c r="BB977" s="3" t="s">
        <v>12779</v>
      </c>
      <c r="BC977" s="3" t="s">
        <v>12780</v>
      </c>
      <c r="BD977" s="3" t="s">
        <v>12781</v>
      </c>
    </row>
    <row r="978" spans="1:56" ht="45.75" customHeight="1" x14ac:dyDescent="0.25">
      <c r="A978" s="7" t="s">
        <v>58</v>
      </c>
      <c r="B978" s="2" t="s">
        <v>12782</v>
      </c>
      <c r="C978" s="2" t="s">
        <v>12783</v>
      </c>
      <c r="D978" s="2" t="s">
        <v>12784</v>
      </c>
      <c r="F978" s="3" t="s">
        <v>58</v>
      </c>
      <c r="G978" s="3" t="s">
        <v>59</v>
      </c>
      <c r="H978" s="3" t="s">
        <v>58</v>
      </c>
      <c r="I978" s="3" t="s">
        <v>58</v>
      </c>
      <c r="J978" s="3" t="s">
        <v>60</v>
      </c>
      <c r="L978" s="2" t="s">
        <v>500</v>
      </c>
      <c r="M978" s="3" t="s">
        <v>147</v>
      </c>
      <c r="O978" s="3" t="s">
        <v>65</v>
      </c>
      <c r="P978" s="3" t="s">
        <v>84</v>
      </c>
      <c r="Q978" s="2" t="s">
        <v>501</v>
      </c>
      <c r="R978" s="3" t="s">
        <v>67</v>
      </c>
      <c r="S978" s="4">
        <v>4</v>
      </c>
      <c r="T978" s="4">
        <v>4</v>
      </c>
      <c r="U978" s="5" t="s">
        <v>12785</v>
      </c>
      <c r="V978" s="5" t="s">
        <v>12785</v>
      </c>
      <c r="W978" s="5" t="s">
        <v>12786</v>
      </c>
      <c r="X978" s="5" t="s">
        <v>12786</v>
      </c>
      <c r="Y978" s="4">
        <v>481</v>
      </c>
      <c r="Z978" s="4">
        <v>412</v>
      </c>
      <c r="AA978" s="4">
        <v>415</v>
      </c>
      <c r="AB978" s="4">
        <v>8</v>
      </c>
      <c r="AC978" s="4">
        <v>8</v>
      </c>
      <c r="AD978" s="4">
        <v>24</v>
      </c>
      <c r="AE978" s="4">
        <v>24</v>
      </c>
      <c r="AF978" s="4">
        <v>5</v>
      </c>
      <c r="AG978" s="4">
        <v>5</v>
      </c>
      <c r="AH978" s="4">
        <v>5</v>
      </c>
      <c r="AI978" s="4">
        <v>5</v>
      </c>
      <c r="AJ978" s="4">
        <v>11</v>
      </c>
      <c r="AK978" s="4">
        <v>11</v>
      </c>
      <c r="AL978" s="4">
        <v>7</v>
      </c>
      <c r="AM978" s="4">
        <v>7</v>
      </c>
      <c r="AN978" s="4">
        <v>0</v>
      </c>
      <c r="AO978" s="4">
        <v>0</v>
      </c>
      <c r="AP978" s="3" t="s">
        <v>58</v>
      </c>
      <c r="AQ978" s="3" t="s">
        <v>58</v>
      </c>
      <c r="AS978" s="6" t="str">
        <f>HYPERLINK("https://creighton-primo.hosted.exlibrisgroup.com/primo-explore/search?tab=default_tab&amp;search_scope=EVERYTHING&amp;vid=01CRU&amp;lang=en_US&amp;offset=0&amp;query=any,contains,991004680949702656","Catalog Record")</f>
        <v>Catalog Record</v>
      </c>
      <c r="AT978" s="6" t="str">
        <f>HYPERLINK("http://www.worldcat.org/oclc/52942772","WorldCat Record")</f>
        <v>WorldCat Record</v>
      </c>
      <c r="AU978" s="3" t="s">
        <v>12787</v>
      </c>
      <c r="AV978" s="3" t="s">
        <v>12788</v>
      </c>
      <c r="AW978" s="3" t="s">
        <v>12789</v>
      </c>
      <c r="AX978" s="3" t="s">
        <v>12789</v>
      </c>
      <c r="AY978" s="3" t="s">
        <v>12790</v>
      </c>
      <c r="AZ978" s="3" t="s">
        <v>74</v>
      </c>
      <c r="BB978" s="3" t="s">
        <v>12791</v>
      </c>
      <c r="BC978" s="3" t="s">
        <v>12792</v>
      </c>
      <c r="BD978" s="3" t="s">
        <v>12793</v>
      </c>
    </row>
    <row r="979" spans="1:56" ht="45.75" customHeight="1" x14ac:dyDescent="0.25">
      <c r="A979" s="7" t="s">
        <v>58</v>
      </c>
      <c r="B979" s="2" t="s">
        <v>12794</v>
      </c>
      <c r="C979" s="2" t="s">
        <v>12795</v>
      </c>
      <c r="D979" s="2" t="s">
        <v>12796</v>
      </c>
      <c r="F979" s="3" t="s">
        <v>58</v>
      </c>
      <c r="G979" s="3" t="s">
        <v>59</v>
      </c>
      <c r="H979" s="3" t="s">
        <v>58</v>
      </c>
      <c r="I979" s="3" t="s">
        <v>58</v>
      </c>
      <c r="J979" s="3" t="s">
        <v>60</v>
      </c>
      <c r="L979" s="2" t="s">
        <v>12797</v>
      </c>
      <c r="M979" s="3" t="s">
        <v>713</v>
      </c>
      <c r="O979" s="3" t="s">
        <v>65</v>
      </c>
      <c r="P979" s="3" t="s">
        <v>190</v>
      </c>
      <c r="R979" s="3" t="s">
        <v>67</v>
      </c>
      <c r="S979" s="4">
        <v>7</v>
      </c>
      <c r="T979" s="4">
        <v>7</v>
      </c>
      <c r="U979" s="5" t="s">
        <v>11208</v>
      </c>
      <c r="V979" s="5" t="s">
        <v>11208</v>
      </c>
      <c r="W979" s="5" t="s">
        <v>12177</v>
      </c>
      <c r="X979" s="5" t="s">
        <v>12177</v>
      </c>
      <c r="Y979" s="4">
        <v>999</v>
      </c>
      <c r="Z979" s="4">
        <v>854</v>
      </c>
      <c r="AA979" s="4">
        <v>861</v>
      </c>
      <c r="AB979" s="4">
        <v>8</v>
      </c>
      <c r="AC979" s="4">
        <v>8</v>
      </c>
      <c r="AD979" s="4">
        <v>32</v>
      </c>
      <c r="AE979" s="4">
        <v>32</v>
      </c>
      <c r="AF979" s="4">
        <v>13</v>
      </c>
      <c r="AG979" s="4">
        <v>13</v>
      </c>
      <c r="AH979" s="4">
        <v>6</v>
      </c>
      <c r="AI979" s="4">
        <v>6</v>
      </c>
      <c r="AJ979" s="4">
        <v>14</v>
      </c>
      <c r="AK979" s="4">
        <v>14</v>
      </c>
      <c r="AL979" s="4">
        <v>5</v>
      </c>
      <c r="AM979" s="4">
        <v>5</v>
      </c>
      <c r="AN979" s="4">
        <v>0</v>
      </c>
      <c r="AO979" s="4">
        <v>0</v>
      </c>
      <c r="AP979" s="3" t="s">
        <v>58</v>
      </c>
      <c r="AQ979" s="3" t="s">
        <v>58</v>
      </c>
      <c r="AS979" s="6" t="str">
        <f>HYPERLINK("https://creighton-primo.hosted.exlibrisgroup.com/primo-explore/search?tab=default_tab&amp;search_scope=EVERYTHING&amp;vid=01CRU&amp;lang=en_US&amp;offset=0&amp;query=any,contains,991005039929702656","Catalog Record")</f>
        <v>Catalog Record</v>
      </c>
      <c r="AT979" s="6" t="str">
        <f>HYPERLINK("http://www.worldcat.org/oclc/6789242","WorldCat Record")</f>
        <v>WorldCat Record</v>
      </c>
      <c r="AU979" s="3" t="s">
        <v>12798</v>
      </c>
      <c r="AV979" s="3" t="s">
        <v>12799</v>
      </c>
      <c r="AW979" s="3" t="s">
        <v>12800</v>
      </c>
      <c r="AX979" s="3" t="s">
        <v>12800</v>
      </c>
      <c r="AY979" s="3" t="s">
        <v>12801</v>
      </c>
      <c r="AZ979" s="3" t="s">
        <v>74</v>
      </c>
      <c r="BB979" s="3" t="s">
        <v>12802</v>
      </c>
      <c r="BC979" s="3" t="s">
        <v>12803</v>
      </c>
      <c r="BD979" s="3" t="s">
        <v>12804</v>
      </c>
    </row>
    <row r="980" spans="1:56" ht="45.75" customHeight="1" x14ac:dyDescent="0.25">
      <c r="A980" s="7" t="s">
        <v>58</v>
      </c>
      <c r="B980" s="2" t="s">
        <v>12805</v>
      </c>
      <c r="C980" s="2" t="s">
        <v>12806</v>
      </c>
      <c r="D980" s="2" t="s">
        <v>12807</v>
      </c>
      <c r="F980" s="3" t="s">
        <v>58</v>
      </c>
      <c r="G980" s="3" t="s">
        <v>59</v>
      </c>
      <c r="H980" s="3" t="s">
        <v>58</v>
      </c>
      <c r="I980" s="3" t="s">
        <v>58</v>
      </c>
      <c r="J980" s="3" t="s">
        <v>60</v>
      </c>
      <c r="K980" s="2" t="s">
        <v>12808</v>
      </c>
      <c r="L980" s="2" t="s">
        <v>12809</v>
      </c>
      <c r="M980" s="3" t="s">
        <v>867</v>
      </c>
      <c r="O980" s="3" t="s">
        <v>65</v>
      </c>
      <c r="P980" s="3" t="s">
        <v>363</v>
      </c>
      <c r="R980" s="3" t="s">
        <v>67</v>
      </c>
      <c r="S980" s="4">
        <v>10</v>
      </c>
      <c r="T980" s="4">
        <v>10</v>
      </c>
      <c r="U980" s="5" t="s">
        <v>12176</v>
      </c>
      <c r="V980" s="5" t="s">
        <v>12176</v>
      </c>
      <c r="W980" s="5" t="s">
        <v>12810</v>
      </c>
      <c r="X980" s="5" t="s">
        <v>12810</v>
      </c>
      <c r="Y980" s="4">
        <v>91</v>
      </c>
      <c r="Z980" s="4">
        <v>86</v>
      </c>
      <c r="AA980" s="4">
        <v>95</v>
      </c>
      <c r="AB980" s="4">
        <v>2</v>
      </c>
      <c r="AC980" s="4">
        <v>2</v>
      </c>
      <c r="AD980" s="4">
        <v>8</v>
      </c>
      <c r="AE980" s="4">
        <v>8</v>
      </c>
      <c r="AF980" s="4">
        <v>1</v>
      </c>
      <c r="AG980" s="4">
        <v>1</v>
      </c>
      <c r="AH980" s="4">
        <v>2</v>
      </c>
      <c r="AI980" s="4">
        <v>2</v>
      </c>
      <c r="AJ980" s="4">
        <v>3</v>
      </c>
      <c r="AK980" s="4">
        <v>3</v>
      </c>
      <c r="AL980" s="4">
        <v>1</v>
      </c>
      <c r="AM980" s="4">
        <v>1</v>
      </c>
      <c r="AN980" s="4">
        <v>2</v>
      </c>
      <c r="AO980" s="4">
        <v>2</v>
      </c>
      <c r="AP980" s="3" t="s">
        <v>87</v>
      </c>
      <c r="AQ980" s="3" t="s">
        <v>58</v>
      </c>
      <c r="AR980" s="6" t="str">
        <f>HYPERLINK("http://catalog.hathitrust.org/Record/102717048","HathiTrust Record")</f>
        <v>HathiTrust Record</v>
      </c>
      <c r="AS980" s="6" t="str">
        <f>HYPERLINK("https://creighton-primo.hosted.exlibrisgroup.com/primo-explore/search?tab=default_tab&amp;search_scope=EVERYTHING&amp;vid=01CRU&amp;lang=en_US&amp;offset=0&amp;query=any,contains,991002235859702656","Catalog Record")</f>
        <v>Catalog Record</v>
      </c>
      <c r="AT980" s="6" t="str">
        <f>HYPERLINK("http://www.worldcat.org/oclc/28843329","WorldCat Record")</f>
        <v>WorldCat Record</v>
      </c>
      <c r="AU980" s="3" t="s">
        <v>12811</v>
      </c>
      <c r="AV980" s="3" t="s">
        <v>12812</v>
      </c>
      <c r="AW980" s="3" t="s">
        <v>12813</v>
      </c>
      <c r="AX980" s="3" t="s">
        <v>12813</v>
      </c>
      <c r="AY980" s="3" t="s">
        <v>12814</v>
      </c>
      <c r="AZ980" s="3" t="s">
        <v>74</v>
      </c>
      <c r="BC980" s="3" t="s">
        <v>12815</v>
      </c>
      <c r="BD980" s="3" t="s">
        <v>12816</v>
      </c>
    </row>
    <row r="981" spans="1:56" ht="45.75" customHeight="1" x14ac:dyDescent="0.25">
      <c r="A981" s="7" t="s">
        <v>58</v>
      </c>
      <c r="B981" s="2" t="s">
        <v>12817</v>
      </c>
      <c r="C981" s="2" t="s">
        <v>12818</v>
      </c>
      <c r="D981" s="2" t="s">
        <v>12819</v>
      </c>
      <c r="F981" s="3" t="s">
        <v>58</v>
      </c>
      <c r="G981" s="3" t="s">
        <v>59</v>
      </c>
      <c r="H981" s="3" t="s">
        <v>58</v>
      </c>
      <c r="I981" s="3" t="s">
        <v>58</v>
      </c>
      <c r="J981" s="3" t="s">
        <v>60</v>
      </c>
      <c r="K981" s="2" t="s">
        <v>12820</v>
      </c>
      <c r="L981" s="2" t="s">
        <v>12821</v>
      </c>
      <c r="M981" s="3" t="s">
        <v>189</v>
      </c>
      <c r="O981" s="3" t="s">
        <v>65</v>
      </c>
      <c r="P981" s="3" t="s">
        <v>772</v>
      </c>
      <c r="R981" s="3" t="s">
        <v>67</v>
      </c>
      <c r="S981" s="4">
        <v>1</v>
      </c>
      <c r="T981" s="4">
        <v>1</v>
      </c>
      <c r="U981" s="5" t="s">
        <v>1610</v>
      </c>
      <c r="V981" s="5" t="s">
        <v>1610</v>
      </c>
      <c r="W981" s="5" t="s">
        <v>1610</v>
      </c>
      <c r="X981" s="5" t="s">
        <v>1610</v>
      </c>
      <c r="Y981" s="4">
        <v>222</v>
      </c>
      <c r="Z981" s="4">
        <v>196</v>
      </c>
      <c r="AA981" s="4">
        <v>201</v>
      </c>
      <c r="AB981" s="4">
        <v>3</v>
      </c>
      <c r="AC981" s="4">
        <v>3</v>
      </c>
      <c r="AD981" s="4">
        <v>9</v>
      </c>
      <c r="AE981" s="4">
        <v>9</v>
      </c>
      <c r="AF981" s="4">
        <v>3</v>
      </c>
      <c r="AG981" s="4">
        <v>3</v>
      </c>
      <c r="AH981" s="4">
        <v>0</v>
      </c>
      <c r="AI981" s="4">
        <v>0</v>
      </c>
      <c r="AJ981" s="4">
        <v>5</v>
      </c>
      <c r="AK981" s="4">
        <v>5</v>
      </c>
      <c r="AL981" s="4">
        <v>1</v>
      </c>
      <c r="AM981" s="4">
        <v>1</v>
      </c>
      <c r="AN981" s="4">
        <v>1</v>
      </c>
      <c r="AO981" s="4">
        <v>1</v>
      </c>
      <c r="AP981" s="3" t="s">
        <v>58</v>
      </c>
      <c r="AQ981" s="3" t="s">
        <v>58</v>
      </c>
      <c r="AS981" s="6" t="str">
        <f>HYPERLINK("https://creighton-primo.hosted.exlibrisgroup.com/primo-explore/search?tab=default_tab&amp;search_scope=EVERYTHING&amp;vid=01CRU&amp;lang=en_US&amp;offset=0&amp;query=any,contains,991005334659702656","Catalog Record")</f>
        <v>Catalog Record</v>
      </c>
      <c r="AT981" s="6" t="str">
        <f>HYPERLINK("http://www.worldcat.org/oclc/317361697","WorldCat Record")</f>
        <v>WorldCat Record</v>
      </c>
      <c r="AU981" s="3" t="s">
        <v>12822</v>
      </c>
      <c r="AV981" s="3" t="s">
        <v>12823</v>
      </c>
      <c r="AW981" s="3" t="s">
        <v>12824</v>
      </c>
      <c r="AX981" s="3" t="s">
        <v>12824</v>
      </c>
      <c r="AY981" s="3" t="s">
        <v>12825</v>
      </c>
      <c r="AZ981" s="3" t="s">
        <v>74</v>
      </c>
      <c r="BB981" s="3" t="s">
        <v>12826</v>
      </c>
      <c r="BC981" s="3" t="s">
        <v>12827</v>
      </c>
      <c r="BD981" s="3" t="s">
        <v>12828</v>
      </c>
    </row>
    <row r="982" spans="1:56" ht="45.75" customHeight="1" x14ac:dyDescent="0.25">
      <c r="A982" s="7" t="s">
        <v>58</v>
      </c>
      <c r="B982" s="2" t="s">
        <v>12829</v>
      </c>
      <c r="C982" s="2" t="s">
        <v>12830</v>
      </c>
      <c r="D982" s="2" t="s">
        <v>12831</v>
      </c>
      <c r="F982" s="3" t="s">
        <v>58</v>
      </c>
      <c r="G982" s="3" t="s">
        <v>59</v>
      </c>
      <c r="H982" s="3" t="s">
        <v>58</v>
      </c>
      <c r="I982" s="3" t="s">
        <v>58</v>
      </c>
      <c r="J982" s="3" t="s">
        <v>60</v>
      </c>
      <c r="K982" s="2" t="s">
        <v>12832</v>
      </c>
      <c r="L982" s="2" t="s">
        <v>12833</v>
      </c>
      <c r="M982" s="3" t="s">
        <v>923</v>
      </c>
      <c r="O982" s="3" t="s">
        <v>65</v>
      </c>
      <c r="P982" s="3" t="s">
        <v>132</v>
      </c>
      <c r="R982" s="3" t="s">
        <v>67</v>
      </c>
      <c r="S982" s="4">
        <v>7</v>
      </c>
      <c r="T982" s="4">
        <v>7</v>
      </c>
      <c r="U982" s="5" t="s">
        <v>12834</v>
      </c>
      <c r="V982" s="5" t="s">
        <v>12834</v>
      </c>
      <c r="W982" s="5" t="s">
        <v>4279</v>
      </c>
      <c r="X982" s="5" t="s">
        <v>4279</v>
      </c>
      <c r="Y982" s="4">
        <v>317</v>
      </c>
      <c r="Z982" s="4">
        <v>290</v>
      </c>
      <c r="AA982" s="4">
        <v>297</v>
      </c>
      <c r="AB982" s="4">
        <v>5</v>
      </c>
      <c r="AC982" s="4">
        <v>5</v>
      </c>
      <c r="AD982" s="4">
        <v>15</v>
      </c>
      <c r="AE982" s="4">
        <v>15</v>
      </c>
      <c r="AF982" s="4">
        <v>6</v>
      </c>
      <c r="AG982" s="4">
        <v>6</v>
      </c>
      <c r="AH982" s="4">
        <v>1</v>
      </c>
      <c r="AI982" s="4">
        <v>1</v>
      </c>
      <c r="AJ982" s="4">
        <v>7</v>
      </c>
      <c r="AK982" s="4">
        <v>7</v>
      </c>
      <c r="AL982" s="4">
        <v>4</v>
      </c>
      <c r="AM982" s="4">
        <v>4</v>
      </c>
      <c r="AN982" s="4">
        <v>0</v>
      </c>
      <c r="AO982" s="4">
        <v>0</v>
      </c>
      <c r="AP982" s="3" t="s">
        <v>58</v>
      </c>
      <c r="AQ982" s="3" t="s">
        <v>87</v>
      </c>
      <c r="AR982" s="6" t="str">
        <f>HYPERLINK("http://catalog.hathitrust.org/Record/000763570","HathiTrust Record")</f>
        <v>HathiTrust Record</v>
      </c>
      <c r="AS982" s="6" t="str">
        <f>HYPERLINK("https://creighton-primo.hosted.exlibrisgroup.com/primo-explore/search?tab=default_tab&amp;search_scope=EVERYTHING&amp;vid=01CRU&amp;lang=en_US&amp;offset=0&amp;query=any,contains,991005230889702656","Catalog Record")</f>
        <v>Catalog Record</v>
      </c>
      <c r="AT982" s="6" t="str">
        <f>HYPERLINK("http://www.worldcat.org/oclc/8762662","WorldCat Record")</f>
        <v>WorldCat Record</v>
      </c>
      <c r="AU982" s="3" t="s">
        <v>12835</v>
      </c>
      <c r="AV982" s="3" t="s">
        <v>12836</v>
      </c>
      <c r="AW982" s="3" t="s">
        <v>12837</v>
      </c>
      <c r="AX982" s="3" t="s">
        <v>12837</v>
      </c>
      <c r="AY982" s="3" t="s">
        <v>12838</v>
      </c>
      <c r="AZ982" s="3" t="s">
        <v>74</v>
      </c>
      <c r="BB982" s="3" t="s">
        <v>12839</v>
      </c>
      <c r="BC982" s="3" t="s">
        <v>12840</v>
      </c>
      <c r="BD982" s="3" t="s">
        <v>12841</v>
      </c>
    </row>
    <row r="983" spans="1:56" ht="45.75" customHeight="1" x14ac:dyDescent="0.25">
      <c r="A983" s="7" t="s">
        <v>58</v>
      </c>
      <c r="B983" s="2" t="s">
        <v>12842</v>
      </c>
      <c r="C983" s="2" t="s">
        <v>12843</v>
      </c>
      <c r="D983" s="2" t="s">
        <v>12844</v>
      </c>
      <c r="F983" s="3" t="s">
        <v>58</v>
      </c>
      <c r="G983" s="3" t="s">
        <v>59</v>
      </c>
      <c r="H983" s="3" t="s">
        <v>58</v>
      </c>
      <c r="I983" s="3" t="s">
        <v>58</v>
      </c>
      <c r="J983" s="3" t="s">
        <v>60</v>
      </c>
      <c r="K983" s="2" t="s">
        <v>12845</v>
      </c>
      <c r="L983" s="2" t="s">
        <v>12846</v>
      </c>
      <c r="M983" s="3" t="s">
        <v>3601</v>
      </c>
      <c r="O983" s="3" t="s">
        <v>65</v>
      </c>
      <c r="P983" s="3" t="s">
        <v>84</v>
      </c>
      <c r="R983" s="3" t="s">
        <v>67</v>
      </c>
      <c r="S983" s="4">
        <v>6</v>
      </c>
      <c r="T983" s="4">
        <v>6</v>
      </c>
      <c r="U983" s="5" t="s">
        <v>12847</v>
      </c>
      <c r="V983" s="5" t="s">
        <v>12847</v>
      </c>
      <c r="W983" s="5" t="s">
        <v>4216</v>
      </c>
      <c r="X983" s="5" t="s">
        <v>4216</v>
      </c>
      <c r="Y983" s="4">
        <v>1128</v>
      </c>
      <c r="Z983" s="4">
        <v>1013</v>
      </c>
      <c r="AA983" s="4">
        <v>1324</v>
      </c>
      <c r="AB983" s="4">
        <v>10</v>
      </c>
      <c r="AC983" s="4">
        <v>16</v>
      </c>
      <c r="AD983" s="4">
        <v>26</v>
      </c>
      <c r="AE983" s="4">
        <v>35</v>
      </c>
      <c r="AF983" s="4">
        <v>10</v>
      </c>
      <c r="AG983" s="4">
        <v>13</v>
      </c>
      <c r="AH983" s="4">
        <v>3</v>
      </c>
      <c r="AI983" s="4">
        <v>5</v>
      </c>
      <c r="AJ983" s="4">
        <v>9</v>
      </c>
      <c r="AK983" s="4">
        <v>10</v>
      </c>
      <c r="AL983" s="4">
        <v>2</v>
      </c>
      <c r="AM983" s="4">
        <v>6</v>
      </c>
      <c r="AN983" s="4">
        <v>6</v>
      </c>
      <c r="AO983" s="4">
        <v>6</v>
      </c>
      <c r="AP983" s="3" t="s">
        <v>58</v>
      </c>
      <c r="AQ983" s="3" t="s">
        <v>87</v>
      </c>
      <c r="AR983" s="6" t="str">
        <f>HYPERLINK("http://catalog.hathitrust.org/Record/001132516","HathiTrust Record")</f>
        <v>HathiTrust Record</v>
      </c>
      <c r="AS983" s="6" t="str">
        <f>HYPERLINK("https://creighton-primo.hosted.exlibrisgroup.com/primo-explore/search?tab=default_tab&amp;search_scope=EVERYTHING&amp;vid=01CRU&amp;lang=en_US&amp;offset=0&amp;query=any,contains,991003246759702656","Catalog Record")</f>
        <v>Catalog Record</v>
      </c>
      <c r="AT983" s="6" t="str">
        <f>HYPERLINK("http://www.worldcat.org/oclc/771314","WorldCat Record")</f>
        <v>WorldCat Record</v>
      </c>
      <c r="AU983" s="3" t="s">
        <v>12848</v>
      </c>
      <c r="AV983" s="3" t="s">
        <v>12849</v>
      </c>
      <c r="AW983" s="3" t="s">
        <v>12850</v>
      </c>
      <c r="AX983" s="3" t="s">
        <v>12850</v>
      </c>
      <c r="AY983" s="3" t="s">
        <v>12851</v>
      </c>
      <c r="AZ983" s="3" t="s">
        <v>74</v>
      </c>
      <c r="BC983" s="3" t="s">
        <v>12852</v>
      </c>
      <c r="BD983" s="3" t="s">
        <v>12853</v>
      </c>
    </row>
    <row r="984" spans="1:56" ht="45.75" customHeight="1" x14ac:dyDescent="0.25">
      <c r="A984" s="7" t="s">
        <v>58</v>
      </c>
      <c r="B984" s="2" t="s">
        <v>12854</v>
      </c>
      <c r="C984" s="2" t="s">
        <v>12855</v>
      </c>
      <c r="D984" s="2" t="s">
        <v>12856</v>
      </c>
      <c r="F984" s="3" t="s">
        <v>58</v>
      </c>
      <c r="G984" s="3" t="s">
        <v>59</v>
      </c>
      <c r="H984" s="3" t="s">
        <v>58</v>
      </c>
      <c r="I984" s="3" t="s">
        <v>58</v>
      </c>
      <c r="J984" s="3" t="s">
        <v>60</v>
      </c>
      <c r="K984" s="2" t="s">
        <v>10566</v>
      </c>
      <c r="L984" s="2" t="s">
        <v>12857</v>
      </c>
      <c r="M984" s="3" t="s">
        <v>1500</v>
      </c>
      <c r="O984" s="3" t="s">
        <v>65</v>
      </c>
      <c r="P984" s="3" t="s">
        <v>148</v>
      </c>
      <c r="R984" s="3" t="s">
        <v>67</v>
      </c>
      <c r="S984" s="4">
        <v>9</v>
      </c>
      <c r="T984" s="4">
        <v>9</v>
      </c>
      <c r="U984" s="5" t="s">
        <v>12858</v>
      </c>
      <c r="V984" s="5" t="s">
        <v>12858</v>
      </c>
      <c r="W984" s="5" t="s">
        <v>9575</v>
      </c>
      <c r="X984" s="5" t="s">
        <v>9575</v>
      </c>
      <c r="Y984" s="4">
        <v>829</v>
      </c>
      <c r="Z984" s="4">
        <v>720</v>
      </c>
      <c r="AA984" s="4">
        <v>863</v>
      </c>
      <c r="AB984" s="4">
        <v>8</v>
      </c>
      <c r="AC984" s="4">
        <v>10</v>
      </c>
      <c r="AD984" s="4">
        <v>32</v>
      </c>
      <c r="AE984" s="4">
        <v>40</v>
      </c>
      <c r="AF984" s="4">
        <v>14</v>
      </c>
      <c r="AG984" s="4">
        <v>16</v>
      </c>
      <c r="AH984" s="4">
        <v>5</v>
      </c>
      <c r="AI984" s="4">
        <v>7</v>
      </c>
      <c r="AJ984" s="4">
        <v>9</v>
      </c>
      <c r="AK984" s="4">
        <v>13</v>
      </c>
      <c r="AL984" s="4">
        <v>6</v>
      </c>
      <c r="AM984" s="4">
        <v>8</v>
      </c>
      <c r="AN984" s="4">
        <v>4</v>
      </c>
      <c r="AO984" s="4">
        <v>4</v>
      </c>
      <c r="AP984" s="3" t="s">
        <v>58</v>
      </c>
      <c r="AQ984" s="3" t="s">
        <v>87</v>
      </c>
      <c r="AR984" s="6" t="str">
        <f>HYPERLINK("http://catalog.hathitrust.org/Record/000083932","HathiTrust Record")</f>
        <v>HathiTrust Record</v>
      </c>
      <c r="AS984" s="6" t="str">
        <f>HYPERLINK("https://creighton-primo.hosted.exlibrisgroup.com/primo-explore/search?tab=default_tab&amp;search_scope=EVERYTHING&amp;vid=01CRU&amp;lang=en_US&amp;offset=0&amp;query=any,contains,991004950999702656","Catalog Record")</f>
        <v>Catalog Record</v>
      </c>
      <c r="AT984" s="6" t="str">
        <f>HYPERLINK("http://www.worldcat.org/oclc/6249836","WorldCat Record")</f>
        <v>WorldCat Record</v>
      </c>
      <c r="AU984" s="3" t="s">
        <v>12859</v>
      </c>
      <c r="AV984" s="3" t="s">
        <v>12860</v>
      </c>
      <c r="AW984" s="3" t="s">
        <v>12861</v>
      </c>
      <c r="AX984" s="3" t="s">
        <v>12861</v>
      </c>
      <c r="AY984" s="3" t="s">
        <v>12862</v>
      </c>
      <c r="AZ984" s="3" t="s">
        <v>74</v>
      </c>
      <c r="BB984" s="3" t="s">
        <v>12863</v>
      </c>
      <c r="BC984" s="3" t="s">
        <v>12864</v>
      </c>
      <c r="BD984" s="3" t="s">
        <v>12865</v>
      </c>
    </row>
    <row r="985" spans="1:56" ht="45.75" customHeight="1" x14ac:dyDescent="0.25">
      <c r="A985" s="7" t="s">
        <v>58</v>
      </c>
      <c r="B985" s="2" t="s">
        <v>12866</v>
      </c>
      <c r="C985" s="2" t="s">
        <v>12867</v>
      </c>
      <c r="D985" s="2" t="s">
        <v>12868</v>
      </c>
      <c r="F985" s="3" t="s">
        <v>58</v>
      </c>
      <c r="G985" s="3" t="s">
        <v>59</v>
      </c>
      <c r="H985" s="3" t="s">
        <v>87</v>
      </c>
      <c r="I985" s="3" t="s">
        <v>58</v>
      </c>
      <c r="J985" s="3" t="s">
        <v>60</v>
      </c>
      <c r="K985" s="2" t="s">
        <v>12869</v>
      </c>
      <c r="L985" s="2" t="s">
        <v>12870</v>
      </c>
      <c r="M985" s="3" t="s">
        <v>867</v>
      </c>
      <c r="O985" s="3" t="s">
        <v>65</v>
      </c>
      <c r="P985" s="3" t="s">
        <v>84</v>
      </c>
      <c r="R985" s="3" t="s">
        <v>67</v>
      </c>
      <c r="S985" s="4">
        <v>18</v>
      </c>
      <c r="T985" s="4">
        <v>21</v>
      </c>
      <c r="U985" s="5" t="s">
        <v>4859</v>
      </c>
      <c r="V985" s="5" t="s">
        <v>4859</v>
      </c>
      <c r="W985" s="5" t="s">
        <v>869</v>
      </c>
      <c r="X985" s="5" t="s">
        <v>11876</v>
      </c>
      <c r="Y985" s="4">
        <v>583</v>
      </c>
      <c r="Z985" s="4">
        <v>532</v>
      </c>
      <c r="AA985" s="4">
        <v>581</v>
      </c>
      <c r="AB985" s="4">
        <v>4</v>
      </c>
      <c r="AC985" s="4">
        <v>4</v>
      </c>
      <c r="AD985" s="4">
        <v>33</v>
      </c>
      <c r="AE985" s="4">
        <v>35</v>
      </c>
      <c r="AF985" s="4">
        <v>6</v>
      </c>
      <c r="AG985" s="4">
        <v>8</v>
      </c>
      <c r="AH985" s="4">
        <v>7</v>
      </c>
      <c r="AI985" s="4">
        <v>8</v>
      </c>
      <c r="AJ985" s="4">
        <v>10</v>
      </c>
      <c r="AK985" s="4">
        <v>10</v>
      </c>
      <c r="AL985" s="4">
        <v>2</v>
      </c>
      <c r="AM985" s="4">
        <v>2</v>
      </c>
      <c r="AN985" s="4">
        <v>12</v>
      </c>
      <c r="AO985" s="4">
        <v>12</v>
      </c>
      <c r="AP985" s="3" t="s">
        <v>58</v>
      </c>
      <c r="AQ985" s="3" t="s">
        <v>58</v>
      </c>
      <c r="AS985" s="6" t="str">
        <f>HYPERLINK("https://creighton-primo.hosted.exlibrisgroup.com/primo-explore/search?tab=default_tab&amp;search_scope=EVERYTHING&amp;vid=01CRU&amp;lang=en_US&amp;offset=0&amp;query=any,contains,991001652789702656","Catalog Record")</f>
        <v>Catalog Record</v>
      </c>
      <c r="AT985" s="6" t="str">
        <f>HYPERLINK("http://www.worldcat.org/oclc/25712575","WorldCat Record")</f>
        <v>WorldCat Record</v>
      </c>
      <c r="AU985" s="3" t="s">
        <v>12871</v>
      </c>
      <c r="AV985" s="3" t="s">
        <v>12872</v>
      </c>
      <c r="AW985" s="3" t="s">
        <v>12873</v>
      </c>
      <c r="AX985" s="3" t="s">
        <v>12873</v>
      </c>
      <c r="AY985" s="3" t="s">
        <v>12874</v>
      </c>
      <c r="AZ985" s="3" t="s">
        <v>74</v>
      </c>
      <c r="BB985" s="3" t="s">
        <v>12875</v>
      </c>
      <c r="BC985" s="3" t="s">
        <v>12876</v>
      </c>
      <c r="BD985" s="3" t="s">
        <v>12877</v>
      </c>
    </row>
    <row r="986" spans="1:56" ht="45.75" customHeight="1" x14ac:dyDescent="0.25">
      <c r="A986" s="7" t="s">
        <v>58</v>
      </c>
      <c r="B986" s="2" t="s">
        <v>12878</v>
      </c>
      <c r="C986" s="2" t="s">
        <v>12879</v>
      </c>
      <c r="D986" s="2" t="s">
        <v>12880</v>
      </c>
      <c r="F986" s="3" t="s">
        <v>58</v>
      </c>
      <c r="G986" s="3" t="s">
        <v>59</v>
      </c>
      <c r="H986" s="3" t="s">
        <v>58</v>
      </c>
      <c r="I986" s="3" t="s">
        <v>58</v>
      </c>
      <c r="J986" s="3" t="s">
        <v>60</v>
      </c>
      <c r="L986" s="2" t="s">
        <v>12881</v>
      </c>
      <c r="M986" s="3" t="s">
        <v>742</v>
      </c>
      <c r="O986" s="3" t="s">
        <v>65</v>
      </c>
      <c r="P986" s="3" t="s">
        <v>66</v>
      </c>
      <c r="R986" s="3" t="s">
        <v>67</v>
      </c>
      <c r="S986" s="4">
        <v>14</v>
      </c>
      <c r="T986" s="4">
        <v>14</v>
      </c>
      <c r="U986" s="5" t="s">
        <v>12882</v>
      </c>
      <c r="V986" s="5" t="s">
        <v>12882</v>
      </c>
      <c r="W986" s="5" t="s">
        <v>4279</v>
      </c>
      <c r="X986" s="5" t="s">
        <v>4279</v>
      </c>
      <c r="Y986" s="4">
        <v>205</v>
      </c>
      <c r="Z986" s="4">
        <v>181</v>
      </c>
      <c r="AA986" s="4">
        <v>184</v>
      </c>
      <c r="AB986" s="4">
        <v>3</v>
      </c>
      <c r="AC986" s="4">
        <v>3</v>
      </c>
      <c r="AD986" s="4">
        <v>8</v>
      </c>
      <c r="AE986" s="4">
        <v>8</v>
      </c>
      <c r="AF986" s="4">
        <v>2</v>
      </c>
      <c r="AG986" s="4">
        <v>2</v>
      </c>
      <c r="AH986" s="4">
        <v>2</v>
      </c>
      <c r="AI986" s="4">
        <v>2</v>
      </c>
      <c r="AJ986" s="4">
        <v>3</v>
      </c>
      <c r="AK986" s="4">
        <v>3</v>
      </c>
      <c r="AL986" s="4">
        <v>2</v>
      </c>
      <c r="AM986" s="4">
        <v>2</v>
      </c>
      <c r="AN986" s="4">
        <v>0</v>
      </c>
      <c r="AO986" s="4">
        <v>0</v>
      </c>
      <c r="AP986" s="3" t="s">
        <v>58</v>
      </c>
      <c r="AQ986" s="3" t="s">
        <v>87</v>
      </c>
      <c r="AR986" s="6" t="str">
        <f>HYPERLINK("http://catalog.hathitrust.org/Record/001105219","HathiTrust Record")</f>
        <v>HathiTrust Record</v>
      </c>
      <c r="AS986" s="6" t="str">
        <f>HYPERLINK("https://creighton-primo.hosted.exlibrisgroup.com/primo-explore/search?tab=default_tab&amp;search_scope=EVERYTHING&amp;vid=01CRU&amp;lang=en_US&amp;offset=0&amp;query=any,contains,991001416439702656","Catalog Record")</f>
        <v>Catalog Record</v>
      </c>
      <c r="AT986" s="6" t="str">
        <f>HYPERLINK("http://www.worldcat.org/oclc/18949360","WorldCat Record")</f>
        <v>WorldCat Record</v>
      </c>
      <c r="AU986" s="3" t="s">
        <v>12883</v>
      </c>
      <c r="AV986" s="3" t="s">
        <v>12884</v>
      </c>
      <c r="AW986" s="3" t="s">
        <v>12885</v>
      </c>
      <c r="AX986" s="3" t="s">
        <v>12885</v>
      </c>
      <c r="AY986" s="3" t="s">
        <v>12886</v>
      </c>
      <c r="AZ986" s="3" t="s">
        <v>74</v>
      </c>
      <c r="BB986" s="3" t="s">
        <v>12887</v>
      </c>
      <c r="BC986" s="3" t="s">
        <v>12888</v>
      </c>
      <c r="BD986" s="3" t="s">
        <v>12889</v>
      </c>
    </row>
    <row r="987" spans="1:56" ht="45.75" customHeight="1" x14ac:dyDescent="0.25">
      <c r="A987" s="7" t="s">
        <v>58</v>
      </c>
      <c r="B987" s="2" t="s">
        <v>12890</v>
      </c>
      <c r="C987" s="2" t="s">
        <v>12891</v>
      </c>
      <c r="D987" s="2" t="s">
        <v>12892</v>
      </c>
      <c r="F987" s="3" t="s">
        <v>58</v>
      </c>
      <c r="G987" s="3" t="s">
        <v>59</v>
      </c>
      <c r="H987" s="3" t="s">
        <v>58</v>
      </c>
      <c r="I987" s="3" t="s">
        <v>58</v>
      </c>
      <c r="J987" s="3" t="s">
        <v>60</v>
      </c>
      <c r="K987" s="2" t="s">
        <v>12893</v>
      </c>
      <c r="L987" s="2" t="s">
        <v>12894</v>
      </c>
      <c r="M987" s="3" t="s">
        <v>263</v>
      </c>
      <c r="O987" s="3" t="s">
        <v>65</v>
      </c>
      <c r="P987" s="3" t="s">
        <v>587</v>
      </c>
      <c r="Q987" s="2" t="s">
        <v>12895</v>
      </c>
      <c r="R987" s="3" t="s">
        <v>67</v>
      </c>
      <c r="S987" s="4">
        <v>7</v>
      </c>
      <c r="T987" s="4">
        <v>7</v>
      </c>
      <c r="U987" s="5" t="s">
        <v>12031</v>
      </c>
      <c r="V987" s="5" t="s">
        <v>12031</v>
      </c>
      <c r="W987" s="5" t="s">
        <v>294</v>
      </c>
      <c r="X987" s="5" t="s">
        <v>294</v>
      </c>
      <c r="Y987" s="4">
        <v>658</v>
      </c>
      <c r="Z987" s="4">
        <v>589</v>
      </c>
      <c r="AA987" s="4">
        <v>755</v>
      </c>
      <c r="AB987" s="4">
        <v>6</v>
      </c>
      <c r="AC987" s="4">
        <v>6</v>
      </c>
      <c r="AD987" s="4">
        <v>27</v>
      </c>
      <c r="AE987" s="4">
        <v>34</v>
      </c>
      <c r="AF987" s="4">
        <v>11</v>
      </c>
      <c r="AG987" s="4">
        <v>16</v>
      </c>
      <c r="AH987" s="4">
        <v>7</v>
      </c>
      <c r="AI987" s="4">
        <v>9</v>
      </c>
      <c r="AJ987" s="4">
        <v>14</v>
      </c>
      <c r="AK987" s="4">
        <v>15</v>
      </c>
      <c r="AL987" s="4">
        <v>5</v>
      </c>
      <c r="AM987" s="4">
        <v>5</v>
      </c>
      <c r="AN987" s="4">
        <v>0</v>
      </c>
      <c r="AO987" s="4">
        <v>0</v>
      </c>
      <c r="AP987" s="3" t="s">
        <v>58</v>
      </c>
      <c r="AQ987" s="3" t="s">
        <v>58</v>
      </c>
      <c r="AS987" s="6" t="str">
        <f>HYPERLINK("https://creighton-primo.hosted.exlibrisgroup.com/primo-explore/search?tab=default_tab&amp;search_scope=EVERYTHING&amp;vid=01CRU&amp;lang=en_US&amp;offset=0&amp;query=any,contains,991003474179702656","Catalog Record")</f>
        <v>Catalog Record</v>
      </c>
      <c r="AT987" s="6" t="str">
        <f>HYPERLINK("http://www.worldcat.org/oclc/34283281","WorldCat Record")</f>
        <v>WorldCat Record</v>
      </c>
      <c r="AU987" s="3" t="s">
        <v>12896</v>
      </c>
      <c r="AV987" s="3" t="s">
        <v>12897</v>
      </c>
      <c r="AW987" s="3" t="s">
        <v>12898</v>
      </c>
      <c r="AX987" s="3" t="s">
        <v>12898</v>
      </c>
      <c r="AY987" s="3" t="s">
        <v>12899</v>
      </c>
      <c r="AZ987" s="3" t="s">
        <v>74</v>
      </c>
      <c r="BB987" s="3" t="s">
        <v>12900</v>
      </c>
      <c r="BC987" s="3" t="s">
        <v>12901</v>
      </c>
      <c r="BD987" s="3" t="s">
        <v>12902</v>
      </c>
    </row>
    <row r="988" spans="1:56" ht="45.75" customHeight="1" x14ac:dyDescent="0.25">
      <c r="A988" s="7" t="s">
        <v>58</v>
      </c>
      <c r="B988" s="2" t="s">
        <v>12903</v>
      </c>
      <c r="C988" s="2" t="s">
        <v>12904</v>
      </c>
      <c r="D988" s="2" t="s">
        <v>12905</v>
      </c>
      <c r="F988" s="3" t="s">
        <v>58</v>
      </c>
      <c r="G988" s="3" t="s">
        <v>59</v>
      </c>
      <c r="H988" s="3" t="s">
        <v>58</v>
      </c>
      <c r="I988" s="3" t="s">
        <v>87</v>
      </c>
      <c r="J988" s="3" t="s">
        <v>60</v>
      </c>
      <c r="K988" s="2" t="s">
        <v>12906</v>
      </c>
      <c r="L988" s="2" t="s">
        <v>12907</v>
      </c>
      <c r="M988" s="3" t="s">
        <v>1998</v>
      </c>
      <c r="N988" s="2" t="s">
        <v>1624</v>
      </c>
      <c r="O988" s="3" t="s">
        <v>65</v>
      </c>
      <c r="P988" s="3" t="s">
        <v>190</v>
      </c>
      <c r="R988" s="3" t="s">
        <v>67</v>
      </c>
      <c r="S988" s="4">
        <v>10</v>
      </c>
      <c r="T988" s="4">
        <v>10</v>
      </c>
      <c r="U988" s="5" t="s">
        <v>12908</v>
      </c>
      <c r="V988" s="5" t="s">
        <v>12908</v>
      </c>
      <c r="W988" s="5" t="s">
        <v>12909</v>
      </c>
      <c r="X988" s="5" t="s">
        <v>12909</v>
      </c>
      <c r="Y988" s="4">
        <v>952</v>
      </c>
      <c r="Z988" s="4">
        <v>829</v>
      </c>
      <c r="AA988" s="4">
        <v>2030</v>
      </c>
      <c r="AB988" s="4">
        <v>4</v>
      </c>
      <c r="AC988" s="4">
        <v>20</v>
      </c>
      <c r="AD988" s="4">
        <v>24</v>
      </c>
      <c r="AE988" s="4">
        <v>71</v>
      </c>
      <c r="AF988" s="4">
        <v>8</v>
      </c>
      <c r="AG988" s="4">
        <v>20</v>
      </c>
      <c r="AH988" s="4">
        <v>4</v>
      </c>
      <c r="AI988" s="4">
        <v>9</v>
      </c>
      <c r="AJ988" s="4">
        <v>10</v>
      </c>
      <c r="AK988" s="4">
        <v>23</v>
      </c>
      <c r="AL988" s="4">
        <v>2</v>
      </c>
      <c r="AM988" s="4">
        <v>10</v>
      </c>
      <c r="AN988" s="4">
        <v>4</v>
      </c>
      <c r="AO988" s="4">
        <v>20</v>
      </c>
      <c r="AP988" s="3" t="s">
        <v>58</v>
      </c>
      <c r="AQ988" s="3" t="s">
        <v>58</v>
      </c>
      <c r="AS988" s="6" t="str">
        <f>HYPERLINK("https://creighton-primo.hosted.exlibrisgroup.com/primo-explore/search?tab=default_tab&amp;search_scope=EVERYTHING&amp;vid=01CRU&amp;lang=en_US&amp;offset=0&amp;query=any,contains,991003451139702656","Catalog Record")</f>
        <v>Catalog Record</v>
      </c>
      <c r="AT988" s="6" t="str">
        <f>HYPERLINK("http://www.worldcat.org/oclc/989130","WorldCat Record")</f>
        <v>WorldCat Record</v>
      </c>
      <c r="AU988" s="3" t="s">
        <v>12614</v>
      </c>
      <c r="AV988" s="3" t="s">
        <v>12910</v>
      </c>
      <c r="AW988" s="3" t="s">
        <v>12911</v>
      </c>
      <c r="AX988" s="3" t="s">
        <v>12911</v>
      </c>
      <c r="AY988" s="3" t="s">
        <v>12912</v>
      </c>
      <c r="AZ988" s="3" t="s">
        <v>74</v>
      </c>
      <c r="BB988" s="3" t="s">
        <v>12913</v>
      </c>
      <c r="BC988" s="3" t="s">
        <v>12914</v>
      </c>
      <c r="BD988" s="3" t="s">
        <v>12915</v>
      </c>
    </row>
    <row r="989" spans="1:56" ht="45.75" customHeight="1" x14ac:dyDescent="0.25">
      <c r="A989" s="7" t="s">
        <v>58</v>
      </c>
      <c r="B989" s="2" t="s">
        <v>12916</v>
      </c>
      <c r="C989" s="2" t="s">
        <v>12917</v>
      </c>
      <c r="D989" s="2" t="s">
        <v>12918</v>
      </c>
      <c r="F989" s="3" t="s">
        <v>58</v>
      </c>
      <c r="G989" s="3" t="s">
        <v>59</v>
      </c>
      <c r="H989" s="3" t="s">
        <v>58</v>
      </c>
      <c r="I989" s="3" t="s">
        <v>58</v>
      </c>
      <c r="J989" s="3" t="s">
        <v>60</v>
      </c>
      <c r="K989" s="2" t="s">
        <v>12919</v>
      </c>
      <c r="L989" s="2" t="s">
        <v>12920</v>
      </c>
      <c r="M989" s="3" t="s">
        <v>908</v>
      </c>
      <c r="O989" s="3" t="s">
        <v>65</v>
      </c>
      <c r="P989" s="3" t="s">
        <v>3930</v>
      </c>
      <c r="R989" s="3" t="s">
        <v>67</v>
      </c>
      <c r="S989" s="4">
        <v>16</v>
      </c>
      <c r="T989" s="4">
        <v>16</v>
      </c>
      <c r="U989" s="5" t="s">
        <v>12921</v>
      </c>
      <c r="V989" s="5" t="s">
        <v>12921</v>
      </c>
      <c r="W989" s="5" t="s">
        <v>9575</v>
      </c>
      <c r="X989" s="5" t="s">
        <v>9575</v>
      </c>
      <c r="Y989" s="4">
        <v>533</v>
      </c>
      <c r="Z989" s="4">
        <v>476</v>
      </c>
      <c r="AA989" s="4">
        <v>482</v>
      </c>
      <c r="AB989" s="4">
        <v>4</v>
      </c>
      <c r="AC989" s="4">
        <v>4</v>
      </c>
      <c r="AD989" s="4">
        <v>14</v>
      </c>
      <c r="AE989" s="4">
        <v>14</v>
      </c>
      <c r="AF989" s="4">
        <v>4</v>
      </c>
      <c r="AG989" s="4">
        <v>4</v>
      </c>
      <c r="AH989" s="4">
        <v>2</v>
      </c>
      <c r="AI989" s="4">
        <v>2</v>
      </c>
      <c r="AJ989" s="4">
        <v>9</v>
      </c>
      <c r="AK989" s="4">
        <v>9</v>
      </c>
      <c r="AL989" s="4">
        <v>1</v>
      </c>
      <c r="AM989" s="4">
        <v>1</v>
      </c>
      <c r="AN989" s="4">
        <v>0</v>
      </c>
      <c r="AO989" s="4">
        <v>0</v>
      </c>
      <c r="AP989" s="3" t="s">
        <v>58</v>
      </c>
      <c r="AQ989" s="3" t="s">
        <v>87</v>
      </c>
      <c r="AR989" s="6" t="str">
        <f>HYPERLINK("http://catalog.hathitrust.org/Record/000302836","HathiTrust Record")</f>
        <v>HathiTrust Record</v>
      </c>
      <c r="AS989" s="6" t="str">
        <f>HYPERLINK("https://creighton-primo.hosted.exlibrisgroup.com/primo-explore/search?tab=default_tab&amp;search_scope=EVERYTHING&amp;vid=01CRU&amp;lang=en_US&amp;offset=0&amp;query=any,contains,991005250359702656","Catalog Record")</f>
        <v>Catalog Record</v>
      </c>
      <c r="AT989" s="6" t="str">
        <f>HYPERLINK("http://www.worldcat.org/oclc/5068146","WorldCat Record")</f>
        <v>WorldCat Record</v>
      </c>
      <c r="AU989" s="3" t="s">
        <v>12922</v>
      </c>
      <c r="AV989" s="3" t="s">
        <v>12923</v>
      </c>
      <c r="AW989" s="3" t="s">
        <v>12924</v>
      </c>
      <c r="AX989" s="3" t="s">
        <v>12924</v>
      </c>
      <c r="AY989" s="3" t="s">
        <v>12925</v>
      </c>
      <c r="AZ989" s="3" t="s">
        <v>74</v>
      </c>
      <c r="BB989" s="3" t="s">
        <v>12926</v>
      </c>
      <c r="BC989" s="3" t="s">
        <v>12927</v>
      </c>
      <c r="BD989" s="3" t="s">
        <v>12928</v>
      </c>
    </row>
    <row r="990" spans="1:56" ht="45.75" customHeight="1" x14ac:dyDescent="0.25">
      <c r="A990" s="7" t="s">
        <v>58</v>
      </c>
      <c r="B990" s="2" t="s">
        <v>12929</v>
      </c>
      <c r="C990" s="2" t="s">
        <v>12930</v>
      </c>
      <c r="D990" s="2" t="s">
        <v>12931</v>
      </c>
      <c r="F990" s="3" t="s">
        <v>58</v>
      </c>
      <c r="G990" s="3" t="s">
        <v>59</v>
      </c>
      <c r="H990" s="3" t="s">
        <v>58</v>
      </c>
      <c r="I990" s="3" t="s">
        <v>58</v>
      </c>
      <c r="J990" s="3" t="s">
        <v>60</v>
      </c>
      <c r="L990" s="2" t="s">
        <v>12772</v>
      </c>
      <c r="M990" s="3" t="s">
        <v>1032</v>
      </c>
      <c r="O990" s="3" t="s">
        <v>65</v>
      </c>
      <c r="P990" s="3" t="s">
        <v>84</v>
      </c>
      <c r="R990" s="3" t="s">
        <v>67</v>
      </c>
      <c r="S990" s="4">
        <v>8</v>
      </c>
      <c r="T990" s="4">
        <v>8</v>
      </c>
      <c r="U990" s="5" t="s">
        <v>12031</v>
      </c>
      <c r="V990" s="5" t="s">
        <v>12031</v>
      </c>
      <c r="W990" s="5" t="s">
        <v>9738</v>
      </c>
      <c r="X990" s="5" t="s">
        <v>9738</v>
      </c>
      <c r="Y990" s="4">
        <v>489</v>
      </c>
      <c r="Z990" s="4">
        <v>429</v>
      </c>
      <c r="AA990" s="4">
        <v>469</v>
      </c>
      <c r="AB990" s="4">
        <v>3</v>
      </c>
      <c r="AC990" s="4">
        <v>3</v>
      </c>
      <c r="AD990" s="4">
        <v>27</v>
      </c>
      <c r="AE990" s="4">
        <v>29</v>
      </c>
      <c r="AF990" s="4">
        <v>9</v>
      </c>
      <c r="AG990" s="4">
        <v>11</v>
      </c>
      <c r="AH990" s="4">
        <v>8</v>
      </c>
      <c r="AI990" s="4">
        <v>9</v>
      </c>
      <c r="AJ990" s="4">
        <v>17</v>
      </c>
      <c r="AK990" s="4">
        <v>17</v>
      </c>
      <c r="AL990" s="4">
        <v>2</v>
      </c>
      <c r="AM990" s="4">
        <v>2</v>
      </c>
      <c r="AN990" s="4">
        <v>0</v>
      </c>
      <c r="AO990" s="4">
        <v>0</v>
      </c>
      <c r="AP990" s="3" t="s">
        <v>58</v>
      </c>
      <c r="AQ990" s="3" t="s">
        <v>58</v>
      </c>
      <c r="AS990" s="6" t="str">
        <f>HYPERLINK("https://creighton-primo.hosted.exlibrisgroup.com/primo-explore/search?tab=default_tab&amp;search_scope=EVERYTHING&amp;vid=01CRU&amp;lang=en_US&amp;offset=0&amp;query=any,contains,991005426109702656","Catalog Record")</f>
        <v>Catalog Record</v>
      </c>
      <c r="AT990" s="6" t="str">
        <f>HYPERLINK("http://www.worldcat.org/oclc/36663079","WorldCat Record")</f>
        <v>WorldCat Record</v>
      </c>
      <c r="AU990" s="3" t="s">
        <v>12932</v>
      </c>
      <c r="AV990" s="3" t="s">
        <v>12933</v>
      </c>
      <c r="AW990" s="3" t="s">
        <v>12934</v>
      </c>
      <c r="AX990" s="3" t="s">
        <v>12934</v>
      </c>
      <c r="AY990" s="3" t="s">
        <v>12935</v>
      </c>
      <c r="AZ990" s="3" t="s">
        <v>74</v>
      </c>
      <c r="BB990" s="3" t="s">
        <v>12936</v>
      </c>
      <c r="BC990" s="3" t="s">
        <v>12937</v>
      </c>
      <c r="BD990" s="3" t="s">
        <v>12938</v>
      </c>
    </row>
    <row r="991" spans="1:56" ht="45.75" customHeight="1" x14ac:dyDescent="0.25">
      <c r="A991" s="7" t="s">
        <v>58</v>
      </c>
      <c r="B991" s="2" t="s">
        <v>12939</v>
      </c>
      <c r="C991" s="2" t="s">
        <v>12940</v>
      </c>
      <c r="D991" s="2" t="s">
        <v>12941</v>
      </c>
      <c r="F991" s="3" t="s">
        <v>58</v>
      </c>
      <c r="G991" s="3" t="s">
        <v>59</v>
      </c>
      <c r="H991" s="3" t="s">
        <v>58</v>
      </c>
      <c r="I991" s="3" t="s">
        <v>87</v>
      </c>
      <c r="J991" s="3" t="s">
        <v>60</v>
      </c>
      <c r="L991" s="2" t="s">
        <v>12942</v>
      </c>
      <c r="M991" s="3" t="s">
        <v>116</v>
      </c>
      <c r="O991" s="3" t="s">
        <v>65</v>
      </c>
      <c r="P991" s="3" t="s">
        <v>336</v>
      </c>
      <c r="Q991" s="2" t="s">
        <v>12943</v>
      </c>
      <c r="R991" s="3" t="s">
        <v>67</v>
      </c>
      <c r="S991" s="4">
        <v>7</v>
      </c>
      <c r="T991" s="4">
        <v>7</v>
      </c>
      <c r="U991" s="5" t="s">
        <v>4423</v>
      </c>
      <c r="V991" s="5" t="s">
        <v>4423</v>
      </c>
      <c r="W991" s="5" t="s">
        <v>12944</v>
      </c>
      <c r="X991" s="5" t="s">
        <v>12944</v>
      </c>
      <c r="Y991" s="4">
        <v>526</v>
      </c>
      <c r="Z991" s="4">
        <v>477</v>
      </c>
      <c r="AA991" s="4">
        <v>1269</v>
      </c>
      <c r="AB991" s="4">
        <v>3</v>
      </c>
      <c r="AC991" s="4">
        <v>30</v>
      </c>
      <c r="AD991" s="4">
        <v>23</v>
      </c>
      <c r="AE991" s="4">
        <v>48</v>
      </c>
      <c r="AF991" s="4">
        <v>8</v>
      </c>
      <c r="AG991" s="4">
        <v>16</v>
      </c>
      <c r="AH991" s="4">
        <v>5</v>
      </c>
      <c r="AI991" s="4">
        <v>7</v>
      </c>
      <c r="AJ991" s="4">
        <v>15</v>
      </c>
      <c r="AK991" s="4">
        <v>18</v>
      </c>
      <c r="AL991" s="4">
        <v>2</v>
      </c>
      <c r="AM991" s="4">
        <v>15</v>
      </c>
      <c r="AN991" s="4">
        <v>0</v>
      </c>
      <c r="AO991" s="4">
        <v>1</v>
      </c>
      <c r="AP991" s="3" t="s">
        <v>58</v>
      </c>
      <c r="AQ991" s="3" t="s">
        <v>87</v>
      </c>
      <c r="AR991" s="6" t="str">
        <f>HYPERLINK("http://catalog.hathitrust.org/Record/003961477","HathiTrust Record")</f>
        <v>HathiTrust Record</v>
      </c>
      <c r="AS991" s="6" t="str">
        <f>HYPERLINK("https://creighton-primo.hosted.exlibrisgroup.com/primo-explore/search?tab=default_tab&amp;search_scope=EVERYTHING&amp;vid=01CRU&amp;lang=en_US&amp;offset=0&amp;query=any,contains,991002836849702656","Catalog Record")</f>
        <v>Catalog Record</v>
      </c>
      <c r="AT991" s="6" t="str">
        <f>HYPERLINK("http://www.worldcat.org/oclc/37361792","WorldCat Record")</f>
        <v>WorldCat Record</v>
      </c>
      <c r="AU991" s="3" t="s">
        <v>12945</v>
      </c>
      <c r="AV991" s="3" t="s">
        <v>12946</v>
      </c>
      <c r="AW991" s="3" t="s">
        <v>12947</v>
      </c>
      <c r="AX991" s="3" t="s">
        <v>12947</v>
      </c>
      <c r="AY991" s="3" t="s">
        <v>12948</v>
      </c>
      <c r="AZ991" s="3" t="s">
        <v>74</v>
      </c>
      <c r="BB991" s="3" t="s">
        <v>12949</v>
      </c>
      <c r="BC991" s="3" t="s">
        <v>12950</v>
      </c>
      <c r="BD991" s="3" t="s">
        <v>12951</v>
      </c>
    </row>
    <row r="992" spans="1:56" ht="45.75" customHeight="1" x14ac:dyDescent="0.25">
      <c r="A992" s="7" t="s">
        <v>58</v>
      </c>
      <c r="B992" s="2" t="s">
        <v>12952</v>
      </c>
      <c r="C992" s="2" t="s">
        <v>12953</v>
      </c>
      <c r="D992" s="2" t="s">
        <v>12954</v>
      </c>
      <c r="F992" s="3" t="s">
        <v>58</v>
      </c>
      <c r="G992" s="3" t="s">
        <v>59</v>
      </c>
      <c r="H992" s="3" t="s">
        <v>58</v>
      </c>
      <c r="I992" s="3" t="s">
        <v>58</v>
      </c>
      <c r="J992" s="3" t="s">
        <v>60</v>
      </c>
      <c r="K992" s="2" t="s">
        <v>12955</v>
      </c>
      <c r="L992" s="2" t="s">
        <v>12956</v>
      </c>
      <c r="M992" s="3" t="s">
        <v>220</v>
      </c>
      <c r="O992" s="3" t="s">
        <v>65</v>
      </c>
      <c r="P992" s="3" t="s">
        <v>84</v>
      </c>
      <c r="R992" s="3" t="s">
        <v>67</v>
      </c>
      <c r="S992" s="4">
        <v>4</v>
      </c>
      <c r="T992" s="4">
        <v>4</v>
      </c>
      <c r="U992" s="5" t="s">
        <v>12957</v>
      </c>
      <c r="V992" s="5" t="s">
        <v>12957</v>
      </c>
      <c r="W992" s="5" t="s">
        <v>5250</v>
      </c>
      <c r="X992" s="5" t="s">
        <v>5250</v>
      </c>
      <c r="Y992" s="4">
        <v>535</v>
      </c>
      <c r="Z992" s="4">
        <v>501</v>
      </c>
      <c r="AA992" s="4">
        <v>544</v>
      </c>
      <c r="AB992" s="4">
        <v>6</v>
      </c>
      <c r="AC992" s="4">
        <v>6</v>
      </c>
      <c r="AD992" s="4">
        <v>27</v>
      </c>
      <c r="AE992" s="4">
        <v>28</v>
      </c>
      <c r="AF992" s="4">
        <v>7</v>
      </c>
      <c r="AG992" s="4">
        <v>8</v>
      </c>
      <c r="AH992" s="4">
        <v>6</v>
      </c>
      <c r="AI992" s="4">
        <v>6</v>
      </c>
      <c r="AJ992" s="4">
        <v>14</v>
      </c>
      <c r="AK992" s="4">
        <v>14</v>
      </c>
      <c r="AL992" s="4">
        <v>5</v>
      </c>
      <c r="AM992" s="4">
        <v>5</v>
      </c>
      <c r="AN992" s="4">
        <v>2</v>
      </c>
      <c r="AO992" s="4">
        <v>2</v>
      </c>
      <c r="AP992" s="3" t="s">
        <v>58</v>
      </c>
      <c r="AQ992" s="3" t="s">
        <v>58</v>
      </c>
      <c r="AS992" s="6" t="str">
        <f>HYPERLINK("https://creighton-primo.hosted.exlibrisgroup.com/primo-explore/search?tab=default_tab&amp;search_scope=EVERYTHING&amp;vid=01CRU&amp;lang=en_US&amp;offset=0&amp;query=any,contains,991005429569702656","Catalog Record")</f>
        <v>Catalog Record</v>
      </c>
      <c r="AT992" s="6" t="str">
        <f>HYPERLINK("http://www.worldcat.org/oclc/40113509","WorldCat Record")</f>
        <v>WorldCat Record</v>
      </c>
      <c r="AU992" s="3" t="s">
        <v>12958</v>
      </c>
      <c r="AV992" s="3" t="s">
        <v>12959</v>
      </c>
      <c r="AW992" s="3" t="s">
        <v>12960</v>
      </c>
      <c r="AX992" s="3" t="s">
        <v>12960</v>
      </c>
      <c r="AY992" s="3" t="s">
        <v>12961</v>
      </c>
      <c r="AZ992" s="3" t="s">
        <v>74</v>
      </c>
      <c r="BB992" s="3" t="s">
        <v>12962</v>
      </c>
      <c r="BC992" s="3" t="s">
        <v>12963</v>
      </c>
      <c r="BD992" s="3" t="s">
        <v>12964</v>
      </c>
    </row>
    <row r="993" spans="1:56" ht="45.75" customHeight="1" x14ac:dyDescent="0.25">
      <c r="A993" s="7" t="s">
        <v>58</v>
      </c>
      <c r="B993" s="2" t="s">
        <v>12965</v>
      </c>
      <c r="C993" s="2" t="s">
        <v>12966</v>
      </c>
      <c r="D993" s="2" t="s">
        <v>12967</v>
      </c>
      <c r="F993" s="3" t="s">
        <v>58</v>
      </c>
      <c r="G993" s="3" t="s">
        <v>59</v>
      </c>
      <c r="H993" s="3" t="s">
        <v>58</v>
      </c>
      <c r="I993" s="3" t="s">
        <v>58</v>
      </c>
      <c r="J993" s="3" t="s">
        <v>60</v>
      </c>
      <c r="K993" s="2" t="s">
        <v>12968</v>
      </c>
      <c r="L993" s="2" t="s">
        <v>12969</v>
      </c>
      <c r="M993" s="3" t="s">
        <v>1419</v>
      </c>
      <c r="O993" s="3" t="s">
        <v>65</v>
      </c>
      <c r="P993" s="3" t="s">
        <v>148</v>
      </c>
      <c r="Q993" s="2" t="s">
        <v>12970</v>
      </c>
      <c r="R993" s="3" t="s">
        <v>67</v>
      </c>
      <c r="S993" s="4">
        <v>12</v>
      </c>
      <c r="T993" s="4">
        <v>12</v>
      </c>
      <c r="U993" s="5" t="s">
        <v>12479</v>
      </c>
      <c r="V993" s="5" t="s">
        <v>12479</v>
      </c>
      <c r="W993" s="5" t="s">
        <v>1130</v>
      </c>
      <c r="X993" s="5" t="s">
        <v>1130</v>
      </c>
      <c r="Y993" s="4">
        <v>1462</v>
      </c>
      <c r="Z993" s="4">
        <v>1346</v>
      </c>
      <c r="AA993" s="4">
        <v>1367</v>
      </c>
      <c r="AB993" s="4">
        <v>13</v>
      </c>
      <c r="AC993" s="4">
        <v>13</v>
      </c>
      <c r="AD993" s="4">
        <v>41</v>
      </c>
      <c r="AE993" s="4">
        <v>43</v>
      </c>
      <c r="AF993" s="4">
        <v>15</v>
      </c>
      <c r="AG993" s="4">
        <v>16</v>
      </c>
      <c r="AH993" s="4">
        <v>8</v>
      </c>
      <c r="AI993" s="4">
        <v>8</v>
      </c>
      <c r="AJ993" s="4">
        <v>16</v>
      </c>
      <c r="AK993" s="4">
        <v>16</v>
      </c>
      <c r="AL993" s="4">
        <v>9</v>
      </c>
      <c r="AM993" s="4">
        <v>9</v>
      </c>
      <c r="AN993" s="4">
        <v>2</v>
      </c>
      <c r="AO993" s="4">
        <v>3</v>
      </c>
      <c r="AP993" s="3" t="s">
        <v>58</v>
      </c>
      <c r="AQ993" s="3" t="s">
        <v>87</v>
      </c>
      <c r="AR993" s="6" t="str">
        <f>HYPERLINK("http://catalog.hathitrust.org/Record/000135701","HathiTrust Record")</f>
        <v>HathiTrust Record</v>
      </c>
      <c r="AS993" s="6" t="str">
        <f>HYPERLINK("https://creighton-primo.hosted.exlibrisgroup.com/primo-explore/search?tab=default_tab&amp;search_scope=EVERYTHING&amp;vid=01CRU&amp;lang=en_US&amp;offset=0&amp;query=any,contains,991004530859702656","Catalog Record")</f>
        <v>Catalog Record</v>
      </c>
      <c r="AT993" s="6" t="str">
        <f>HYPERLINK("http://www.worldcat.org/oclc/3845307","WorldCat Record")</f>
        <v>WorldCat Record</v>
      </c>
      <c r="AU993" s="3" t="s">
        <v>12971</v>
      </c>
      <c r="AV993" s="3" t="s">
        <v>12972</v>
      </c>
      <c r="AW993" s="3" t="s">
        <v>12973</v>
      </c>
      <c r="AX993" s="3" t="s">
        <v>12973</v>
      </c>
      <c r="AY993" s="3" t="s">
        <v>12974</v>
      </c>
      <c r="AZ993" s="3" t="s">
        <v>74</v>
      </c>
      <c r="BB993" s="3" t="s">
        <v>12975</v>
      </c>
      <c r="BC993" s="3" t="s">
        <v>12976</v>
      </c>
      <c r="BD993" s="3" t="s">
        <v>12977</v>
      </c>
    </row>
    <row r="994" spans="1:56" ht="45.75" customHeight="1" x14ac:dyDescent="0.25">
      <c r="A994" s="7" t="s">
        <v>58</v>
      </c>
      <c r="B994" s="2" t="s">
        <v>12978</v>
      </c>
      <c r="C994" s="2" t="s">
        <v>12979</v>
      </c>
      <c r="D994" s="2" t="s">
        <v>12980</v>
      </c>
      <c r="F994" s="3" t="s">
        <v>58</v>
      </c>
      <c r="G994" s="3" t="s">
        <v>59</v>
      </c>
      <c r="H994" s="3" t="s">
        <v>58</v>
      </c>
      <c r="I994" s="3" t="s">
        <v>58</v>
      </c>
      <c r="J994" s="3" t="s">
        <v>60</v>
      </c>
      <c r="K994" s="2" t="s">
        <v>12981</v>
      </c>
      <c r="L994" s="2" t="s">
        <v>12982</v>
      </c>
      <c r="M994" s="3" t="s">
        <v>1998</v>
      </c>
      <c r="O994" s="3" t="s">
        <v>65</v>
      </c>
      <c r="P994" s="3" t="s">
        <v>336</v>
      </c>
      <c r="R994" s="3" t="s">
        <v>67</v>
      </c>
      <c r="S994" s="4">
        <v>11</v>
      </c>
      <c r="T994" s="4">
        <v>11</v>
      </c>
      <c r="U994" s="5" t="s">
        <v>10774</v>
      </c>
      <c r="V994" s="5" t="s">
        <v>10774</v>
      </c>
      <c r="W994" s="5" t="s">
        <v>4070</v>
      </c>
      <c r="X994" s="5" t="s">
        <v>4070</v>
      </c>
      <c r="Y994" s="4">
        <v>446</v>
      </c>
      <c r="Z994" s="4">
        <v>362</v>
      </c>
      <c r="AA994" s="4">
        <v>365</v>
      </c>
      <c r="AB994" s="4">
        <v>5</v>
      </c>
      <c r="AC994" s="4">
        <v>5</v>
      </c>
      <c r="AD994" s="4">
        <v>10</v>
      </c>
      <c r="AE994" s="4">
        <v>10</v>
      </c>
      <c r="AF994" s="4">
        <v>3</v>
      </c>
      <c r="AG994" s="4">
        <v>3</v>
      </c>
      <c r="AH994" s="4">
        <v>1</v>
      </c>
      <c r="AI994" s="4">
        <v>1</v>
      </c>
      <c r="AJ994" s="4">
        <v>4</v>
      </c>
      <c r="AK994" s="4">
        <v>4</v>
      </c>
      <c r="AL994" s="4">
        <v>3</v>
      </c>
      <c r="AM994" s="4">
        <v>3</v>
      </c>
      <c r="AN994" s="4">
        <v>1</v>
      </c>
      <c r="AO994" s="4">
        <v>1</v>
      </c>
      <c r="AP994" s="3" t="s">
        <v>58</v>
      </c>
      <c r="AQ994" s="3" t="s">
        <v>87</v>
      </c>
      <c r="AR994" s="6" t="str">
        <f>HYPERLINK("http://catalog.hathitrust.org/Record/000013368","HathiTrust Record")</f>
        <v>HathiTrust Record</v>
      </c>
      <c r="AS994" s="6" t="str">
        <f>HYPERLINK("https://creighton-primo.hosted.exlibrisgroup.com/primo-explore/search?tab=default_tab&amp;search_scope=EVERYTHING&amp;vid=01CRU&amp;lang=en_US&amp;offset=0&amp;query=any,contains,991003334959702656","Catalog Record")</f>
        <v>Catalog Record</v>
      </c>
      <c r="AT994" s="6" t="str">
        <f>HYPERLINK("http://www.worldcat.org/oclc/866256","WorldCat Record")</f>
        <v>WorldCat Record</v>
      </c>
      <c r="AU994" s="3" t="s">
        <v>12983</v>
      </c>
      <c r="AV994" s="3" t="s">
        <v>12984</v>
      </c>
      <c r="AW994" s="3" t="s">
        <v>12985</v>
      </c>
      <c r="AX994" s="3" t="s">
        <v>12985</v>
      </c>
      <c r="AY994" s="3" t="s">
        <v>12986</v>
      </c>
      <c r="AZ994" s="3" t="s">
        <v>74</v>
      </c>
      <c r="BB994" s="3" t="s">
        <v>12987</v>
      </c>
      <c r="BC994" s="3" t="s">
        <v>12988</v>
      </c>
      <c r="BD994" s="3" t="s">
        <v>12989</v>
      </c>
    </row>
    <row r="995" spans="1:56" ht="45.75" customHeight="1" x14ac:dyDescent="0.25">
      <c r="A995" s="7" t="s">
        <v>58</v>
      </c>
      <c r="B995" s="2" t="s">
        <v>12990</v>
      </c>
      <c r="C995" s="2" t="s">
        <v>12991</v>
      </c>
      <c r="D995" s="2" t="s">
        <v>12992</v>
      </c>
      <c r="F995" s="3" t="s">
        <v>58</v>
      </c>
      <c r="G995" s="3" t="s">
        <v>59</v>
      </c>
      <c r="H995" s="3" t="s">
        <v>58</v>
      </c>
      <c r="I995" s="3" t="s">
        <v>58</v>
      </c>
      <c r="J995" s="3" t="s">
        <v>60</v>
      </c>
      <c r="K995" s="2" t="s">
        <v>12993</v>
      </c>
      <c r="L995" s="2" t="s">
        <v>3627</v>
      </c>
      <c r="M995" s="3" t="s">
        <v>867</v>
      </c>
      <c r="O995" s="3" t="s">
        <v>65</v>
      </c>
      <c r="P995" s="3" t="s">
        <v>84</v>
      </c>
      <c r="R995" s="3" t="s">
        <v>67</v>
      </c>
      <c r="S995" s="4">
        <v>12</v>
      </c>
      <c r="T995" s="4">
        <v>12</v>
      </c>
      <c r="U995" s="5" t="s">
        <v>12994</v>
      </c>
      <c r="V995" s="5" t="s">
        <v>12994</v>
      </c>
      <c r="W995" s="5" t="s">
        <v>12995</v>
      </c>
      <c r="X995" s="5" t="s">
        <v>12995</v>
      </c>
      <c r="Y995" s="4">
        <v>421</v>
      </c>
      <c r="Z995" s="4">
        <v>357</v>
      </c>
      <c r="AA995" s="4">
        <v>366</v>
      </c>
      <c r="AB995" s="4">
        <v>3</v>
      </c>
      <c r="AC995" s="4">
        <v>3</v>
      </c>
      <c r="AD995" s="4">
        <v>24</v>
      </c>
      <c r="AE995" s="4">
        <v>24</v>
      </c>
      <c r="AF995" s="4">
        <v>8</v>
      </c>
      <c r="AG995" s="4">
        <v>8</v>
      </c>
      <c r="AH995" s="4">
        <v>7</v>
      </c>
      <c r="AI995" s="4">
        <v>7</v>
      </c>
      <c r="AJ995" s="4">
        <v>15</v>
      </c>
      <c r="AK995" s="4">
        <v>15</v>
      </c>
      <c r="AL995" s="4">
        <v>2</v>
      </c>
      <c r="AM995" s="4">
        <v>2</v>
      </c>
      <c r="AN995" s="4">
        <v>1</v>
      </c>
      <c r="AO995" s="4">
        <v>1</v>
      </c>
      <c r="AP995" s="3" t="s">
        <v>58</v>
      </c>
      <c r="AQ995" s="3" t="s">
        <v>87</v>
      </c>
      <c r="AR995" s="6" t="str">
        <f>HYPERLINK("http://catalog.hathitrust.org/Record/002528428","HathiTrust Record")</f>
        <v>HathiTrust Record</v>
      </c>
      <c r="AS995" s="6" t="str">
        <f>HYPERLINK("https://creighton-primo.hosted.exlibrisgroup.com/primo-explore/search?tab=default_tab&amp;search_scope=EVERYTHING&amp;vid=01CRU&amp;lang=en_US&amp;offset=0&amp;query=any,contains,991001853319702656","Catalog Record")</f>
        <v>Catalog Record</v>
      </c>
      <c r="AT995" s="6" t="str">
        <f>HYPERLINK("http://www.worldcat.org/oclc/23254054","WorldCat Record")</f>
        <v>WorldCat Record</v>
      </c>
      <c r="AU995" s="3" t="s">
        <v>12996</v>
      </c>
      <c r="AV995" s="3" t="s">
        <v>12997</v>
      </c>
      <c r="AW995" s="3" t="s">
        <v>12998</v>
      </c>
      <c r="AX995" s="3" t="s">
        <v>12998</v>
      </c>
      <c r="AY995" s="3" t="s">
        <v>12999</v>
      </c>
      <c r="AZ995" s="3" t="s">
        <v>74</v>
      </c>
      <c r="BB995" s="3" t="s">
        <v>13000</v>
      </c>
      <c r="BC995" s="3" t="s">
        <v>13001</v>
      </c>
      <c r="BD995" s="3" t="s">
        <v>13002</v>
      </c>
    </row>
    <row r="996" spans="1:56" ht="45.75" customHeight="1" x14ac:dyDescent="0.25">
      <c r="A996" s="7" t="s">
        <v>58</v>
      </c>
      <c r="B996" s="2" t="s">
        <v>13003</v>
      </c>
      <c r="C996" s="2" t="s">
        <v>13004</v>
      </c>
      <c r="D996" s="2" t="s">
        <v>13005</v>
      </c>
      <c r="F996" s="3" t="s">
        <v>58</v>
      </c>
      <c r="G996" s="3" t="s">
        <v>59</v>
      </c>
      <c r="H996" s="3" t="s">
        <v>58</v>
      </c>
      <c r="I996" s="3" t="s">
        <v>58</v>
      </c>
      <c r="J996" s="3" t="s">
        <v>60</v>
      </c>
      <c r="L996" s="2" t="s">
        <v>12857</v>
      </c>
      <c r="M996" s="3" t="s">
        <v>1500</v>
      </c>
      <c r="O996" s="3" t="s">
        <v>65</v>
      </c>
      <c r="P996" s="3" t="s">
        <v>148</v>
      </c>
      <c r="R996" s="3" t="s">
        <v>67</v>
      </c>
      <c r="S996" s="4">
        <v>2</v>
      </c>
      <c r="T996" s="4">
        <v>2</v>
      </c>
      <c r="U996" s="5" t="s">
        <v>10774</v>
      </c>
      <c r="V996" s="5" t="s">
        <v>10774</v>
      </c>
      <c r="W996" s="5" t="s">
        <v>11009</v>
      </c>
      <c r="X996" s="5" t="s">
        <v>11009</v>
      </c>
      <c r="Y996" s="4">
        <v>373</v>
      </c>
      <c r="Z996" s="4">
        <v>284</v>
      </c>
      <c r="AA996" s="4">
        <v>284</v>
      </c>
      <c r="AB996" s="4">
        <v>3</v>
      </c>
      <c r="AC996" s="4">
        <v>3</v>
      </c>
      <c r="AD996" s="4">
        <v>14</v>
      </c>
      <c r="AE996" s="4">
        <v>14</v>
      </c>
      <c r="AF996" s="4">
        <v>3</v>
      </c>
      <c r="AG996" s="4">
        <v>3</v>
      </c>
      <c r="AH996" s="4">
        <v>1</v>
      </c>
      <c r="AI996" s="4">
        <v>1</v>
      </c>
      <c r="AJ996" s="4">
        <v>5</v>
      </c>
      <c r="AK996" s="4">
        <v>5</v>
      </c>
      <c r="AL996" s="4">
        <v>2</v>
      </c>
      <c r="AM996" s="4">
        <v>2</v>
      </c>
      <c r="AN996" s="4">
        <v>5</v>
      </c>
      <c r="AO996" s="4">
        <v>5</v>
      </c>
      <c r="AP996" s="3" t="s">
        <v>58</v>
      </c>
      <c r="AQ996" s="3" t="s">
        <v>58</v>
      </c>
      <c r="AS996" s="6" t="str">
        <f>HYPERLINK("https://creighton-primo.hosted.exlibrisgroup.com/primo-explore/search?tab=default_tab&amp;search_scope=EVERYTHING&amp;vid=01CRU&amp;lang=en_US&amp;offset=0&amp;query=any,contains,991004982199702656","Catalog Record")</f>
        <v>Catalog Record</v>
      </c>
      <c r="AT996" s="6" t="str">
        <f>HYPERLINK("http://www.worldcat.org/oclc/6424274","WorldCat Record")</f>
        <v>WorldCat Record</v>
      </c>
      <c r="AU996" s="3" t="s">
        <v>13006</v>
      </c>
      <c r="AV996" s="3" t="s">
        <v>13007</v>
      </c>
      <c r="AW996" s="3" t="s">
        <v>13008</v>
      </c>
      <c r="AX996" s="3" t="s">
        <v>13008</v>
      </c>
      <c r="AY996" s="3" t="s">
        <v>13009</v>
      </c>
      <c r="AZ996" s="3" t="s">
        <v>74</v>
      </c>
      <c r="BB996" s="3" t="s">
        <v>13010</v>
      </c>
      <c r="BC996" s="3" t="s">
        <v>13011</v>
      </c>
      <c r="BD996" s="3" t="s">
        <v>13012</v>
      </c>
    </row>
    <row r="997" spans="1:56" ht="45.75" customHeight="1" x14ac:dyDescent="0.25">
      <c r="A997" s="7" t="s">
        <v>58</v>
      </c>
      <c r="B997" s="2" t="s">
        <v>13013</v>
      </c>
      <c r="C997" s="2" t="s">
        <v>13014</v>
      </c>
      <c r="D997" s="2" t="s">
        <v>13015</v>
      </c>
      <c r="F997" s="3" t="s">
        <v>58</v>
      </c>
      <c r="G997" s="3" t="s">
        <v>59</v>
      </c>
      <c r="H997" s="3" t="s">
        <v>58</v>
      </c>
      <c r="I997" s="3" t="s">
        <v>58</v>
      </c>
      <c r="J997" s="3" t="s">
        <v>60</v>
      </c>
      <c r="K997" s="2" t="s">
        <v>13016</v>
      </c>
      <c r="L997" s="2" t="s">
        <v>13017</v>
      </c>
      <c r="M997" s="3" t="s">
        <v>2324</v>
      </c>
      <c r="O997" s="3" t="s">
        <v>65</v>
      </c>
      <c r="P997" s="3" t="s">
        <v>84</v>
      </c>
      <c r="R997" s="3" t="s">
        <v>67</v>
      </c>
      <c r="S997" s="4">
        <v>32</v>
      </c>
      <c r="T997" s="4">
        <v>32</v>
      </c>
      <c r="U997" s="5" t="s">
        <v>10774</v>
      </c>
      <c r="V997" s="5" t="s">
        <v>10774</v>
      </c>
      <c r="W997" s="5" t="s">
        <v>13018</v>
      </c>
      <c r="X997" s="5" t="s">
        <v>13018</v>
      </c>
      <c r="Y997" s="4">
        <v>697</v>
      </c>
      <c r="Z997" s="4">
        <v>605</v>
      </c>
      <c r="AA997" s="4">
        <v>663</v>
      </c>
      <c r="AB997" s="4">
        <v>4</v>
      </c>
      <c r="AC997" s="4">
        <v>4</v>
      </c>
      <c r="AD997" s="4">
        <v>20</v>
      </c>
      <c r="AE997" s="4">
        <v>22</v>
      </c>
      <c r="AF997" s="4">
        <v>10</v>
      </c>
      <c r="AG997" s="4">
        <v>11</v>
      </c>
      <c r="AH997" s="4">
        <v>5</v>
      </c>
      <c r="AI997" s="4">
        <v>6</v>
      </c>
      <c r="AJ997" s="4">
        <v>6</v>
      </c>
      <c r="AK997" s="4">
        <v>7</v>
      </c>
      <c r="AL997" s="4">
        <v>3</v>
      </c>
      <c r="AM997" s="4">
        <v>3</v>
      </c>
      <c r="AN997" s="4">
        <v>0</v>
      </c>
      <c r="AO997" s="4">
        <v>0</v>
      </c>
      <c r="AP997" s="3" t="s">
        <v>58</v>
      </c>
      <c r="AQ997" s="3" t="s">
        <v>87</v>
      </c>
      <c r="AR997" s="6" t="str">
        <f>HYPERLINK("http://catalog.hathitrust.org/Record/000235544","HathiTrust Record")</f>
        <v>HathiTrust Record</v>
      </c>
      <c r="AS997" s="6" t="str">
        <f>HYPERLINK("https://creighton-primo.hosted.exlibrisgroup.com/primo-explore/search?tab=default_tab&amp;search_scope=EVERYTHING&amp;vid=01CRU&amp;lang=en_US&amp;offset=0&amp;query=any,contains,991000139959702656","Catalog Record")</f>
        <v>Catalog Record</v>
      </c>
      <c r="AT997" s="6" t="str">
        <f>HYPERLINK("http://www.worldcat.org/oclc/9154327","WorldCat Record")</f>
        <v>WorldCat Record</v>
      </c>
      <c r="AU997" s="3" t="s">
        <v>13019</v>
      </c>
      <c r="AV997" s="3" t="s">
        <v>13020</v>
      </c>
      <c r="AW997" s="3" t="s">
        <v>13021</v>
      </c>
      <c r="AX997" s="3" t="s">
        <v>13021</v>
      </c>
      <c r="AY997" s="3" t="s">
        <v>13022</v>
      </c>
      <c r="AZ997" s="3" t="s">
        <v>74</v>
      </c>
      <c r="BB997" s="3" t="s">
        <v>13023</v>
      </c>
      <c r="BC997" s="3" t="s">
        <v>13024</v>
      </c>
      <c r="BD997" s="3" t="s">
        <v>13025</v>
      </c>
    </row>
    <row r="998" spans="1:56" ht="45.75" customHeight="1" x14ac:dyDescent="0.25">
      <c r="A998" s="7" t="s">
        <v>58</v>
      </c>
      <c r="B998" s="2" t="s">
        <v>13026</v>
      </c>
      <c r="C998" s="2" t="s">
        <v>13027</v>
      </c>
      <c r="D998" s="2" t="s">
        <v>13028</v>
      </c>
      <c r="F998" s="3" t="s">
        <v>58</v>
      </c>
      <c r="G998" s="3" t="s">
        <v>59</v>
      </c>
      <c r="H998" s="3" t="s">
        <v>58</v>
      </c>
      <c r="I998" s="3" t="s">
        <v>58</v>
      </c>
      <c r="J998" s="3" t="s">
        <v>60</v>
      </c>
      <c r="K998" s="2" t="s">
        <v>13029</v>
      </c>
      <c r="L998" s="2" t="s">
        <v>13030</v>
      </c>
      <c r="M998" s="3" t="s">
        <v>147</v>
      </c>
      <c r="O998" s="3" t="s">
        <v>65</v>
      </c>
      <c r="P998" s="3" t="s">
        <v>66</v>
      </c>
      <c r="R998" s="3" t="s">
        <v>67</v>
      </c>
      <c r="S998" s="4">
        <v>1</v>
      </c>
      <c r="T998" s="4">
        <v>1</v>
      </c>
      <c r="U998" s="5" t="s">
        <v>13031</v>
      </c>
      <c r="V998" s="5" t="s">
        <v>13031</v>
      </c>
      <c r="W998" s="5" t="s">
        <v>13031</v>
      </c>
      <c r="X998" s="5" t="s">
        <v>13031</v>
      </c>
      <c r="Y998" s="4">
        <v>153</v>
      </c>
      <c r="Z998" s="4">
        <v>130</v>
      </c>
      <c r="AA998" s="4">
        <v>130</v>
      </c>
      <c r="AB998" s="4">
        <v>3</v>
      </c>
      <c r="AC998" s="4">
        <v>3</v>
      </c>
      <c r="AD998" s="4">
        <v>8</v>
      </c>
      <c r="AE998" s="4">
        <v>8</v>
      </c>
      <c r="AF998" s="4">
        <v>0</v>
      </c>
      <c r="AG998" s="4">
        <v>0</v>
      </c>
      <c r="AH998" s="4">
        <v>1</v>
      </c>
      <c r="AI998" s="4">
        <v>1</v>
      </c>
      <c r="AJ998" s="4">
        <v>3</v>
      </c>
      <c r="AK998" s="4">
        <v>3</v>
      </c>
      <c r="AL998" s="4">
        <v>2</v>
      </c>
      <c r="AM998" s="4">
        <v>2</v>
      </c>
      <c r="AN998" s="4">
        <v>2</v>
      </c>
      <c r="AO998" s="4">
        <v>2</v>
      </c>
      <c r="AP998" s="3" t="s">
        <v>58</v>
      </c>
      <c r="AQ998" s="3" t="s">
        <v>58</v>
      </c>
      <c r="AS998" s="6" t="str">
        <f>HYPERLINK("https://creighton-primo.hosted.exlibrisgroup.com/primo-explore/search?tab=default_tab&amp;search_scope=EVERYTHING&amp;vid=01CRU&amp;lang=en_US&amp;offset=0&amp;query=any,contains,991004403569702656","Catalog Record")</f>
        <v>Catalog Record</v>
      </c>
      <c r="AT998" s="6" t="str">
        <f>HYPERLINK("http://www.worldcat.org/oclc/56068734","WorldCat Record")</f>
        <v>WorldCat Record</v>
      </c>
      <c r="AU998" s="3" t="s">
        <v>13032</v>
      </c>
      <c r="AV998" s="3" t="s">
        <v>13033</v>
      </c>
      <c r="AW998" s="3" t="s">
        <v>13034</v>
      </c>
      <c r="AX998" s="3" t="s">
        <v>13034</v>
      </c>
      <c r="AY998" s="3" t="s">
        <v>13035</v>
      </c>
      <c r="AZ998" s="3" t="s">
        <v>74</v>
      </c>
      <c r="BB998" s="3" t="s">
        <v>13036</v>
      </c>
      <c r="BC998" s="3" t="s">
        <v>13037</v>
      </c>
      <c r="BD998" s="3" t="s">
        <v>13038</v>
      </c>
    </row>
    <row r="999" spans="1:56" ht="45.75" customHeight="1" x14ac:dyDescent="0.25">
      <c r="A999" s="7" t="s">
        <v>58</v>
      </c>
      <c r="B999" s="2" t="s">
        <v>13039</v>
      </c>
      <c r="C999" s="2" t="s">
        <v>13040</v>
      </c>
      <c r="D999" s="2" t="s">
        <v>13041</v>
      </c>
      <c r="F999" s="3" t="s">
        <v>58</v>
      </c>
      <c r="G999" s="3" t="s">
        <v>59</v>
      </c>
      <c r="H999" s="3" t="s">
        <v>58</v>
      </c>
      <c r="I999" s="3" t="s">
        <v>58</v>
      </c>
      <c r="J999" s="3" t="s">
        <v>60</v>
      </c>
      <c r="K999" s="2" t="s">
        <v>13042</v>
      </c>
      <c r="L999" s="2" t="s">
        <v>13043</v>
      </c>
      <c r="M999" s="3" t="s">
        <v>1032</v>
      </c>
      <c r="O999" s="3" t="s">
        <v>65</v>
      </c>
      <c r="P999" s="3" t="s">
        <v>190</v>
      </c>
      <c r="R999" s="3" t="s">
        <v>67</v>
      </c>
      <c r="S999" s="4">
        <v>3</v>
      </c>
      <c r="T999" s="4">
        <v>3</v>
      </c>
      <c r="U999" s="5" t="s">
        <v>12760</v>
      </c>
      <c r="V999" s="5" t="s">
        <v>12760</v>
      </c>
      <c r="W999" s="5" t="s">
        <v>13044</v>
      </c>
      <c r="X999" s="5" t="s">
        <v>13044</v>
      </c>
      <c r="Y999" s="4">
        <v>727</v>
      </c>
      <c r="Z999" s="4">
        <v>701</v>
      </c>
      <c r="AA999" s="4">
        <v>708</v>
      </c>
      <c r="AB999" s="4">
        <v>4</v>
      </c>
      <c r="AC999" s="4">
        <v>4</v>
      </c>
      <c r="AD999" s="4">
        <v>32</v>
      </c>
      <c r="AE999" s="4">
        <v>32</v>
      </c>
      <c r="AF999" s="4">
        <v>7</v>
      </c>
      <c r="AG999" s="4">
        <v>7</v>
      </c>
      <c r="AH999" s="4">
        <v>8</v>
      </c>
      <c r="AI999" s="4">
        <v>8</v>
      </c>
      <c r="AJ999" s="4">
        <v>14</v>
      </c>
      <c r="AK999" s="4">
        <v>14</v>
      </c>
      <c r="AL999" s="4">
        <v>2</v>
      </c>
      <c r="AM999" s="4">
        <v>2</v>
      </c>
      <c r="AN999" s="4">
        <v>7</v>
      </c>
      <c r="AO999" s="4">
        <v>7</v>
      </c>
      <c r="AP999" s="3" t="s">
        <v>58</v>
      </c>
      <c r="AQ999" s="3" t="s">
        <v>87</v>
      </c>
      <c r="AR999" s="6" t="str">
        <f>HYPERLINK("http://catalog.hathitrust.org/Record/003946642","HathiTrust Record")</f>
        <v>HathiTrust Record</v>
      </c>
      <c r="AS999" s="6" t="str">
        <f>HYPERLINK("https://creighton-primo.hosted.exlibrisgroup.com/primo-explore/search?tab=default_tab&amp;search_scope=EVERYTHING&amp;vid=01CRU&amp;lang=en_US&amp;offset=0&amp;query=any,contains,991003207459702656","Catalog Record")</f>
        <v>Catalog Record</v>
      </c>
      <c r="AT999" s="6" t="str">
        <f>HYPERLINK("http://www.worldcat.org/oclc/36407875","WorldCat Record")</f>
        <v>WorldCat Record</v>
      </c>
      <c r="AU999" s="3" t="s">
        <v>13045</v>
      </c>
      <c r="AV999" s="3" t="s">
        <v>13046</v>
      </c>
      <c r="AW999" s="3" t="s">
        <v>13047</v>
      </c>
      <c r="AX999" s="3" t="s">
        <v>13047</v>
      </c>
      <c r="AY999" s="3" t="s">
        <v>13048</v>
      </c>
      <c r="AZ999" s="3" t="s">
        <v>74</v>
      </c>
      <c r="BB999" s="3" t="s">
        <v>13049</v>
      </c>
      <c r="BC999" s="3" t="s">
        <v>13050</v>
      </c>
      <c r="BD999" s="3" t="s">
        <v>13051</v>
      </c>
    </row>
    <row r="1000" spans="1:56" ht="45.75" customHeight="1" x14ac:dyDescent="0.25">
      <c r="A1000" s="7" t="s">
        <v>58</v>
      </c>
      <c r="B1000" s="2" t="s">
        <v>13052</v>
      </c>
      <c r="C1000" s="2" t="s">
        <v>13053</v>
      </c>
      <c r="D1000" s="2" t="s">
        <v>13054</v>
      </c>
      <c r="E1000" s="3" t="s">
        <v>13055</v>
      </c>
      <c r="F1000" s="3" t="s">
        <v>87</v>
      </c>
      <c r="G1000" s="3" t="s">
        <v>59</v>
      </c>
      <c r="H1000" s="3" t="s">
        <v>58</v>
      </c>
      <c r="I1000" s="3" t="s">
        <v>58</v>
      </c>
      <c r="J1000" s="3" t="s">
        <v>60</v>
      </c>
      <c r="L1000" s="2" t="s">
        <v>12772</v>
      </c>
      <c r="M1000" s="3" t="s">
        <v>1032</v>
      </c>
      <c r="O1000" s="3" t="s">
        <v>65</v>
      </c>
      <c r="P1000" s="3" t="s">
        <v>84</v>
      </c>
      <c r="R1000" s="3" t="s">
        <v>67</v>
      </c>
      <c r="S1000" s="4">
        <v>3</v>
      </c>
      <c r="T1000" s="4">
        <v>3</v>
      </c>
      <c r="U1000" s="5" t="s">
        <v>13056</v>
      </c>
      <c r="V1000" s="5" t="s">
        <v>13056</v>
      </c>
      <c r="W1000" s="5" t="s">
        <v>13057</v>
      </c>
      <c r="X1000" s="5" t="s">
        <v>13057</v>
      </c>
      <c r="Y1000" s="4">
        <v>589</v>
      </c>
      <c r="Z1000" s="4">
        <v>545</v>
      </c>
      <c r="AA1000" s="4">
        <v>601</v>
      </c>
      <c r="AB1000" s="4">
        <v>5</v>
      </c>
      <c r="AC1000" s="4">
        <v>5</v>
      </c>
      <c r="AD1000" s="4">
        <v>33</v>
      </c>
      <c r="AE1000" s="4">
        <v>37</v>
      </c>
      <c r="AF1000" s="4">
        <v>12</v>
      </c>
      <c r="AG1000" s="4">
        <v>15</v>
      </c>
      <c r="AH1000" s="4">
        <v>8</v>
      </c>
      <c r="AI1000" s="4">
        <v>10</v>
      </c>
      <c r="AJ1000" s="4">
        <v>20</v>
      </c>
      <c r="AK1000" s="4">
        <v>20</v>
      </c>
      <c r="AL1000" s="4">
        <v>4</v>
      </c>
      <c r="AM1000" s="4">
        <v>4</v>
      </c>
      <c r="AN1000" s="4">
        <v>0</v>
      </c>
      <c r="AO1000" s="4">
        <v>0</v>
      </c>
      <c r="AP1000" s="3" t="s">
        <v>58</v>
      </c>
      <c r="AQ1000" s="3" t="s">
        <v>58</v>
      </c>
      <c r="AS1000" s="6" t="str">
        <f>HYPERLINK("https://creighton-primo.hosted.exlibrisgroup.com/primo-explore/search?tab=default_tab&amp;search_scope=EVERYTHING&amp;vid=01CRU&amp;lang=en_US&amp;offset=0&amp;query=any,contains,991003209669702656","Catalog Record")</f>
        <v>Catalog Record</v>
      </c>
      <c r="AT1000" s="6" t="str">
        <f>HYPERLINK("http://www.worldcat.org/oclc/36458217","WorldCat Record")</f>
        <v>WorldCat Record</v>
      </c>
      <c r="AU1000" s="3" t="s">
        <v>13058</v>
      </c>
      <c r="AV1000" s="3" t="s">
        <v>13059</v>
      </c>
      <c r="AW1000" s="3" t="s">
        <v>13060</v>
      </c>
      <c r="AX1000" s="3" t="s">
        <v>13060</v>
      </c>
      <c r="AY1000" s="3" t="s">
        <v>13061</v>
      </c>
      <c r="AZ1000" s="3" t="s">
        <v>74</v>
      </c>
      <c r="BB1000" s="3" t="s">
        <v>13062</v>
      </c>
      <c r="BC1000" s="3" t="s">
        <v>13063</v>
      </c>
      <c r="BD1000" s="3" t="s">
        <v>13064</v>
      </c>
    </row>
    <row r="1001" spans="1:56" ht="45.75" customHeight="1" x14ac:dyDescent="0.25">
      <c r="A1001" s="7" t="s">
        <v>58</v>
      </c>
      <c r="B1001" s="2" t="s">
        <v>13065</v>
      </c>
      <c r="C1001" s="2" t="s">
        <v>13066</v>
      </c>
      <c r="D1001" s="2" t="s">
        <v>13067</v>
      </c>
      <c r="F1001" s="3" t="s">
        <v>58</v>
      </c>
      <c r="G1001" s="3" t="s">
        <v>59</v>
      </c>
      <c r="H1001" s="3" t="s">
        <v>58</v>
      </c>
      <c r="I1001" s="3" t="s">
        <v>58</v>
      </c>
      <c r="J1001" s="3" t="s">
        <v>60</v>
      </c>
      <c r="K1001" s="2" t="s">
        <v>13068</v>
      </c>
      <c r="L1001" s="2" t="s">
        <v>13069</v>
      </c>
      <c r="M1001" s="3" t="s">
        <v>1254</v>
      </c>
      <c r="O1001" s="3" t="s">
        <v>65</v>
      </c>
      <c r="P1001" s="3" t="s">
        <v>190</v>
      </c>
      <c r="R1001" s="3" t="s">
        <v>67</v>
      </c>
      <c r="S1001" s="4">
        <v>12</v>
      </c>
      <c r="T1001" s="4">
        <v>12</v>
      </c>
      <c r="U1001" s="5" t="s">
        <v>12696</v>
      </c>
      <c r="V1001" s="5" t="s">
        <v>12696</v>
      </c>
      <c r="W1001" s="5" t="s">
        <v>715</v>
      </c>
      <c r="X1001" s="5" t="s">
        <v>715</v>
      </c>
      <c r="Y1001" s="4">
        <v>1035</v>
      </c>
      <c r="Z1001" s="4">
        <v>924</v>
      </c>
      <c r="AA1001" s="4">
        <v>946</v>
      </c>
      <c r="AB1001" s="4">
        <v>7</v>
      </c>
      <c r="AC1001" s="4">
        <v>7</v>
      </c>
      <c r="AD1001" s="4">
        <v>40</v>
      </c>
      <c r="AE1001" s="4">
        <v>40</v>
      </c>
      <c r="AF1001" s="4">
        <v>14</v>
      </c>
      <c r="AG1001" s="4">
        <v>14</v>
      </c>
      <c r="AH1001" s="4">
        <v>9</v>
      </c>
      <c r="AI1001" s="4">
        <v>9</v>
      </c>
      <c r="AJ1001" s="4">
        <v>10</v>
      </c>
      <c r="AK1001" s="4">
        <v>10</v>
      </c>
      <c r="AL1001" s="4">
        <v>5</v>
      </c>
      <c r="AM1001" s="4">
        <v>5</v>
      </c>
      <c r="AN1001" s="4">
        <v>8</v>
      </c>
      <c r="AO1001" s="4">
        <v>8</v>
      </c>
      <c r="AP1001" s="3" t="s">
        <v>58</v>
      </c>
      <c r="AQ1001" s="3" t="s">
        <v>58</v>
      </c>
      <c r="AS1001" s="6" t="str">
        <f>HYPERLINK("https://creighton-primo.hosted.exlibrisgroup.com/primo-explore/search?tab=default_tab&amp;search_scope=EVERYTHING&amp;vid=01CRU&amp;lang=en_US&amp;offset=0&amp;query=any,contains,991000312399702656","Catalog Record")</f>
        <v>Catalog Record</v>
      </c>
      <c r="AT1001" s="6" t="str">
        <f>HYPERLINK("http://www.worldcat.org/oclc/10100651","WorldCat Record")</f>
        <v>WorldCat Record</v>
      </c>
      <c r="AU1001" s="3" t="s">
        <v>13070</v>
      </c>
      <c r="AV1001" s="3" t="s">
        <v>13071</v>
      </c>
      <c r="AW1001" s="3" t="s">
        <v>13072</v>
      </c>
      <c r="AX1001" s="3" t="s">
        <v>13072</v>
      </c>
      <c r="AY1001" s="3" t="s">
        <v>13073</v>
      </c>
      <c r="AZ1001" s="3" t="s">
        <v>74</v>
      </c>
      <c r="BB1001" s="3" t="s">
        <v>13074</v>
      </c>
      <c r="BC1001" s="3" t="s">
        <v>13075</v>
      </c>
      <c r="BD1001" s="3" t="s">
        <v>13076</v>
      </c>
    </row>
    <row r="1002" spans="1:56" ht="45.75" customHeight="1" x14ac:dyDescent="0.25">
      <c r="A1002" s="7" t="s">
        <v>58</v>
      </c>
      <c r="B1002" s="2" t="s">
        <v>13077</v>
      </c>
      <c r="C1002" s="2" t="s">
        <v>13078</v>
      </c>
      <c r="D1002" s="2" t="s">
        <v>13079</v>
      </c>
      <c r="F1002" s="3" t="s">
        <v>58</v>
      </c>
      <c r="G1002" s="3" t="s">
        <v>59</v>
      </c>
      <c r="H1002" s="3" t="s">
        <v>58</v>
      </c>
      <c r="I1002" s="3" t="s">
        <v>58</v>
      </c>
      <c r="J1002" s="3" t="s">
        <v>60</v>
      </c>
      <c r="L1002" s="2" t="s">
        <v>13080</v>
      </c>
      <c r="M1002" s="3" t="s">
        <v>1058</v>
      </c>
      <c r="O1002" s="3" t="s">
        <v>65</v>
      </c>
      <c r="P1002" s="3" t="s">
        <v>84</v>
      </c>
      <c r="Q1002" s="2" t="s">
        <v>13081</v>
      </c>
      <c r="R1002" s="3" t="s">
        <v>67</v>
      </c>
      <c r="S1002" s="4">
        <v>5</v>
      </c>
      <c r="T1002" s="4">
        <v>5</v>
      </c>
      <c r="U1002" s="5" t="s">
        <v>13082</v>
      </c>
      <c r="V1002" s="5" t="s">
        <v>13082</v>
      </c>
      <c r="W1002" s="5" t="s">
        <v>13083</v>
      </c>
      <c r="X1002" s="5" t="s">
        <v>13083</v>
      </c>
      <c r="Y1002" s="4">
        <v>540</v>
      </c>
      <c r="Z1002" s="4">
        <v>453</v>
      </c>
      <c r="AA1002" s="4">
        <v>457</v>
      </c>
      <c r="AB1002" s="4">
        <v>6</v>
      </c>
      <c r="AC1002" s="4">
        <v>6</v>
      </c>
      <c r="AD1002" s="4">
        <v>27</v>
      </c>
      <c r="AE1002" s="4">
        <v>27</v>
      </c>
      <c r="AF1002" s="4">
        <v>10</v>
      </c>
      <c r="AG1002" s="4">
        <v>10</v>
      </c>
      <c r="AH1002" s="4">
        <v>5</v>
      </c>
      <c r="AI1002" s="4">
        <v>5</v>
      </c>
      <c r="AJ1002" s="4">
        <v>11</v>
      </c>
      <c r="AK1002" s="4">
        <v>11</v>
      </c>
      <c r="AL1002" s="4">
        <v>5</v>
      </c>
      <c r="AM1002" s="4">
        <v>5</v>
      </c>
      <c r="AN1002" s="4">
        <v>1</v>
      </c>
      <c r="AO1002" s="4">
        <v>1</v>
      </c>
      <c r="AP1002" s="3" t="s">
        <v>58</v>
      </c>
      <c r="AQ1002" s="3" t="s">
        <v>58</v>
      </c>
      <c r="AS1002" s="6" t="str">
        <f>HYPERLINK("https://creighton-primo.hosted.exlibrisgroup.com/primo-explore/search?tab=default_tab&amp;search_scope=EVERYTHING&amp;vid=01CRU&amp;lang=en_US&amp;offset=0&amp;query=any,contains,991001227769702656","Catalog Record")</f>
        <v>Catalog Record</v>
      </c>
      <c r="AT1002" s="6" t="str">
        <f>HYPERLINK("http://www.worldcat.org/oclc/17510085","WorldCat Record")</f>
        <v>WorldCat Record</v>
      </c>
      <c r="AU1002" s="3" t="s">
        <v>13084</v>
      </c>
      <c r="AV1002" s="3" t="s">
        <v>13085</v>
      </c>
      <c r="AW1002" s="3" t="s">
        <v>13086</v>
      </c>
      <c r="AX1002" s="3" t="s">
        <v>13086</v>
      </c>
      <c r="AY1002" s="3" t="s">
        <v>13087</v>
      </c>
      <c r="AZ1002" s="3" t="s">
        <v>74</v>
      </c>
      <c r="BB1002" s="3" t="s">
        <v>13088</v>
      </c>
      <c r="BC1002" s="3" t="s">
        <v>13089</v>
      </c>
      <c r="BD1002" s="3" t="s">
        <v>13090</v>
      </c>
    </row>
    <row r="1003" spans="1:56" ht="45.75" customHeight="1" x14ac:dyDescent="0.25">
      <c r="A1003" s="7" t="s">
        <v>58</v>
      </c>
      <c r="B1003" s="2" t="s">
        <v>13091</v>
      </c>
      <c r="C1003" s="2" t="s">
        <v>13092</v>
      </c>
      <c r="D1003" s="2" t="s">
        <v>13093</v>
      </c>
      <c r="F1003" s="3" t="s">
        <v>58</v>
      </c>
      <c r="G1003" s="3" t="s">
        <v>59</v>
      </c>
      <c r="H1003" s="3" t="s">
        <v>58</v>
      </c>
      <c r="I1003" s="3" t="s">
        <v>58</v>
      </c>
      <c r="J1003" s="3" t="s">
        <v>60</v>
      </c>
      <c r="K1003" s="2" t="s">
        <v>13094</v>
      </c>
      <c r="L1003" s="2" t="s">
        <v>13095</v>
      </c>
      <c r="M1003" s="3" t="s">
        <v>1500</v>
      </c>
      <c r="O1003" s="3" t="s">
        <v>65</v>
      </c>
      <c r="P1003" s="3" t="s">
        <v>9294</v>
      </c>
      <c r="R1003" s="3" t="s">
        <v>67</v>
      </c>
      <c r="S1003" s="4">
        <v>28</v>
      </c>
      <c r="T1003" s="4">
        <v>28</v>
      </c>
      <c r="U1003" s="5" t="s">
        <v>13096</v>
      </c>
      <c r="V1003" s="5" t="s">
        <v>13096</v>
      </c>
      <c r="W1003" s="5" t="s">
        <v>11425</v>
      </c>
      <c r="X1003" s="5" t="s">
        <v>11425</v>
      </c>
      <c r="Y1003" s="4">
        <v>536</v>
      </c>
      <c r="Z1003" s="4">
        <v>487</v>
      </c>
      <c r="AA1003" s="4">
        <v>495</v>
      </c>
      <c r="AB1003" s="4">
        <v>4</v>
      </c>
      <c r="AC1003" s="4">
        <v>4</v>
      </c>
      <c r="AD1003" s="4">
        <v>15</v>
      </c>
      <c r="AE1003" s="4">
        <v>15</v>
      </c>
      <c r="AF1003" s="4">
        <v>6</v>
      </c>
      <c r="AG1003" s="4">
        <v>6</v>
      </c>
      <c r="AH1003" s="4">
        <v>1</v>
      </c>
      <c r="AI1003" s="4">
        <v>1</v>
      </c>
      <c r="AJ1003" s="4">
        <v>3</v>
      </c>
      <c r="AK1003" s="4">
        <v>3</v>
      </c>
      <c r="AL1003" s="4">
        <v>1</v>
      </c>
      <c r="AM1003" s="4">
        <v>1</v>
      </c>
      <c r="AN1003" s="4">
        <v>6</v>
      </c>
      <c r="AO1003" s="4">
        <v>6</v>
      </c>
      <c r="AP1003" s="3" t="s">
        <v>58</v>
      </c>
      <c r="AQ1003" s="3" t="s">
        <v>87</v>
      </c>
      <c r="AR1003" s="6" t="str">
        <f>HYPERLINK("http://catalog.hathitrust.org/Record/000086078","HathiTrust Record")</f>
        <v>HathiTrust Record</v>
      </c>
      <c r="AS1003" s="6" t="str">
        <f>HYPERLINK("https://creighton-primo.hosted.exlibrisgroup.com/primo-explore/search?tab=default_tab&amp;search_scope=EVERYTHING&amp;vid=01CRU&amp;lang=en_US&amp;offset=0&amp;query=any,contains,991004992029702656","Catalog Record")</f>
        <v>Catalog Record</v>
      </c>
      <c r="AT1003" s="6" t="str">
        <f>HYPERLINK("http://www.worldcat.org/oclc/6487603","WorldCat Record")</f>
        <v>WorldCat Record</v>
      </c>
      <c r="AU1003" s="3" t="s">
        <v>13097</v>
      </c>
      <c r="AV1003" s="3" t="s">
        <v>13098</v>
      </c>
      <c r="AW1003" s="3" t="s">
        <v>13099</v>
      </c>
      <c r="AX1003" s="3" t="s">
        <v>13099</v>
      </c>
      <c r="AY1003" s="3" t="s">
        <v>13100</v>
      </c>
      <c r="AZ1003" s="3" t="s">
        <v>74</v>
      </c>
      <c r="BB1003" s="3" t="s">
        <v>13101</v>
      </c>
      <c r="BC1003" s="3" t="s">
        <v>13102</v>
      </c>
      <c r="BD1003" s="3" t="s">
        <v>13103</v>
      </c>
    </row>
    <row r="1004" spans="1:56" ht="45.75" customHeight="1" x14ac:dyDescent="0.25">
      <c r="A1004" s="7" t="s">
        <v>58</v>
      </c>
      <c r="B1004" s="2" t="s">
        <v>13104</v>
      </c>
      <c r="C1004" s="2" t="s">
        <v>13105</v>
      </c>
      <c r="D1004" s="2" t="s">
        <v>13106</v>
      </c>
      <c r="F1004" s="3" t="s">
        <v>58</v>
      </c>
      <c r="G1004" s="3" t="s">
        <v>59</v>
      </c>
      <c r="H1004" s="3" t="s">
        <v>58</v>
      </c>
      <c r="I1004" s="3" t="s">
        <v>58</v>
      </c>
      <c r="J1004" s="3" t="s">
        <v>60</v>
      </c>
      <c r="K1004" s="2" t="s">
        <v>13107</v>
      </c>
      <c r="L1004" s="2" t="s">
        <v>13108</v>
      </c>
      <c r="M1004" s="3" t="s">
        <v>147</v>
      </c>
      <c r="O1004" s="3" t="s">
        <v>65</v>
      </c>
      <c r="P1004" s="3" t="s">
        <v>84</v>
      </c>
      <c r="Q1004" s="2" t="s">
        <v>13109</v>
      </c>
      <c r="R1004" s="3" t="s">
        <v>67</v>
      </c>
      <c r="S1004" s="4">
        <v>1</v>
      </c>
      <c r="T1004" s="4">
        <v>1</v>
      </c>
      <c r="U1004" s="5" t="s">
        <v>13110</v>
      </c>
      <c r="V1004" s="5" t="s">
        <v>13110</v>
      </c>
      <c r="W1004" s="5" t="s">
        <v>13110</v>
      </c>
      <c r="X1004" s="5" t="s">
        <v>13110</v>
      </c>
      <c r="Y1004" s="4">
        <v>44</v>
      </c>
      <c r="Z1004" s="4">
        <v>43</v>
      </c>
      <c r="AA1004" s="4">
        <v>43</v>
      </c>
      <c r="AB1004" s="4">
        <v>1</v>
      </c>
      <c r="AC1004" s="4">
        <v>1</v>
      </c>
      <c r="AD1004" s="4">
        <v>3</v>
      </c>
      <c r="AE1004" s="4">
        <v>3</v>
      </c>
      <c r="AF1004" s="4">
        <v>2</v>
      </c>
      <c r="AG1004" s="4">
        <v>2</v>
      </c>
      <c r="AH1004" s="4">
        <v>0</v>
      </c>
      <c r="AI1004" s="4">
        <v>0</v>
      </c>
      <c r="AJ1004" s="4">
        <v>2</v>
      </c>
      <c r="AK1004" s="4">
        <v>2</v>
      </c>
      <c r="AL1004" s="4">
        <v>0</v>
      </c>
      <c r="AM1004" s="4">
        <v>0</v>
      </c>
      <c r="AN1004" s="4">
        <v>0</v>
      </c>
      <c r="AO1004" s="4">
        <v>0</v>
      </c>
      <c r="AP1004" s="3" t="s">
        <v>58</v>
      </c>
      <c r="AQ1004" s="3" t="s">
        <v>58</v>
      </c>
      <c r="AS1004" s="6" t="str">
        <f>HYPERLINK("https://creighton-primo.hosted.exlibrisgroup.com/primo-explore/search?tab=default_tab&amp;search_scope=EVERYTHING&amp;vid=01CRU&amp;lang=en_US&amp;offset=0&amp;query=any,contains,991004440919702656","Catalog Record")</f>
        <v>Catalog Record</v>
      </c>
      <c r="AT1004" s="6" t="str">
        <f>HYPERLINK("http://www.worldcat.org/oclc/57442579","WorldCat Record")</f>
        <v>WorldCat Record</v>
      </c>
      <c r="AU1004" s="3" t="s">
        <v>13111</v>
      </c>
      <c r="AV1004" s="3" t="s">
        <v>13112</v>
      </c>
      <c r="AW1004" s="3" t="s">
        <v>13113</v>
      </c>
      <c r="AX1004" s="3" t="s">
        <v>13113</v>
      </c>
      <c r="AY1004" s="3" t="s">
        <v>13114</v>
      </c>
      <c r="AZ1004" s="3" t="s">
        <v>74</v>
      </c>
      <c r="BC1004" s="3" t="s">
        <v>13115</v>
      </c>
      <c r="BD1004" s="3" t="s">
        <v>13116</v>
      </c>
    </row>
    <row r="1005" spans="1:56" ht="45.75" customHeight="1" x14ac:dyDescent="0.25">
      <c r="A1005" s="7" t="s">
        <v>58</v>
      </c>
      <c r="B1005" s="2" t="s">
        <v>13117</v>
      </c>
      <c r="C1005" s="2" t="s">
        <v>13118</v>
      </c>
      <c r="D1005" s="2" t="s">
        <v>13119</v>
      </c>
      <c r="F1005" s="3" t="s">
        <v>58</v>
      </c>
      <c r="G1005" s="3" t="s">
        <v>59</v>
      </c>
      <c r="H1005" s="3" t="s">
        <v>58</v>
      </c>
      <c r="I1005" s="3" t="s">
        <v>58</v>
      </c>
      <c r="J1005" s="3" t="s">
        <v>60</v>
      </c>
      <c r="K1005" s="2" t="s">
        <v>13120</v>
      </c>
      <c r="L1005" s="2" t="s">
        <v>13121</v>
      </c>
      <c r="M1005" s="3" t="s">
        <v>1088</v>
      </c>
      <c r="O1005" s="3" t="s">
        <v>65</v>
      </c>
      <c r="P1005" s="3" t="s">
        <v>84</v>
      </c>
      <c r="R1005" s="3" t="s">
        <v>67</v>
      </c>
      <c r="S1005" s="4">
        <v>5</v>
      </c>
      <c r="T1005" s="4">
        <v>5</v>
      </c>
      <c r="U1005" s="5" t="s">
        <v>9986</v>
      </c>
      <c r="V1005" s="5" t="s">
        <v>9986</v>
      </c>
      <c r="W1005" s="5" t="s">
        <v>1046</v>
      </c>
      <c r="X1005" s="5" t="s">
        <v>1046</v>
      </c>
      <c r="Y1005" s="4">
        <v>321</v>
      </c>
      <c r="Z1005" s="4">
        <v>295</v>
      </c>
      <c r="AA1005" s="4">
        <v>368</v>
      </c>
      <c r="AB1005" s="4">
        <v>2</v>
      </c>
      <c r="AC1005" s="4">
        <v>3</v>
      </c>
      <c r="AD1005" s="4">
        <v>14</v>
      </c>
      <c r="AE1005" s="4">
        <v>18</v>
      </c>
      <c r="AF1005" s="4">
        <v>5</v>
      </c>
      <c r="AG1005" s="4">
        <v>6</v>
      </c>
      <c r="AH1005" s="4">
        <v>5</v>
      </c>
      <c r="AI1005" s="4">
        <v>5</v>
      </c>
      <c r="AJ1005" s="4">
        <v>3</v>
      </c>
      <c r="AK1005" s="4">
        <v>6</v>
      </c>
      <c r="AL1005" s="4">
        <v>1</v>
      </c>
      <c r="AM1005" s="4">
        <v>2</v>
      </c>
      <c r="AN1005" s="4">
        <v>3</v>
      </c>
      <c r="AO1005" s="4">
        <v>3</v>
      </c>
      <c r="AP1005" s="3" t="s">
        <v>58</v>
      </c>
      <c r="AQ1005" s="3" t="s">
        <v>58</v>
      </c>
      <c r="AS1005" s="6" t="str">
        <f>HYPERLINK("https://creighton-primo.hosted.exlibrisgroup.com/primo-explore/search?tab=default_tab&amp;search_scope=EVERYTHING&amp;vid=01CRU&amp;lang=en_US&amp;offset=0&amp;query=any,contains,991000537009702656","Catalog Record")</f>
        <v>Catalog Record</v>
      </c>
      <c r="AT1005" s="6" t="str">
        <f>HYPERLINK("http://www.worldcat.org/oclc/11467824","WorldCat Record")</f>
        <v>WorldCat Record</v>
      </c>
      <c r="AU1005" s="3" t="s">
        <v>13122</v>
      </c>
      <c r="AV1005" s="3" t="s">
        <v>13123</v>
      </c>
      <c r="AW1005" s="3" t="s">
        <v>13124</v>
      </c>
      <c r="AX1005" s="3" t="s">
        <v>13124</v>
      </c>
      <c r="AY1005" s="3" t="s">
        <v>13125</v>
      </c>
      <c r="AZ1005" s="3" t="s">
        <v>74</v>
      </c>
      <c r="BB1005" s="3" t="s">
        <v>13126</v>
      </c>
      <c r="BC1005" s="3" t="s">
        <v>13127</v>
      </c>
      <c r="BD1005" s="3" t="s">
        <v>13128</v>
      </c>
    </row>
    <row r="1006" spans="1:56" ht="45.75" customHeight="1" x14ac:dyDescent="0.25">
      <c r="A1006" s="7" t="s">
        <v>58</v>
      </c>
      <c r="B1006" s="2" t="s">
        <v>13129</v>
      </c>
      <c r="C1006" s="2" t="s">
        <v>13130</v>
      </c>
      <c r="D1006" s="2" t="s">
        <v>13131</v>
      </c>
      <c r="F1006" s="3" t="s">
        <v>58</v>
      </c>
      <c r="G1006" s="3" t="s">
        <v>59</v>
      </c>
      <c r="H1006" s="3" t="s">
        <v>58</v>
      </c>
      <c r="I1006" s="3" t="s">
        <v>58</v>
      </c>
      <c r="J1006" s="3" t="s">
        <v>60</v>
      </c>
      <c r="L1006" s="2" t="s">
        <v>13132</v>
      </c>
      <c r="M1006" s="3" t="s">
        <v>419</v>
      </c>
      <c r="N1006" s="2" t="s">
        <v>64</v>
      </c>
      <c r="O1006" s="3" t="s">
        <v>65</v>
      </c>
      <c r="P1006" s="3" t="s">
        <v>84</v>
      </c>
      <c r="Q1006" s="2" t="s">
        <v>3345</v>
      </c>
      <c r="R1006" s="3" t="s">
        <v>67</v>
      </c>
      <c r="S1006" s="4">
        <v>5</v>
      </c>
      <c r="T1006" s="4">
        <v>5</v>
      </c>
      <c r="U1006" s="5" t="s">
        <v>13133</v>
      </c>
      <c r="V1006" s="5" t="s">
        <v>13133</v>
      </c>
      <c r="W1006" s="5" t="s">
        <v>13134</v>
      </c>
      <c r="X1006" s="5" t="s">
        <v>13134</v>
      </c>
      <c r="Y1006" s="4">
        <v>298</v>
      </c>
      <c r="Z1006" s="4">
        <v>254</v>
      </c>
      <c r="AA1006" s="4">
        <v>592</v>
      </c>
      <c r="AB1006" s="4">
        <v>2</v>
      </c>
      <c r="AC1006" s="4">
        <v>5</v>
      </c>
      <c r="AD1006" s="4">
        <v>10</v>
      </c>
      <c r="AE1006" s="4">
        <v>25</v>
      </c>
      <c r="AF1006" s="4">
        <v>1</v>
      </c>
      <c r="AG1006" s="4">
        <v>7</v>
      </c>
      <c r="AH1006" s="4">
        <v>3</v>
      </c>
      <c r="AI1006" s="4">
        <v>8</v>
      </c>
      <c r="AJ1006" s="4">
        <v>6</v>
      </c>
      <c r="AK1006" s="4">
        <v>11</v>
      </c>
      <c r="AL1006" s="4">
        <v>1</v>
      </c>
      <c r="AM1006" s="4">
        <v>4</v>
      </c>
      <c r="AN1006" s="4">
        <v>0</v>
      </c>
      <c r="AO1006" s="4">
        <v>0</v>
      </c>
      <c r="AP1006" s="3" t="s">
        <v>58</v>
      </c>
      <c r="AQ1006" s="3" t="s">
        <v>58</v>
      </c>
      <c r="AS1006" s="6" t="str">
        <f>HYPERLINK("https://creighton-primo.hosted.exlibrisgroup.com/primo-explore/search?tab=default_tab&amp;search_scope=EVERYTHING&amp;vid=01CRU&amp;lang=en_US&amp;offset=0&amp;query=any,contains,991003330219702656","Catalog Record")</f>
        <v>Catalog Record</v>
      </c>
      <c r="AT1006" s="6" t="str">
        <f>HYPERLINK("http://www.worldcat.org/oclc/43757522","WorldCat Record")</f>
        <v>WorldCat Record</v>
      </c>
      <c r="AU1006" s="3" t="s">
        <v>13135</v>
      </c>
      <c r="AV1006" s="3" t="s">
        <v>13136</v>
      </c>
      <c r="AW1006" s="3" t="s">
        <v>13137</v>
      </c>
      <c r="AX1006" s="3" t="s">
        <v>13137</v>
      </c>
      <c r="AY1006" s="3" t="s">
        <v>13138</v>
      </c>
      <c r="AZ1006" s="3" t="s">
        <v>74</v>
      </c>
      <c r="BB1006" s="3" t="s">
        <v>13139</v>
      </c>
      <c r="BC1006" s="3" t="s">
        <v>13140</v>
      </c>
      <c r="BD1006" s="3" t="s">
        <v>13141</v>
      </c>
    </row>
    <row r="1007" spans="1:56" ht="45.75" customHeight="1" x14ac:dyDescent="0.25">
      <c r="A1007" s="7" t="s">
        <v>58</v>
      </c>
      <c r="B1007" s="2" t="s">
        <v>13142</v>
      </c>
      <c r="C1007" s="2" t="s">
        <v>13143</v>
      </c>
      <c r="D1007" s="2" t="s">
        <v>13144</v>
      </c>
      <c r="F1007" s="3" t="s">
        <v>58</v>
      </c>
      <c r="G1007" s="3" t="s">
        <v>59</v>
      </c>
      <c r="H1007" s="3" t="s">
        <v>58</v>
      </c>
      <c r="I1007" s="3" t="s">
        <v>58</v>
      </c>
      <c r="J1007" s="3" t="s">
        <v>60</v>
      </c>
      <c r="K1007" s="2" t="s">
        <v>13145</v>
      </c>
      <c r="L1007" s="2" t="s">
        <v>6976</v>
      </c>
      <c r="M1007" s="3" t="s">
        <v>742</v>
      </c>
      <c r="O1007" s="3" t="s">
        <v>65</v>
      </c>
      <c r="P1007" s="3" t="s">
        <v>84</v>
      </c>
      <c r="R1007" s="3" t="s">
        <v>67</v>
      </c>
      <c r="S1007" s="4">
        <v>15</v>
      </c>
      <c r="T1007" s="4">
        <v>15</v>
      </c>
      <c r="U1007" s="5" t="s">
        <v>13096</v>
      </c>
      <c r="V1007" s="5" t="s">
        <v>13096</v>
      </c>
      <c r="W1007" s="5" t="s">
        <v>965</v>
      </c>
      <c r="X1007" s="5" t="s">
        <v>965</v>
      </c>
      <c r="Y1007" s="4">
        <v>555</v>
      </c>
      <c r="Z1007" s="4">
        <v>509</v>
      </c>
      <c r="AA1007" s="4">
        <v>511</v>
      </c>
      <c r="AB1007" s="4">
        <v>4</v>
      </c>
      <c r="AC1007" s="4">
        <v>4</v>
      </c>
      <c r="AD1007" s="4">
        <v>25</v>
      </c>
      <c r="AE1007" s="4">
        <v>25</v>
      </c>
      <c r="AF1007" s="4">
        <v>6</v>
      </c>
      <c r="AG1007" s="4">
        <v>6</v>
      </c>
      <c r="AH1007" s="4">
        <v>7</v>
      </c>
      <c r="AI1007" s="4">
        <v>7</v>
      </c>
      <c r="AJ1007" s="4">
        <v>14</v>
      </c>
      <c r="AK1007" s="4">
        <v>14</v>
      </c>
      <c r="AL1007" s="4">
        <v>3</v>
      </c>
      <c r="AM1007" s="4">
        <v>3</v>
      </c>
      <c r="AN1007" s="4">
        <v>0</v>
      </c>
      <c r="AO1007" s="4">
        <v>0</v>
      </c>
      <c r="AP1007" s="3" t="s">
        <v>58</v>
      </c>
      <c r="AQ1007" s="3" t="s">
        <v>87</v>
      </c>
      <c r="AR1007" s="6" t="str">
        <f>HYPERLINK("http://catalog.hathitrust.org/Record/004454049","HathiTrust Record")</f>
        <v>HathiTrust Record</v>
      </c>
      <c r="AS1007" s="6" t="str">
        <f>HYPERLINK("https://creighton-primo.hosted.exlibrisgroup.com/primo-explore/search?tab=default_tab&amp;search_scope=EVERYTHING&amp;vid=01CRU&amp;lang=en_US&amp;offset=0&amp;query=any,contains,991001494829702656","Catalog Record")</f>
        <v>Catalog Record</v>
      </c>
      <c r="AT1007" s="6" t="str">
        <f>HYPERLINK("http://www.worldcat.org/oclc/19742172","WorldCat Record")</f>
        <v>WorldCat Record</v>
      </c>
      <c r="AU1007" s="3" t="s">
        <v>13146</v>
      </c>
      <c r="AV1007" s="3" t="s">
        <v>13147</v>
      </c>
      <c r="AW1007" s="3" t="s">
        <v>13148</v>
      </c>
      <c r="AX1007" s="3" t="s">
        <v>13148</v>
      </c>
      <c r="AY1007" s="3" t="s">
        <v>13149</v>
      </c>
      <c r="AZ1007" s="3" t="s">
        <v>74</v>
      </c>
      <c r="BB1007" s="3" t="s">
        <v>13150</v>
      </c>
      <c r="BC1007" s="3" t="s">
        <v>13151</v>
      </c>
      <c r="BD1007" s="3" t="s">
        <v>13152</v>
      </c>
    </row>
    <row r="1008" spans="1:56" ht="45.75" customHeight="1" x14ac:dyDescent="0.25">
      <c r="A1008" s="7" t="s">
        <v>58</v>
      </c>
      <c r="B1008" s="2" t="s">
        <v>13153</v>
      </c>
      <c r="C1008" s="2" t="s">
        <v>13154</v>
      </c>
      <c r="D1008" s="2" t="s">
        <v>13155</v>
      </c>
      <c r="F1008" s="3" t="s">
        <v>58</v>
      </c>
      <c r="G1008" s="3" t="s">
        <v>59</v>
      </c>
      <c r="H1008" s="3" t="s">
        <v>58</v>
      </c>
      <c r="I1008" s="3" t="s">
        <v>58</v>
      </c>
      <c r="J1008" s="3" t="s">
        <v>60</v>
      </c>
      <c r="K1008" s="2" t="s">
        <v>13156</v>
      </c>
      <c r="L1008" s="2" t="s">
        <v>13157</v>
      </c>
      <c r="M1008" s="3" t="s">
        <v>1998</v>
      </c>
      <c r="O1008" s="3" t="s">
        <v>65</v>
      </c>
      <c r="P1008" s="3" t="s">
        <v>84</v>
      </c>
      <c r="Q1008" s="2" t="s">
        <v>13158</v>
      </c>
      <c r="R1008" s="3" t="s">
        <v>67</v>
      </c>
      <c r="S1008" s="4">
        <v>1</v>
      </c>
      <c r="T1008" s="4">
        <v>1</v>
      </c>
      <c r="U1008" s="5" t="s">
        <v>13159</v>
      </c>
      <c r="V1008" s="5" t="s">
        <v>13159</v>
      </c>
      <c r="W1008" s="5" t="s">
        <v>5038</v>
      </c>
      <c r="X1008" s="5" t="s">
        <v>5038</v>
      </c>
      <c r="Y1008" s="4">
        <v>118</v>
      </c>
      <c r="Z1008" s="4">
        <v>99</v>
      </c>
      <c r="AA1008" s="4">
        <v>100</v>
      </c>
      <c r="AB1008" s="4">
        <v>3</v>
      </c>
      <c r="AC1008" s="4">
        <v>3</v>
      </c>
      <c r="AD1008" s="4">
        <v>7</v>
      </c>
      <c r="AE1008" s="4">
        <v>7</v>
      </c>
      <c r="AF1008" s="4">
        <v>2</v>
      </c>
      <c r="AG1008" s="4">
        <v>2</v>
      </c>
      <c r="AH1008" s="4">
        <v>1</v>
      </c>
      <c r="AI1008" s="4">
        <v>1</v>
      </c>
      <c r="AJ1008" s="4">
        <v>1</v>
      </c>
      <c r="AK1008" s="4">
        <v>1</v>
      </c>
      <c r="AL1008" s="4">
        <v>1</v>
      </c>
      <c r="AM1008" s="4">
        <v>1</v>
      </c>
      <c r="AN1008" s="4">
        <v>2</v>
      </c>
      <c r="AO1008" s="4">
        <v>2</v>
      </c>
      <c r="AP1008" s="3" t="s">
        <v>58</v>
      </c>
      <c r="AQ1008" s="3" t="s">
        <v>58</v>
      </c>
      <c r="AS1008" s="6" t="str">
        <f>HYPERLINK("https://creighton-primo.hosted.exlibrisgroup.com/primo-explore/search?tab=default_tab&amp;search_scope=EVERYTHING&amp;vid=01CRU&amp;lang=en_US&amp;offset=0&amp;query=any,contains,991003364639702656","Catalog Record")</f>
        <v>Catalog Record</v>
      </c>
      <c r="AT1008" s="6" t="str">
        <f>HYPERLINK("http://www.worldcat.org/oclc/900968","WorldCat Record")</f>
        <v>WorldCat Record</v>
      </c>
      <c r="AU1008" s="3" t="s">
        <v>13160</v>
      </c>
      <c r="AV1008" s="3" t="s">
        <v>13161</v>
      </c>
      <c r="AW1008" s="3" t="s">
        <v>13162</v>
      </c>
      <c r="AX1008" s="3" t="s">
        <v>13162</v>
      </c>
      <c r="AY1008" s="3" t="s">
        <v>13163</v>
      </c>
      <c r="AZ1008" s="3" t="s">
        <v>74</v>
      </c>
      <c r="BB1008" s="3" t="s">
        <v>13164</v>
      </c>
      <c r="BC1008" s="3" t="s">
        <v>13165</v>
      </c>
      <c r="BD1008" s="3" t="s">
        <v>13166</v>
      </c>
    </row>
    <row r="1009" spans="1:56" ht="45.75" customHeight="1" x14ac:dyDescent="0.25">
      <c r="A1009" s="7" t="s">
        <v>58</v>
      </c>
      <c r="B1009" s="2" t="s">
        <v>13167</v>
      </c>
      <c r="C1009" s="2" t="s">
        <v>13168</v>
      </c>
      <c r="D1009" s="2" t="s">
        <v>13169</v>
      </c>
      <c r="F1009" s="3" t="s">
        <v>58</v>
      </c>
      <c r="G1009" s="3" t="s">
        <v>59</v>
      </c>
      <c r="H1009" s="3" t="s">
        <v>58</v>
      </c>
      <c r="I1009" s="3" t="s">
        <v>58</v>
      </c>
      <c r="J1009" s="3" t="s">
        <v>60</v>
      </c>
      <c r="L1009" s="2" t="s">
        <v>13170</v>
      </c>
      <c r="M1009" s="3" t="s">
        <v>220</v>
      </c>
      <c r="O1009" s="3" t="s">
        <v>65</v>
      </c>
      <c r="P1009" s="3" t="s">
        <v>84</v>
      </c>
      <c r="R1009" s="3" t="s">
        <v>67</v>
      </c>
      <c r="S1009" s="4">
        <v>6</v>
      </c>
      <c r="T1009" s="4">
        <v>6</v>
      </c>
      <c r="U1009" s="5" t="s">
        <v>12732</v>
      </c>
      <c r="V1009" s="5" t="s">
        <v>12732</v>
      </c>
      <c r="W1009" s="5" t="s">
        <v>13171</v>
      </c>
      <c r="X1009" s="5" t="s">
        <v>13171</v>
      </c>
      <c r="Y1009" s="4">
        <v>104</v>
      </c>
      <c r="Z1009" s="4">
        <v>86</v>
      </c>
      <c r="AA1009" s="4">
        <v>106</v>
      </c>
      <c r="AB1009" s="4">
        <v>1</v>
      </c>
      <c r="AC1009" s="4">
        <v>1</v>
      </c>
      <c r="AD1009" s="4">
        <v>3</v>
      </c>
      <c r="AE1009" s="4">
        <v>3</v>
      </c>
      <c r="AF1009" s="4">
        <v>1</v>
      </c>
      <c r="AG1009" s="4">
        <v>1</v>
      </c>
      <c r="AH1009" s="4">
        <v>0</v>
      </c>
      <c r="AI1009" s="4">
        <v>0</v>
      </c>
      <c r="AJ1009" s="4">
        <v>2</v>
      </c>
      <c r="AK1009" s="4">
        <v>2</v>
      </c>
      <c r="AL1009" s="4">
        <v>0</v>
      </c>
      <c r="AM1009" s="4">
        <v>0</v>
      </c>
      <c r="AN1009" s="4">
        <v>0</v>
      </c>
      <c r="AO1009" s="4">
        <v>0</v>
      </c>
      <c r="AP1009" s="3" t="s">
        <v>58</v>
      </c>
      <c r="AQ1009" s="3" t="s">
        <v>58</v>
      </c>
      <c r="AS1009" s="6" t="str">
        <f>HYPERLINK("https://creighton-primo.hosted.exlibrisgroup.com/primo-explore/search?tab=default_tab&amp;search_scope=EVERYTHING&amp;vid=01CRU&amp;lang=en_US&amp;offset=0&amp;query=any,contains,991003473929702656","Catalog Record")</f>
        <v>Catalog Record</v>
      </c>
      <c r="AT1009" s="6" t="str">
        <f>HYPERLINK("http://www.worldcat.org/oclc/43118207","WorldCat Record")</f>
        <v>WorldCat Record</v>
      </c>
      <c r="AU1009" s="3" t="s">
        <v>13172</v>
      </c>
      <c r="AV1009" s="3" t="s">
        <v>13173</v>
      </c>
      <c r="AW1009" s="3" t="s">
        <v>13174</v>
      </c>
      <c r="AX1009" s="3" t="s">
        <v>13174</v>
      </c>
      <c r="AY1009" s="3" t="s">
        <v>13175</v>
      </c>
      <c r="AZ1009" s="3" t="s">
        <v>74</v>
      </c>
      <c r="BB1009" s="3" t="s">
        <v>13176</v>
      </c>
      <c r="BC1009" s="3" t="s">
        <v>13177</v>
      </c>
      <c r="BD1009" s="3" t="s">
        <v>13178</v>
      </c>
    </row>
    <row r="1010" spans="1:56" ht="45.75" customHeight="1" x14ac:dyDescent="0.25">
      <c r="A1010" s="7" t="s">
        <v>58</v>
      </c>
      <c r="B1010" s="2" t="s">
        <v>13179</v>
      </c>
      <c r="C1010" s="2" t="s">
        <v>13180</v>
      </c>
      <c r="D1010" s="2" t="s">
        <v>13181</v>
      </c>
      <c r="F1010" s="3" t="s">
        <v>58</v>
      </c>
      <c r="G1010" s="3" t="s">
        <v>59</v>
      </c>
      <c r="H1010" s="3" t="s">
        <v>58</v>
      </c>
      <c r="I1010" s="3" t="s">
        <v>58</v>
      </c>
      <c r="J1010" s="3" t="s">
        <v>60</v>
      </c>
      <c r="L1010" s="2" t="s">
        <v>13182</v>
      </c>
      <c r="M1010" s="3" t="s">
        <v>147</v>
      </c>
      <c r="N1010" s="2" t="s">
        <v>64</v>
      </c>
      <c r="O1010" s="3" t="s">
        <v>65</v>
      </c>
      <c r="P1010" s="3" t="s">
        <v>66</v>
      </c>
      <c r="R1010" s="3" t="s">
        <v>67</v>
      </c>
      <c r="S1010" s="4">
        <v>1</v>
      </c>
      <c r="T1010" s="4">
        <v>1</v>
      </c>
      <c r="U1010" s="5" t="s">
        <v>13183</v>
      </c>
      <c r="V1010" s="5" t="s">
        <v>13183</v>
      </c>
      <c r="W1010" s="5" t="s">
        <v>13184</v>
      </c>
      <c r="X1010" s="5" t="s">
        <v>13184</v>
      </c>
      <c r="Y1010" s="4">
        <v>446</v>
      </c>
      <c r="Z1010" s="4">
        <v>376</v>
      </c>
      <c r="AA1010" s="4">
        <v>559</v>
      </c>
      <c r="AB1010" s="4">
        <v>5</v>
      </c>
      <c r="AC1010" s="4">
        <v>7</v>
      </c>
      <c r="AD1010" s="4">
        <v>16</v>
      </c>
      <c r="AE1010" s="4">
        <v>25</v>
      </c>
      <c r="AF1010" s="4">
        <v>5</v>
      </c>
      <c r="AG1010" s="4">
        <v>8</v>
      </c>
      <c r="AH1010" s="4">
        <v>2</v>
      </c>
      <c r="AI1010" s="4">
        <v>6</v>
      </c>
      <c r="AJ1010" s="4">
        <v>6</v>
      </c>
      <c r="AK1010" s="4">
        <v>9</v>
      </c>
      <c r="AL1010" s="4">
        <v>4</v>
      </c>
      <c r="AM1010" s="4">
        <v>6</v>
      </c>
      <c r="AN1010" s="4">
        <v>0</v>
      </c>
      <c r="AO1010" s="4">
        <v>0</v>
      </c>
      <c r="AP1010" s="3" t="s">
        <v>58</v>
      </c>
      <c r="AQ1010" s="3" t="s">
        <v>58</v>
      </c>
      <c r="AS1010" s="6" t="str">
        <f>HYPERLINK("https://creighton-primo.hosted.exlibrisgroup.com/primo-explore/search?tab=default_tab&amp;search_scope=EVERYTHING&amp;vid=01CRU&amp;lang=en_US&amp;offset=0&amp;query=any,contains,991004162779702656","Catalog Record")</f>
        <v>Catalog Record</v>
      </c>
      <c r="AT1010" s="6" t="str">
        <f>HYPERLINK("http://www.worldcat.org/oclc/52429395","WorldCat Record")</f>
        <v>WorldCat Record</v>
      </c>
      <c r="AU1010" s="3" t="s">
        <v>13185</v>
      </c>
      <c r="AV1010" s="3" t="s">
        <v>13186</v>
      </c>
      <c r="AW1010" s="3" t="s">
        <v>13187</v>
      </c>
      <c r="AX1010" s="3" t="s">
        <v>13187</v>
      </c>
      <c r="AY1010" s="3" t="s">
        <v>13188</v>
      </c>
      <c r="AZ1010" s="3" t="s">
        <v>74</v>
      </c>
      <c r="BB1010" s="3" t="s">
        <v>13189</v>
      </c>
      <c r="BC1010" s="3" t="s">
        <v>13190</v>
      </c>
      <c r="BD1010" s="3" t="s">
        <v>13191</v>
      </c>
    </row>
    <row r="1011" spans="1:56" ht="45.75" customHeight="1" x14ac:dyDescent="0.25">
      <c r="A1011" s="7" t="s">
        <v>58</v>
      </c>
      <c r="B1011" s="2" t="s">
        <v>13192</v>
      </c>
      <c r="C1011" s="2" t="s">
        <v>13193</v>
      </c>
      <c r="D1011" s="2" t="s">
        <v>13194</v>
      </c>
      <c r="F1011" s="3" t="s">
        <v>58</v>
      </c>
      <c r="G1011" s="3" t="s">
        <v>59</v>
      </c>
      <c r="H1011" s="3" t="s">
        <v>58</v>
      </c>
      <c r="I1011" s="3" t="s">
        <v>58</v>
      </c>
      <c r="J1011" s="3" t="s">
        <v>60</v>
      </c>
      <c r="K1011" s="2" t="s">
        <v>13195</v>
      </c>
      <c r="L1011" s="2" t="s">
        <v>13196</v>
      </c>
      <c r="M1011" s="3" t="s">
        <v>1209</v>
      </c>
      <c r="N1011" s="2" t="s">
        <v>543</v>
      </c>
      <c r="O1011" s="3" t="s">
        <v>65</v>
      </c>
      <c r="P1011" s="3" t="s">
        <v>132</v>
      </c>
      <c r="Q1011" s="2" t="s">
        <v>10568</v>
      </c>
      <c r="R1011" s="3" t="s">
        <v>67</v>
      </c>
      <c r="S1011" s="4">
        <v>10</v>
      </c>
      <c r="T1011" s="4">
        <v>10</v>
      </c>
      <c r="U1011" s="5" t="s">
        <v>13197</v>
      </c>
      <c r="V1011" s="5" t="s">
        <v>13197</v>
      </c>
      <c r="W1011" s="5" t="s">
        <v>13198</v>
      </c>
      <c r="X1011" s="5" t="s">
        <v>13198</v>
      </c>
      <c r="Y1011" s="4">
        <v>589</v>
      </c>
      <c r="Z1011" s="4">
        <v>489</v>
      </c>
      <c r="AA1011" s="4">
        <v>497</v>
      </c>
      <c r="AB1011" s="4">
        <v>6</v>
      </c>
      <c r="AC1011" s="4">
        <v>6</v>
      </c>
      <c r="AD1011" s="4">
        <v>23</v>
      </c>
      <c r="AE1011" s="4">
        <v>23</v>
      </c>
      <c r="AF1011" s="4">
        <v>7</v>
      </c>
      <c r="AG1011" s="4">
        <v>7</v>
      </c>
      <c r="AH1011" s="4">
        <v>7</v>
      </c>
      <c r="AI1011" s="4">
        <v>7</v>
      </c>
      <c r="AJ1011" s="4">
        <v>10</v>
      </c>
      <c r="AK1011" s="4">
        <v>10</v>
      </c>
      <c r="AL1011" s="4">
        <v>5</v>
      </c>
      <c r="AM1011" s="4">
        <v>5</v>
      </c>
      <c r="AN1011" s="4">
        <v>0</v>
      </c>
      <c r="AO1011" s="4">
        <v>0</v>
      </c>
      <c r="AP1011" s="3" t="s">
        <v>58</v>
      </c>
      <c r="AQ1011" s="3" t="s">
        <v>87</v>
      </c>
      <c r="AR1011" s="6" t="str">
        <f>HYPERLINK("http://catalog.hathitrust.org/Record/000821756","HathiTrust Record")</f>
        <v>HathiTrust Record</v>
      </c>
      <c r="AS1011" s="6" t="str">
        <f>HYPERLINK("https://creighton-primo.hosted.exlibrisgroup.com/primo-explore/search?tab=default_tab&amp;search_scope=EVERYTHING&amp;vid=01CRU&amp;lang=en_US&amp;offset=0&amp;query=any,contains,991000901119702656","Catalog Record")</f>
        <v>Catalog Record</v>
      </c>
      <c r="AT1011" s="6" t="str">
        <f>HYPERLINK("http://www.worldcat.org/oclc/14067662","WorldCat Record")</f>
        <v>WorldCat Record</v>
      </c>
      <c r="AU1011" s="3" t="s">
        <v>13199</v>
      </c>
      <c r="AV1011" s="3" t="s">
        <v>13200</v>
      </c>
      <c r="AW1011" s="3" t="s">
        <v>13201</v>
      </c>
      <c r="AX1011" s="3" t="s">
        <v>13201</v>
      </c>
      <c r="AY1011" s="3" t="s">
        <v>13202</v>
      </c>
      <c r="AZ1011" s="3" t="s">
        <v>74</v>
      </c>
      <c r="BB1011" s="3" t="s">
        <v>13203</v>
      </c>
      <c r="BC1011" s="3" t="s">
        <v>13204</v>
      </c>
      <c r="BD1011" s="3" t="s">
        <v>13205</v>
      </c>
    </row>
    <row r="1012" spans="1:56" ht="45.75" customHeight="1" x14ac:dyDescent="0.25">
      <c r="A1012" s="7" t="s">
        <v>58</v>
      </c>
      <c r="B1012" s="2" t="s">
        <v>13206</v>
      </c>
      <c r="C1012" s="2" t="s">
        <v>13207</v>
      </c>
      <c r="D1012" s="2" t="s">
        <v>13208</v>
      </c>
      <c r="F1012" s="3" t="s">
        <v>58</v>
      </c>
      <c r="G1012" s="3" t="s">
        <v>59</v>
      </c>
      <c r="H1012" s="3" t="s">
        <v>58</v>
      </c>
      <c r="I1012" s="3" t="s">
        <v>58</v>
      </c>
      <c r="J1012" s="3" t="s">
        <v>60</v>
      </c>
      <c r="L1012" s="2" t="s">
        <v>13209</v>
      </c>
      <c r="M1012" s="3" t="s">
        <v>867</v>
      </c>
      <c r="O1012" s="3" t="s">
        <v>65</v>
      </c>
      <c r="P1012" s="3" t="s">
        <v>132</v>
      </c>
      <c r="Q1012" s="2" t="s">
        <v>13210</v>
      </c>
      <c r="R1012" s="3" t="s">
        <v>67</v>
      </c>
      <c r="S1012" s="4">
        <v>43</v>
      </c>
      <c r="T1012" s="4">
        <v>43</v>
      </c>
      <c r="U1012" s="5" t="s">
        <v>13133</v>
      </c>
      <c r="V1012" s="5" t="s">
        <v>13133</v>
      </c>
      <c r="W1012" s="5" t="s">
        <v>6400</v>
      </c>
      <c r="X1012" s="5" t="s">
        <v>6400</v>
      </c>
      <c r="Y1012" s="4">
        <v>390</v>
      </c>
      <c r="Z1012" s="4">
        <v>305</v>
      </c>
      <c r="AA1012" s="4">
        <v>316</v>
      </c>
      <c r="AB1012" s="4">
        <v>3</v>
      </c>
      <c r="AC1012" s="4">
        <v>3</v>
      </c>
      <c r="AD1012" s="4">
        <v>20</v>
      </c>
      <c r="AE1012" s="4">
        <v>20</v>
      </c>
      <c r="AF1012" s="4">
        <v>8</v>
      </c>
      <c r="AG1012" s="4">
        <v>8</v>
      </c>
      <c r="AH1012" s="4">
        <v>5</v>
      </c>
      <c r="AI1012" s="4">
        <v>5</v>
      </c>
      <c r="AJ1012" s="4">
        <v>10</v>
      </c>
      <c r="AK1012" s="4">
        <v>10</v>
      </c>
      <c r="AL1012" s="4">
        <v>2</v>
      </c>
      <c r="AM1012" s="4">
        <v>2</v>
      </c>
      <c r="AN1012" s="4">
        <v>0</v>
      </c>
      <c r="AO1012" s="4">
        <v>0</v>
      </c>
      <c r="AP1012" s="3" t="s">
        <v>58</v>
      </c>
      <c r="AQ1012" s="3" t="s">
        <v>87</v>
      </c>
      <c r="AR1012" s="6" t="str">
        <f>HYPERLINK("http://catalog.hathitrust.org/Record/002495047","HathiTrust Record")</f>
        <v>HathiTrust Record</v>
      </c>
      <c r="AS1012" s="6" t="str">
        <f>HYPERLINK("https://creighton-primo.hosted.exlibrisgroup.com/primo-explore/search?tab=default_tab&amp;search_scope=EVERYTHING&amp;vid=01CRU&amp;lang=en_US&amp;offset=0&amp;query=any,contains,991001852819702656","Catalog Record")</f>
        <v>Catalog Record</v>
      </c>
      <c r="AT1012" s="6" t="str">
        <f>HYPERLINK("http://www.worldcat.org/oclc/23253372","WorldCat Record")</f>
        <v>WorldCat Record</v>
      </c>
      <c r="AU1012" s="3" t="s">
        <v>13211</v>
      </c>
      <c r="AV1012" s="3" t="s">
        <v>13212</v>
      </c>
      <c r="AW1012" s="3" t="s">
        <v>13213</v>
      </c>
      <c r="AX1012" s="3" t="s">
        <v>13213</v>
      </c>
      <c r="AY1012" s="3" t="s">
        <v>13214</v>
      </c>
      <c r="AZ1012" s="3" t="s">
        <v>74</v>
      </c>
      <c r="BB1012" s="3" t="s">
        <v>13215</v>
      </c>
      <c r="BC1012" s="3" t="s">
        <v>13216</v>
      </c>
      <c r="BD1012" s="3" t="s">
        <v>13217</v>
      </c>
    </row>
    <row r="1013" spans="1:56" ht="45.75" customHeight="1" x14ac:dyDescent="0.25">
      <c r="A1013" s="7" t="s">
        <v>58</v>
      </c>
      <c r="B1013" s="2" t="s">
        <v>13218</v>
      </c>
      <c r="C1013" s="2" t="s">
        <v>13219</v>
      </c>
      <c r="D1013" s="2" t="s">
        <v>13220</v>
      </c>
      <c r="F1013" s="3" t="s">
        <v>58</v>
      </c>
      <c r="G1013" s="3" t="s">
        <v>59</v>
      </c>
      <c r="H1013" s="3" t="s">
        <v>58</v>
      </c>
      <c r="I1013" s="3" t="s">
        <v>58</v>
      </c>
      <c r="J1013" s="3" t="s">
        <v>60</v>
      </c>
      <c r="L1013" s="2" t="s">
        <v>13221</v>
      </c>
      <c r="M1013" s="3" t="s">
        <v>419</v>
      </c>
      <c r="O1013" s="3" t="s">
        <v>65</v>
      </c>
      <c r="P1013" s="3" t="s">
        <v>84</v>
      </c>
      <c r="Q1013" s="2" t="s">
        <v>13222</v>
      </c>
      <c r="R1013" s="3" t="s">
        <v>67</v>
      </c>
      <c r="S1013" s="4">
        <v>3</v>
      </c>
      <c r="T1013" s="4">
        <v>3</v>
      </c>
      <c r="U1013" s="5" t="s">
        <v>13133</v>
      </c>
      <c r="V1013" s="5" t="s">
        <v>13133</v>
      </c>
      <c r="W1013" s="5" t="s">
        <v>13223</v>
      </c>
      <c r="X1013" s="5" t="s">
        <v>13223</v>
      </c>
      <c r="Y1013" s="4">
        <v>498</v>
      </c>
      <c r="Z1013" s="4">
        <v>460</v>
      </c>
      <c r="AA1013" s="4">
        <v>508</v>
      </c>
      <c r="AB1013" s="4">
        <v>4</v>
      </c>
      <c r="AC1013" s="4">
        <v>4</v>
      </c>
      <c r="AD1013" s="4">
        <v>22</v>
      </c>
      <c r="AE1013" s="4">
        <v>25</v>
      </c>
      <c r="AF1013" s="4">
        <v>9</v>
      </c>
      <c r="AG1013" s="4">
        <v>12</v>
      </c>
      <c r="AH1013" s="4">
        <v>5</v>
      </c>
      <c r="AI1013" s="4">
        <v>6</v>
      </c>
      <c r="AJ1013" s="4">
        <v>11</v>
      </c>
      <c r="AK1013" s="4">
        <v>11</v>
      </c>
      <c r="AL1013" s="4">
        <v>2</v>
      </c>
      <c r="AM1013" s="4">
        <v>2</v>
      </c>
      <c r="AN1013" s="4">
        <v>0</v>
      </c>
      <c r="AO1013" s="4">
        <v>0</v>
      </c>
      <c r="AP1013" s="3" t="s">
        <v>58</v>
      </c>
      <c r="AQ1013" s="3" t="s">
        <v>58</v>
      </c>
      <c r="AS1013" s="6" t="str">
        <f>HYPERLINK("https://creighton-primo.hosted.exlibrisgroup.com/primo-explore/search?tab=default_tab&amp;search_scope=EVERYTHING&amp;vid=01CRU&amp;lang=en_US&amp;offset=0&amp;query=any,contains,991003331139702656","Catalog Record")</f>
        <v>Catalog Record</v>
      </c>
      <c r="AT1013" s="6" t="str">
        <f>HYPERLINK("http://www.worldcat.org/oclc/43599139","WorldCat Record")</f>
        <v>WorldCat Record</v>
      </c>
      <c r="AU1013" s="3" t="s">
        <v>13224</v>
      </c>
      <c r="AV1013" s="3" t="s">
        <v>13225</v>
      </c>
      <c r="AW1013" s="3" t="s">
        <v>13226</v>
      </c>
      <c r="AX1013" s="3" t="s">
        <v>13226</v>
      </c>
      <c r="AY1013" s="3" t="s">
        <v>13227</v>
      </c>
      <c r="AZ1013" s="3" t="s">
        <v>74</v>
      </c>
      <c r="BB1013" s="3" t="s">
        <v>13228</v>
      </c>
      <c r="BC1013" s="3" t="s">
        <v>13229</v>
      </c>
      <c r="BD1013" s="3" t="s">
        <v>13230</v>
      </c>
    </row>
    <row r="1014" spans="1:56" ht="45.75" customHeight="1" x14ac:dyDescent="0.25">
      <c r="A1014" s="7" t="s">
        <v>58</v>
      </c>
      <c r="B1014" s="2" t="s">
        <v>13231</v>
      </c>
      <c r="C1014" s="2" t="s">
        <v>13232</v>
      </c>
      <c r="D1014" s="2" t="s">
        <v>13233</v>
      </c>
      <c r="F1014" s="3" t="s">
        <v>58</v>
      </c>
      <c r="G1014" s="3" t="s">
        <v>59</v>
      </c>
      <c r="H1014" s="3" t="s">
        <v>58</v>
      </c>
      <c r="I1014" s="3" t="s">
        <v>58</v>
      </c>
      <c r="J1014" s="3" t="s">
        <v>60</v>
      </c>
      <c r="K1014" s="2" t="s">
        <v>13234</v>
      </c>
      <c r="L1014" s="2" t="s">
        <v>13235</v>
      </c>
      <c r="M1014" s="3" t="s">
        <v>800</v>
      </c>
      <c r="O1014" s="3" t="s">
        <v>65</v>
      </c>
      <c r="P1014" s="3" t="s">
        <v>84</v>
      </c>
      <c r="R1014" s="3" t="s">
        <v>67</v>
      </c>
      <c r="S1014" s="4">
        <v>3</v>
      </c>
      <c r="T1014" s="4">
        <v>3</v>
      </c>
      <c r="U1014" s="5" t="s">
        <v>13133</v>
      </c>
      <c r="V1014" s="5" t="s">
        <v>13133</v>
      </c>
      <c r="W1014" s="5" t="s">
        <v>3779</v>
      </c>
      <c r="X1014" s="5" t="s">
        <v>3779</v>
      </c>
      <c r="Y1014" s="4">
        <v>519</v>
      </c>
      <c r="Z1014" s="4">
        <v>484</v>
      </c>
      <c r="AA1014" s="4">
        <v>486</v>
      </c>
      <c r="AB1014" s="4">
        <v>8</v>
      </c>
      <c r="AC1014" s="4">
        <v>8</v>
      </c>
      <c r="AD1014" s="4">
        <v>16</v>
      </c>
      <c r="AE1014" s="4">
        <v>16</v>
      </c>
      <c r="AF1014" s="4">
        <v>4</v>
      </c>
      <c r="AG1014" s="4">
        <v>4</v>
      </c>
      <c r="AH1014" s="4">
        <v>6</v>
      </c>
      <c r="AI1014" s="4">
        <v>6</v>
      </c>
      <c r="AJ1014" s="4">
        <v>4</v>
      </c>
      <c r="AK1014" s="4">
        <v>4</v>
      </c>
      <c r="AL1014" s="4">
        <v>5</v>
      </c>
      <c r="AM1014" s="4">
        <v>5</v>
      </c>
      <c r="AN1014" s="4">
        <v>0</v>
      </c>
      <c r="AO1014" s="4">
        <v>0</v>
      </c>
      <c r="AP1014" s="3" t="s">
        <v>58</v>
      </c>
      <c r="AQ1014" s="3" t="s">
        <v>87</v>
      </c>
      <c r="AR1014" s="6" t="str">
        <f>HYPERLINK("http://catalog.hathitrust.org/Record/002491120","HathiTrust Record")</f>
        <v>HathiTrust Record</v>
      </c>
      <c r="AS1014" s="6" t="str">
        <f>HYPERLINK("https://creighton-primo.hosted.exlibrisgroup.com/primo-explore/search?tab=default_tab&amp;search_scope=EVERYTHING&amp;vid=01CRU&amp;lang=en_US&amp;offset=0&amp;query=any,contains,991003572519702656","Catalog Record")</f>
        <v>Catalog Record</v>
      </c>
      <c r="AT1014" s="6" t="str">
        <f>HYPERLINK("http://www.worldcat.org/oclc/24138392","WorldCat Record")</f>
        <v>WorldCat Record</v>
      </c>
      <c r="AU1014" s="3" t="s">
        <v>13236</v>
      </c>
      <c r="AV1014" s="3" t="s">
        <v>13237</v>
      </c>
      <c r="AW1014" s="3" t="s">
        <v>13238</v>
      </c>
      <c r="AX1014" s="3" t="s">
        <v>13238</v>
      </c>
      <c r="AY1014" s="3" t="s">
        <v>13239</v>
      </c>
      <c r="AZ1014" s="3" t="s">
        <v>74</v>
      </c>
      <c r="BB1014" s="3" t="s">
        <v>13240</v>
      </c>
      <c r="BC1014" s="3" t="s">
        <v>13241</v>
      </c>
      <c r="BD1014" s="3" t="s">
        <v>13242</v>
      </c>
    </row>
    <row r="1015" spans="1:56" ht="45.75" customHeight="1" x14ac:dyDescent="0.25">
      <c r="A1015" s="7" t="s">
        <v>58</v>
      </c>
      <c r="B1015" s="2" t="s">
        <v>13243</v>
      </c>
      <c r="C1015" s="2" t="s">
        <v>13244</v>
      </c>
      <c r="D1015" s="2" t="s">
        <v>13245</v>
      </c>
      <c r="F1015" s="3" t="s">
        <v>58</v>
      </c>
      <c r="G1015" s="3" t="s">
        <v>59</v>
      </c>
      <c r="H1015" s="3" t="s">
        <v>58</v>
      </c>
      <c r="I1015" s="3" t="s">
        <v>58</v>
      </c>
      <c r="J1015" s="3" t="s">
        <v>60</v>
      </c>
      <c r="L1015" s="2" t="s">
        <v>4555</v>
      </c>
      <c r="M1015" s="3" t="s">
        <v>713</v>
      </c>
      <c r="O1015" s="3" t="s">
        <v>65</v>
      </c>
      <c r="P1015" s="3" t="s">
        <v>84</v>
      </c>
      <c r="R1015" s="3" t="s">
        <v>67</v>
      </c>
      <c r="S1015" s="4">
        <v>13</v>
      </c>
      <c r="T1015" s="4">
        <v>13</v>
      </c>
      <c r="U1015" s="5" t="s">
        <v>10774</v>
      </c>
      <c r="V1015" s="5" t="s">
        <v>10774</v>
      </c>
      <c r="W1015" s="5" t="s">
        <v>3588</v>
      </c>
      <c r="X1015" s="5" t="s">
        <v>3588</v>
      </c>
      <c r="Y1015" s="4">
        <v>825</v>
      </c>
      <c r="Z1015" s="4">
        <v>696</v>
      </c>
      <c r="AA1015" s="4">
        <v>749</v>
      </c>
      <c r="AB1015" s="4">
        <v>9</v>
      </c>
      <c r="AC1015" s="4">
        <v>9</v>
      </c>
      <c r="AD1015" s="4">
        <v>29</v>
      </c>
      <c r="AE1015" s="4">
        <v>32</v>
      </c>
      <c r="AF1015" s="4">
        <v>8</v>
      </c>
      <c r="AG1015" s="4">
        <v>8</v>
      </c>
      <c r="AH1015" s="4">
        <v>4</v>
      </c>
      <c r="AI1015" s="4">
        <v>6</v>
      </c>
      <c r="AJ1015" s="4">
        <v>12</v>
      </c>
      <c r="AK1015" s="4">
        <v>14</v>
      </c>
      <c r="AL1015" s="4">
        <v>7</v>
      </c>
      <c r="AM1015" s="4">
        <v>7</v>
      </c>
      <c r="AN1015" s="4">
        <v>3</v>
      </c>
      <c r="AO1015" s="4">
        <v>3</v>
      </c>
      <c r="AP1015" s="3" t="s">
        <v>58</v>
      </c>
      <c r="AQ1015" s="3" t="s">
        <v>87</v>
      </c>
      <c r="AR1015" s="6" t="str">
        <f>HYPERLINK("http://catalog.hathitrust.org/Record/004472766","HathiTrust Record")</f>
        <v>HathiTrust Record</v>
      </c>
      <c r="AS1015" s="6" t="str">
        <f>HYPERLINK("https://creighton-primo.hosted.exlibrisgroup.com/primo-explore/search?tab=default_tab&amp;search_scope=EVERYTHING&amp;vid=01CRU&amp;lang=en_US&amp;offset=0&amp;query=any,contains,991004944129702656","Catalog Record")</f>
        <v>Catalog Record</v>
      </c>
      <c r="AT1015" s="6" t="str">
        <f>HYPERLINK("http://www.worldcat.org/oclc/6196915","WorldCat Record")</f>
        <v>WorldCat Record</v>
      </c>
      <c r="AU1015" s="3" t="s">
        <v>13246</v>
      </c>
      <c r="AV1015" s="3" t="s">
        <v>13247</v>
      </c>
      <c r="AW1015" s="3" t="s">
        <v>13248</v>
      </c>
      <c r="AX1015" s="3" t="s">
        <v>13248</v>
      </c>
      <c r="AY1015" s="3" t="s">
        <v>13249</v>
      </c>
      <c r="AZ1015" s="3" t="s">
        <v>74</v>
      </c>
      <c r="BB1015" s="3" t="s">
        <v>13250</v>
      </c>
      <c r="BC1015" s="3" t="s">
        <v>13251</v>
      </c>
      <c r="BD1015" s="3" t="s">
        <v>13252</v>
      </c>
    </row>
    <row r="1016" spans="1:56" ht="45.75" customHeight="1" x14ac:dyDescent="0.25">
      <c r="A1016" s="7" t="s">
        <v>58</v>
      </c>
      <c r="B1016" s="2" t="s">
        <v>13253</v>
      </c>
      <c r="C1016" s="2" t="s">
        <v>13254</v>
      </c>
      <c r="D1016" s="2" t="s">
        <v>13255</v>
      </c>
      <c r="F1016" s="3" t="s">
        <v>58</v>
      </c>
      <c r="G1016" s="3" t="s">
        <v>59</v>
      </c>
      <c r="H1016" s="3" t="s">
        <v>58</v>
      </c>
      <c r="I1016" s="3" t="s">
        <v>58</v>
      </c>
      <c r="J1016" s="3" t="s">
        <v>60</v>
      </c>
      <c r="L1016" s="2" t="s">
        <v>4893</v>
      </c>
      <c r="M1016" s="3" t="s">
        <v>263</v>
      </c>
      <c r="O1016" s="3" t="s">
        <v>65</v>
      </c>
      <c r="P1016" s="3" t="s">
        <v>66</v>
      </c>
      <c r="R1016" s="3" t="s">
        <v>67</v>
      </c>
      <c r="S1016" s="4">
        <v>14</v>
      </c>
      <c r="T1016" s="4">
        <v>14</v>
      </c>
      <c r="U1016" s="5" t="s">
        <v>13256</v>
      </c>
      <c r="V1016" s="5" t="s">
        <v>13256</v>
      </c>
      <c r="W1016" s="5" t="s">
        <v>12365</v>
      </c>
      <c r="X1016" s="5" t="s">
        <v>12365</v>
      </c>
      <c r="Y1016" s="4">
        <v>614</v>
      </c>
      <c r="Z1016" s="4">
        <v>536</v>
      </c>
      <c r="AA1016" s="4">
        <v>1002</v>
      </c>
      <c r="AB1016" s="4">
        <v>4</v>
      </c>
      <c r="AC1016" s="4">
        <v>7</v>
      </c>
      <c r="AD1016" s="4">
        <v>29</v>
      </c>
      <c r="AE1016" s="4">
        <v>33</v>
      </c>
      <c r="AF1016" s="4">
        <v>12</v>
      </c>
      <c r="AG1016" s="4">
        <v>13</v>
      </c>
      <c r="AH1016" s="4">
        <v>7</v>
      </c>
      <c r="AI1016" s="4">
        <v>7</v>
      </c>
      <c r="AJ1016" s="4">
        <v>11</v>
      </c>
      <c r="AK1016" s="4">
        <v>11</v>
      </c>
      <c r="AL1016" s="4">
        <v>3</v>
      </c>
      <c r="AM1016" s="4">
        <v>6</v>
      </c>
      <c r="AN1016" s="4">
        <v>3</v>
      </c>
      <c r="AO1016" s="4">
        <v>3</v>
      </c>
      <c r="AP1016" s="3" t="s">
        <v>58</v>
      </c>
      <c r="AQ1016" s="3" t="s">
        <v>87</v>
      </c>
      <c r="AR1016" s="6" t="str">
        <f>HYPERLINK("http://catalog.hathitrust.org/Record/003065159","HathiTrust Record")</f>
        <v>HathiTrust Record</v>
      </c>
      <c r="AS1016" s="6" t="str">
        <f>HYPERLINK("https://creighton-primo.hosted.exlibrisgroup.com/primo-explore/search?tab=default_tab&amp;search_scope=EVERYTHING&amp;vid=01CRU&amp;lang=en_US&amp;offset=0&amp;query=any,contains,991002544789702656","Catalog Record")</f>
        <v>Catalog Record</v>
      </c>
      <c r="AT1016" s="6" t="str">
        <f>HYPERLINK("http://www.worldcat.org/oclc/33078182","WorldCat Record")</f>
        <v>WorldCat Record</v>
      </c>
      <c r="AU1016" s="3" t="s">
        <v>13257</v>
      </c>
      <c r="AV1016" s="3" t="s">
        <v>13258</v>
      </c>
      <c r="AW1016" s="3" t="s">
        <v>13259</v>
      </c>
      <c r="AX1016" s="3" t="s">
        <v>13259</v>
      </c>
      <c r="AY1016" s="3" t="s">
        <v>13260</v>
      </c>
      <c r="AZ1016" s="3" t="s">
        <v>74</v>
      </c>
      <c r="BB1016" s="3" t="s">
        <v>13261</v>
      </c>
      <c r="BC1016" s="3" t="s">
        <v>13262</v>
      </c>
      <c r="BD1016" s="3" t="s">
        <v>13263</v>
      </c>
    </row>
    <row r="1017" spans="1:56" ht="45.75" customHeight="1" x14ac:dyDescent="0.25">
      <c r="A1017" s="7" t="s">
        <v>58</v>
      </c>
      <c r="B1017" s="2" t="s">
        <v>13264</v>
      </c>
      <c r="C1017" s="2" t="s">
        <v>13265</v>
      </c>
      <c r="D1017" s="2" t="s">
        <v>13266</v>
      </c>
      <c r="F1017" s="3" t="s">
        <v>58</v>
      </c>
      <c r="G1017" s="3" t="s">
        <v>59</v>
      </c>
      <c r="H1017" s="3" t="s">
        <v>58</v>
      </c>
      <c r="I1017" s="3" t="s">
        <v>58</v>
      </c>
      <c r="J1017" s="3" t="s">
        <v>60</v>
      </c>
      <c r="K1017" s="2" t="s">
        <v>13267</v>
      </c>
      <c r="L1017" s="2" t="s">
        <v>13268</v>
      </c>
      <c r="M1017" s="3" t="s">
        <v>1254</v>
      </c>
      <c r="O1017" s="3" t="s">
        <v>65</v>
      </c>
      <c r="P1017" s="3" t="s">
        <v>148</v>
      </c>
      <c r="Q1017" s="2" t="s">
        <v>13269</v>
      </c>
      <c r="R1017" s="3" t="s">
        <v>67</v>
      </c>
      <c r="S1017" s="4">
        <v>13</v>
      </c>
      <c r="T1017" s="4">
        <v>13</v>
      </c>
      <c r="U1017" s="5" t="s">
        <v>13096</v>
      </c>
      <c r="V1017" s="5" t="s">
        <v>13096</v>
      </c>
      <c r="W1017" s="5" t="s">
        <v>4776</v>
      </c>
      <c r="X1017" s="5" t="s">
        <v>4776</v>
      </c>
      <c r="Y1017" s="4">
        <v>223</v>
      </c>
      <c r="Z1017" s="4">
        <v>178</v>
      </c>
      <c r="AA1017" s="4">
        <v>185</v>
      </c>
      <c r="AB1017" s="4">
        <v>2</v>
      </c>
      <c r="AC1017" s="4">
        <v>2</v>
      </c>
      <c r="AD1017" s="4">
        <v>8</v>
      </c>
      <c r="AE1017" s="4">
        <v>8</v>
      </c>
      <c r="AF1017" s="4">
        <v>2</v>
      </c>
      <c r="AG1017" s="4">
        <v>2</v>
      </c>
      <c r="AH1017" s="4">
        <v>4</v>
      </c>
      <c r="AI1017" s="4">
        <v>4</v>
      </c>
      <c r="AJ1017" s="4">
        <v>4</v>
      </c>
      <c r="AK1017" s="4">
        <v>4</v>
      </c>
      <c r="AL1017" s="4">
        <v>1</v>
      </c>
      <c r="AM1017" s="4">
        <v>1</v>
      </c>
      <c r="AN1017" s="4">
        <v>0</v>
      </c>
      <c r="AO1017" s="4">
        <v>0</v>
      </c>
      <c r="AP1017" s="3" t="s">
        <v>58</v>
      </c>
      <c r="AQ1017" s="3" t="s">
        <v>58</v>
      </c>
      <c r="AS1017" s="6" t="str">
        <f>HYPERLINK("https://creighton-primo.hosted.exlibrisgroup.com/primo-explore/search?tab=default_tab&amp;search_scope=EVERYTHING&amp;vid=01CRU&amp;lang=en_US&amp;offset=0&amp;query=any,contains,991000228769702656","Catalog Record")</f>
        <v>Catalog Record</v>
      </c>
      <c r="AT1017" s="6" t="str">
        <f>HYPERLINK("http://www.worldcat.org/oclc/9622499","WorldCat Record")</f>
        <v>WorldCat Record</v>
      </c>
      <c r="AU1017" s="3" t="s">
        <v>13270</v>
      </c>
      <c r="AV1017" s="3" t="s">
        <v>13271</v>
      </c>
      <c r="AW1017" s="3" t="s">
        <v>13272</v>
      </c>
      <c r="AX1017" s="3" t="s">
        <v>13272</v>
      </c>
      <c r="AY1017" s="3" t="s">
        <v>13273</v>
      </c>
      <c r="AZ1017" s="3" t="s">
        <v>74</v>
      </c>
      <c r="BB1017" s="3" t="s">
        <v>13274</v>
      </c>
      <c r="BC1017" s="3" t="s">
        <v>13275</v>
      </c>
      <c r="BD1017" s="3" t="s">
        <v>13276</v>
      </c>
    </row>
    <row r="1018" spans="1:56" ht="45.75" customHeight="1" x14ac:dyDescent="0.25">
      <c r="A1018" s="7" t="s">
        <v>58</v>
      </c>
      <c r="B1018" s="2" t="s">
        <v>13277</v>
      </c>
      <c r="C1018" s="2" t="s">
        <v>13278</v>
      </c>
      <c r="D1018" s="2" t="s">
        <v>13279</v>
      </c>
      <c r="F1018" s="3" t="s">
        <v>58</v>
      </c>
      <c r="G1018" s="3" t="s">
        <v>59</v>
      </c>
      <c r="H1018" s="3" t="s">
        <v>58</v>
      </c>
      <c r="I1018" s="3" t="s">
        <v>58</v>
      </c>
      <c r="J1018" s="3" t="s">
        <v>60</v>
      </c>
      <c r="K1018" s="2" t="s">
        <v>13280</v>
      </c>
      <c r="L1018" s="2" t="s">
        <v>13281</v>
      </c>
      <c r="M1018" s="3" t="s">
        <v>116</v>
      </c>
      <c r="O1018" s="3" t="s">
        <v>65</v>
      </c>
      <c r="P1018" s="3" t="s">
        <v>4857</v>
      </c>
      <c r="R1018" s="3" t="s">
        <v>67</v>
      </c>
      <c r="S1018" s="4">
        <v>3</v>
      </c>
      <c r="T1018" s="4">
        <v>3</v>
      </c>
      <c r="U1018" s="5" t="s">
        <v>13256</v>
      </c>
      <c r="V1018" s="5" t="s">
        <v>13256</v>
      </c>
      <c r="W1018" s="5" t="s">
        <v>13282</v>
      </c>
      <c r="X1018" s="5" t="s">
        <v>13282</v>
      </c>
      <c r="Y1018" s="4">
        <v>202</v>
      </c>
      <c r="Z1018" s="4">
        <v>183</v>
      </c>
      <c r="AA1018" s="4">
        <v>185</v>
      </c>
      <c r="AB1018" s="4">
        <v>2</v>
      </c>
      <c r="AC1018" s="4">
        <v>2</v>
      </c>
      <c r="AD1018" s="4">
        <v>9</v>
      </c>
      <c r="AE1018" s="4">
        <v>9</v>
      </c>
      <c r="AF1018" s="4">
        <v>2</v>
      </c>
      <c r="AG1018" s="4">
        <v>2</v>
      </c>
      <c r="AH1018" s="4">
        <v>1</v>
      </c>
      <c r="AI1018" s="4">
        <v>1</v>
      </c>
      <c r="AJ1018" s="4">
        <v>7</v>
      </c>
      <c r="AK1018" s="4">
        <v>7</v>
      </c>
      <c r="AL1018" s="4">
        <v>1</v>
      </c>
      <c r="AM1018" s="4">
        <v>1</v>
      </c>
      <c r="AN1018" s="4">
        <v>0</v>
      </c>
      <c r="AO1018" s="4">
        <v>0</v>
      </c>
      <c r="AP1018" s="3" t="s">
        <v>58</v>
      </c>
      <c r="AQ1018" s="3" t="s">
        <v>87</v>
      </c>
      <c r="AR1018" s="6" t="str">
        <f>HYPERLINK("http://catalog.hathitrust.org/Record/003984195","HathiTrust Record")</f>
        <v>HathiTrust Record</v>
      </c>
      <c r="AS1018" s="6" t="str">
        <f>HYPERLINK("https://creighton-primo.hosted.exlibrisgroup.com/primo-explore/search?tab=default_tab&amp;search_scope=EVERYTHING&amp;vid=01CRU&amp;lang=en_US&amp;offset=0&amp;query=any,contains,991002901149702656","Catalog Record")</f>
        <v>Catalog Record</v>
      </c>
      <c r="AT1018" s="6" t="str">
        <f>HYPERLINK("http://www.worldcat.org/oclc/38249822","WorldCat Record")</f>
        <v>WorldCat Record</v>
      </c>
      <c r="AU1018" s="3" t="s">
        <v>13283</v>
      </c>
      <c r="AV1018" s="3" t="s">
        <v>13284</v>
      </c>
      <c r="AW1018" s="3" t="s">
        <v>13285</v>
      </c>
      <c r="AX1018" s="3" t="s">
        <v>13285</v>
      </c>
      <c r="AY1018" s="3" t="s">
        <v>13286</v>
      </c>
      <c r="AZ1018" s="3" t="s">
        <v>74</v>
      </c>
      <c r="BB1018" s="3" t="s">
        <v>13287</v>
      </c>
      <c r="BC1018" s="3" t="s">
        <v>13288</v>
      </c>
      <c r="BD1018" s="3" t="s">
        <v>13289</v>
      </c>
    </row>
    <row r="1019" spans="1:56" ht="45.75" customHeight="1" x14ac:dyDescent="0.25">
      <c r="A1019" s="7" t="s">
        <v>58</v>
      </c>
      <c r="B1019" s="2" t="s">
        <v>13290</v>
      </c>
      <c r="C1019" s="2" t="s">
        <v>13291</v>
      </c>
      <c r="D1019" s="2" t="s">
        <v>13292</v>
      </c>
      <c r="F1019" s="3" t="s">
        <v>58</v>
      </c>
      <c r="G1019" s="3" t="s">
        <v>59</v>
      </c>
      <c r="H1019" s="3" t="s">
        <v>58</v>
      </c>
      <c r="I1019" s="3" t="s">
        <v>58</v>
      </c>
      <c r="J1019" s="3" t="s">
        <v>60</v>
      </c>
      <c r="K1019" s="2" t="s">
        <v>10632</v>
      </c>
      <c r="L1019" s="2" t="s">
        <v>13293</v>
      </c>
      <c r="M1019" s="3" t="s">
        <v>290</v>
      </c>
      <c r="N1019" s="2" t="s">
        <v>64</v>
      </c>
      <c r="O1019" s="3" t="s">
        <v>65</v>
      </c>
      <c r="P1019" s="3" t="s">
        <v>148</v>
      </c>
      <c r="R1019" s="3" t="s">
        <v>67</v>
      </c>
      <c r="S1019" s="4">
        <v>4</v>
      </c>
      <c r="T1019" s="4">
        <v>4</v>
      </c>
      <c r="U1019" s="5" t="s">
        <v>13056</v>
      </c>
      <c r="V1019" s="5" t="s">
        <v>13056</v>
      </c>
      <c r="W1019" s="5" t="s">
        <v>13294</v>
      </c>
      <c r="X1019" s="5" t="s">
        <v>13294</v>
      </c>
      <c r="Y1019" s="4">
        <v>144</v>
      </c>
      <c r="Z1019" s="4">
        <v>117</v>
      </c>
      <c r="AA1019" s="4">
        <v>373</v>
      </c>
      <c r="AB1019" s="4">
        <v>2</v>
      </c>
      <c r="AC1019" s="4">
        <v>3</v>
      </c>
      <c r="AD1019" s="4">
        <v>4</v>
      </c>
      <c r="AE1019" s="4">
        <v>13</v>
      </c>
      <c r="AF1019" s="4">
        <v>1</v>
      </c>
      <c r="AG1019" s="4">
        <v>2</v>
      </c>
      <c r="AH1019" s="4">
        <v>0</v>
      </c>
      <c r="AI1019" s="4">
        <v>3</v>
      </c>
      <c r="AJ1019" s="4">
        <v>3</v>
      </c>
      <c r="AK1019" s="4">
        <v>10</v>
      </c>
      <c r="AL1019" s="4">
        <v>1</v>
      </c>
      <c r="AM1019" s="4">
        <v>1</v>
      </c>
      <c r="AN1019" s="4">
        <v>0</v>
      </c>
      <c r="AO1019" s="4">
        <v>1</v>
      </c>
      <c r="AP1019" s="3" t="s">
        <v>58</v>
      </c>
      <c r="AQ1019" s="3" t="s">
        <v>87</v>
      </c>
      <c r="AR1019" s="6" t="str">
        <f>HYPERLINK("http://catalog.hathitrust.org/Record/004129108","HathiTrust Record")</f>
        <v>HathiTrust Record</v>
      </c>
      <c r="AS1019" s="6" t="str">
        <f>HYPERLINK("https://creighton-primo.hosted.exlibrisgroup.com/primo-explore/search?tab=default_tab&amp;search_scope=EVERYTHING&amp;vid=01CRU&amp;lang=en_US&amp;offset=0&amp;query=any,contains,991003617769702656","Catalog Record")</f>
        <v>Catalog Record</v>
      </c>
      <c r="AT1019" s="6" t="str">
        <f>HYPERLINK("http://www.worldcat.org/oclc/43615507","WorldCat Record")</f>
        <v>WorldCat Record</v>
      </c>
      <c r="AU1019" s="3" t="s">
        <v>13295</v>
      </c>
      <c r="AV1019" s="3" t="s">
        <v>13296</v>
      </c>
      <c r="AW1019" s="3" t="s">
        <v>13297</v>
      </c>
      <c r="AX1019" s="3" t="s">
        <v>13297</v>
      </c>
      <c r="AY1019" s="3" t="s">
        <v>13298</v>
      </c>
      <c r="AZ1019" s="3" t="s">
        <v>74</v>
      </c>
      <c r="BB1019" s="3" t="s">
        <v>13299</v>
      </c>
      <c r="BC1019" s="3" t="s">
        <v>13300</v>
      </c>
      <c r="BD1019" s="3" t="s">
        <v>13301</v>
      </c>
    </row>
    <row r="1020" spans="1:56" ht="45.75" customHeight="1" x14ac:dyDescent="0.25">
      <c r="A1020" s="7" t="s">
        <v>58</v>
      </c>
      <c r="B1020" s="2" t="s">
        <v>13302</v>
      </c>
      <c r="C1020" s="2" t="s">
        <v>13303</v>
      </c>
      <c r="D1020" s="2" t="s">
        <v>13304</v>
      </c>
      <c r="F1020" s="3" t="s">
        <v>58</v>
      </c>
      <c r="G1020" s="3" t="s">
        <v>59</v>
      </c>
      <c r="H1020" s="3" t="s">
        <v>58</v>
      </c>
      <c r="I1020" s="3" t="s">
        <v>58</v>
      </c>
      <c r="J1020" s="3" t="s">
        <v>60</v>
      </c>
      <c r="K1020" s="2" t="s">
        <v>13305</v>
      </c>
      <c r="L1020" s="2" t="s">
        <v>13306</v>
      </c>
      <c r="M1020" s="3" t="s">
        <v>100</v>
      </c>
      <c r="O1020" s="3" t="s">
        <v>65</v>
      </c>
      <c r="P1020" s="3" t="s">
        <v>529</v>
      </c>
      <c r="R1020" s="3" t="s">
        <v>67</v>
      </c>
      <c r="S1020" s="4">
        <v>7</v>
      </c>
      <c r="T1020" s="4">
        <v>7</v>
      </c>
      <c r="U1020" s="5" t="s">
        <v>13307</v>
      </c>
      <c r="V1020" s="5" t="s">
        <v>13307</v>
      </c>
      <c r="W1020" s="5" t="s">
        <v>3308</v>
      </c>
      <c r="X1020" s="5" t="s">
        <v>3308</v>
      </c>
      <c r="Y1020" s="4">
        <v>995</v>
      </c>
      <c r="Z1020" s="4">
        <v>887</v>
      </c>
      <c r="AA1020" s="4">
        <v>894</v>
      </c>
      <c r="AB1020" s="4">
        <v>8</v>
      </c>
      <c r="AC1020" s="4">
        <v>8</v>
      </c>
      <c r="AD1020" s="4">
        <v>31</v>
      </c>
      <c r="AE1020" s="4">
        <v>31</v>
      </c>
      <c r="AF1020" s="4">
        <v>9</v>
      </c>
      <c r="AG1020" s="4">
        <v>9</v>
      </c>
      <c r="AH1020" s="4">
        <v>6</v>
      </c>
      <c r="AI1020" s="4">
        <v>6</v>
      </c>
      <c r="AJ1020" s="4">
        <v>13</v>
      </c>
      <c r="AK1020" s="4">
        <v>13</v>
      </c>
      <c r="AL1020" s="4">
        <v>4</v>
      </c>
      <c r="AM1020" s="4">
        <v>4</v>
      </c>
      <c r="AN1020" s="4">
        <v>4</v>
      </c>
      <c r="AO1020" s="4">
        <v>4</v>
      </c>
      <c r="AP1020" s="3" t="s">
        <v>58</v>
      </c>
      <c r="AQ1020" s="3" t="s">
        <v>87</v>
      </c>
      <c r="AR1020" s="6" t="str">
        <f>HYPERLINK("http://catalog.hathitrust.org/Record/000023220","HathiTrust Record")</f>
        <v>HathiTrust Record</v>
      </c>
      <c r="AS1020" s="6" t="str">
        <f>HYPERLINK("https://creighton-primo.hosted.exlibrisgroup.com/primo-explore/search?tab=default_tab&amp;search_scope=EVERYTHING&amp;vid=01CRU&amp;lang=en_US&amp;offset=0&amp;query=any,contains,991003746359702656","Catalog Record")</f>
        <v>Catalog Record</v>
      </c>
      <c r="AT1020" s="6" t="str">
        <f>HYPERLINK("http://www.worldcat.org/oclc/1418648","WorldCat Record")</f>
        <v>WorldCat Record</v>
      </c>
      <c r="AU1020" s="3" t="s">
        <v>13308</v>
      </c>
      <c r="AV1020" s="3" t="s">
        <v>13309</v>
      </c>
      <c r="AW1020" s="3" t="s">
        <v>13310</v>
      </c>
      <c r="AX1020" s="3" t="s">
        <v>13310</v>
      </c>
      <c r="AY1020" s="3" t="s">
        <v>13311</v>
      </c>
      <c r="AZ1020" s="3" t="s">
        <v>74</v>
      </c>
      <c r="BB1020" s="3" t="s">
        <v>13312</v>
      </c>
      <c r="BC1020" s="3" t="s">
        <v>13313</v>
      </c>
      <c r="BD1020" s="3" t="s">
        <v>13314</v>
      </c>
    </row>
    <row r="1021" spans="1:56" ht="45.75" customHeight="1" x14ac:dyDescent="0.25">
      <c r="A1021" s="7" t="s">
        <v>58</v>
      </c>
      <c r="B1021" s="2" t="s">
        <v>13315</v>
      </c>
      <c r="C1021" s="2" t="s">
        <v>13316</v>
      </c>
      <c r="D1021" s="2" t="s">
        <v>13317</v>
      </c>
      <c r="F1021" s="3" t="s">
        <v>58</v>
      </c>
      <c r="G1021" s="3" t="s">
        <v>59</v>
      </c>
      <c r="H1021" s="3" t="s">
        <v>58</v>
      </c>
      <c r="I1021" s="3" t="s">
        <v>58</v>
      </c>
      <c r="J1021" s="3" t="s">
        <v>60</v>
      </c>
      <c r="K1021" s="2" t="s">
        <v>13318</v>
      </c>
      <c r="L1021" s="2" t="s">
        <v>13319</v>
      </c>
      <c r="M1021" s="3" t="s">
        <v>263</v>
      </c>
      <c r="O1021" s="3" t="s">
        <v>65</v>
      </c>
      <c r="P1021" s="3" t="s">
        <v>148</v>
      </c>
      <c r="R1021" s="3" t="s">
        <v>67</v>
      </c>
      <c r="S1021" s="4">
        <v>11</v>
      </c>
      <c r="T1021" s="4">
        <v>11</v>
      </c>
      <c r="U1021" s="5" t="s">
        <v>13320</v>
      </c>
      <c r="V1021" s="5" t="s">
        <v>13320</v>
      </c>
      <c r="W1021" s="5" t="s">
        <v>9627</v>
      </c>
      <c r="X1021" s="5" t="s">
        <v>9627</v>
      </c>
      <c r="Y1021" s="4">
        <v>964</v>
      </c>
      <c r="Z1021" s="4">
        <v>909</v>
      </c>
      <c r="AA1021" s="4">
        <v>943</v>
      </c>
      <c r="AB1021" s="4">
        <v>10</v>
      </c>
      <c r="AC1021" s="4">
        <v>10</v>
      </c>
      <c r="AD1021" s="4">
        <v>33</v>
      </c>
      <c r="AE1021" s="4">
        <v>33</v>
      </c>
      <c r="AF1021" s="4">
        <v>8</v>
      </c>
      <c r="AG1021" s="4">
        <v>8</v>
      </c>
      <c r="AH1021" s="4">
        <v>7</v>
      </c>
      <c r="AI1021" s="4">
        <v>7</v>
      </c>
      <c r="AJ1021" s="4">
        <v>15</v>
      </c>
      <c r="AK1021" s="4">
        <v>15</v>
      </c>
      <c r="AL1021" s="4">
        <v>9</v>
      </c>
      <c r="AM1021" s="4">
        <v>9</v>
      </c>
      <c r="AN1021" s="4">
        <v>0</v>
      </c>
      <c r="AO1021" s="4">
        <v>0</v>
      </c>
      <c r="AP1021" s="3" t="s">
        <v>58</v>
      </c>
      <c r="AQ1021" s="3" t="s">
        <v>87</v>
      </c>
      <c r="AR1021" s="6" t="str">
        <f>HYPERLINK("http://catalog.hathitrust.org/Record/003027895","HathiTrust Record")</f>
        <v>HathiTrust Record</v>
      </c>
      <c r="AS1021" s="6" t="str">
        <f>HYPERLINK("https://creighton-primo.hosted.exlibrisgroup.com/primo-explore/search?tab=default_tab&amp;search_scope=EVERYTHING&amp;vid=01CRU&amp;lang=en_US&amp;offset=0&amp;query=any,contains,991002533989702656","Catalog Record")</f>
        <v>Catalog Record</v>
      </c>
      <c r="AT1021" s="6" t="str">
        <f>HYPERLINK("http://www.worldcat.org/oclc/32924332","WorldCat Record")</f>
        <v>WorldCat Record</v>
      </c>
      <c r="AU1021" s="3" t="s">
        <v>13321</v>
      </c>
      <c r="AV1021" s="3" t="s">
        <v>13322</v>
      </c>
      <c r="AW1021" s="3" t="s">
        <v>13323</v>
      </c>
      <c r="AX1021" s="3" t="s">
        <v>13323</v>
      </c>
      <c r="AY1021" s="3" t="s">
        <v>13324</v>
      </c>
      <c r="AZ1021" s="3" t="s">
        <v>74</v>
      </c>
      <c r="BB1021" s="3" t="s">
        <v>13325</v>
      </c>
      <c r="BC1021" s="3" t="s">
        <v>13326</v>
      </c>
      <c r="BD1021" s="3" t="s">
        <v>13327</v>
      </c>
    </row>
    <row r="1022" spans="1:56" ht="45.75" customHeight="1" x14ac:dyDescent="0.25">
      <c r="A1022" s="7" t="s">
        <v>58</v>
      </c>
      <c r="B1022" s="2" t="s">
        <v>13328</v>
      </c>
      <c r="C1022" s="2" t="s">
        <v>13329</v>
      </c>
      <c r="D1022" s="2" t="s">
        <v>13330</v>
      </c>
      <c r="F1022" s="3" t="s">
        <v>58</v>
      </c>
      <c r="G1022" s="3" t="s">
        <v>59</v>
      </c>
      <c r="H1022" s="3" t="s">
        <v>58</v>
      </c>
      <c r="I1022" s="3" t="s">
        <v>58</v>
      </c>
      <c r="J1022" s="3" t="s">
        <v>60</v>
      </c>
      <c r="L1022" s="2" t="s">
        <v>13331</v>
      </c>
      <c r="M1022" s="3" t="s">
        <v>629</v>
      </c>
      <c r="O1022" s="3" t="s">
        <v>65</v>
      </c>
      <c r="P1022" s="3" t="s">
        <v>772</v>
      </c>
      <c r="R1022" s="3" t="s">
        <v>67</v>
      </c>
      <c r="S1022" s="4">
        <v>13</v>
      </c>
      <c r="T1022" s="4">
        <v>13</v>
      </c>
      <c r="U1022" s="5" t="s">
        <v>13332</v>
      </c>
      <c r="V1022" s="5" t="s">
        <v>13332</v>
      </c>
      <c r="W1022" s="5" t="s">
        <v>13333</v>
      </c>
      <c r="X1022" s="5" t="s">
        <v>13333</v>
      </c>
      <c r="Y1022" s="4">
        <v>354</v>
      </c>
      <c r="Z1022" s="4">
        <v>300</v>
      </c>
      <c r="AA1022" s="4">
        <v>307</v>
      </c>
      <c r="AB1022" s="4">
        <v>2</v>
      </c>
      <c r="AC1022" s="4">
        <v>2</v>
      </c>
      <c r="AD1022" s="4">
        <v>11</v>
      </c>
      <c r="AE1022" s="4">
        <v>11</v>
      </c>
      <c r="AF1022" s="4">
        <v>4</v>
      </c>
      <c r="AG1022" s="4">
        <v>4</v>
      </c>
      <c r="AH1022" s="4">
        <v>2</v>
      </c>
      <c r="AI1022" s="4">
        <v>2</v>
      </c>
      <c r="AJ1022" s="4">
        <v>8</v>
      </c>
      <c r="AK1022" s="4">
        <v>8</v>
      </c>
      <c r="AL1022" s="4">
        <v>1</v>
      </c>
      <c r="AM1022" s="4">
        <v>1</v>
      </c>
      <c r="AN1022" s="4">
        <v>1</v>
      </c>
      <c r="AO1022" s="4">
        <v>1</v>
      </c>
      <c r="AP1022" s="3" t="s">
        <v>58</v>
      </c>
      <c r="AQ1022" s="3" t="s">
        <v>87</v>
      </c>
      <c r="AR1022" s="6" t="str">
        <f>HYPERLINK("http://catalog.hathitrust.org/Record/002875189","HathiTrust Record")</f>
        <v>HathiTrust Record</v>
      </c>
      <c r="AS1022" s="6" t="str">
        <f>HYPERLINK("https://creighton-primo.hosted.exlibrisgroup.com/primo-explore/search?tab=default_tab&amp;search_scope=EVERYTHING&amp;vid=01CRU&amp;lang=en_US&amp;offset=0&amp;query=any,contains,991002281959702656","Catalog Record")</f>
        <v>Catalog Record</v>
      </c>
      <c r="AT1022" s="6" t="str">
        <f>HYPERLINK("http://www.worldcat.org/oclc/29594585","WorldCat Record")</f>
        <v>WorldCat Record</v>
      </c>
      <c r="AU1022" s="3" t="s">
        <v>13334</v>
      </c>
      <c r="AV1022" s="3" t="s">
        <v>13335</v>
      </c>
      <c r="AW1022" s="3" t="s">
        <v>13336</v>
      </c>
      <c r="AX1022" s="3" t="s">
        <v>13336</v>
      </c>
      <c r="AY1022" s="3" t="s">
        <v>13337</v>
      </c>
      <c r="AZ1022" s="3" t="s">
        <v>74</v>
      </c>
      <c r="BB1022" s="3" t="s">
        <v>13338</v>
      </c>
      <c r="BC1022" s="3" t="s">
        <v>13339</v>
      </c>
      <c r="BD1022" s="3" t="s">
        <v>13340</v>
      </c>
    </row>
    <row r="1023" spans="1:56" ht="45.75" customHeight="1" x14ac:dyDescent="0.25">
      <c r="A1023" s="7" t="s">
        <v>58</v>
      </c>
      <c r="B1023" s="2" t="s">
        <v>13341</v>
      </c>
      <c r="C1023" s="2" t="s">
        <v>13342</v>
      </c>
      <c r="D1023" s="2" t="s">
        <v>13343</v>
      </c>
      <c r="F1023" s="3" t="s">
        <v>58</v>
      </c>
      <c r="G1023" s="3" t="s">
        <v>59</v>
      </c>
      <c r="H1023" s="3" t="s">
        <v>58</v>
      </c>
      <c r="I1023" s="3" t="s">
        <v>58</v>
      </c>
      <c r="J1023" s="3" t="s">
        <v>60</v>
      </c>
      <c r="K1023" s="2" t="s">
        <v>13344</v>
      </c>
      <c r="L1023" s="2" t="s">
        <v>13345</v>
      </c>
      <c r="M1023" s="3" t="s">
        <v>2324</v>
      </c>
      <c r="O1023" s="3" t="s">
        <v>65</v>
      </c>
      <c r="P1023" s="3" t="s">
        <v>84</v>
      </c>
      <c r="Q1023" s="2" t="s">
        <v>13346</v>
      </c>
      <c r="R1023" s="3" t="s">
        <v>67</v>
      </c>
      <c r="S1023" s="4">
        <v>7</v>
      </c>
      <c r="T1023" s="4">
        <v>7</v>
      </c>
      <c r="U1023" s="5" t="s">
        <v>13096</v>
      </c>
      <c r="V1023" s="5" t="s">
        <v>13096</v>
      </c>
      <c r="W1023" s="5" t="s">
        <v>1758</v>
      </c>
      <c r="X1023" s="5" t="s">
        <v>1758</v>
      </c>
      <c r="Y1023" s="4">
        <v>403</v>
      </c>
      <c r="Z1023" s="4">
        <v>327</v>
      </c>
      <c r="AA1023" s="4">
        <v>334</v>
      </c>
      <c r="AB1023" s="4">
        <v>5</v>
      </c>
      <c r="AC1023" s="4">
        <v>5</v>
      </c>
      <c r="AD1023" s="4">
        <v>16</v>
      </c>
      <c r="AE1023" s="4">
        <v>16</v>
      </c>
      <c r="AF1023" s="4">
        <v>4</v>
      </c>
      <c r="AG1023" s="4">
        <v>4</v>
      </c>
      <c r="AH1023" s="4">
        <v>5</v>
      </c>
      <c r="AI1023" s="4">
        <v>5</v>
      </c>
      <c r="AJ1023" s="4">
        <v>7</v>
      </c>
      <c r="AK1023" s="4">
        <v>7</v>
      </c>
      <c r="AL1023" s="4">
        <v>4</v>
      </c>
      <c r="AM1023" s="4">
        <v>4</v>
      </c>
      <c r="AN1023" s="4">
        <v>0</v>
      </c>
      <c r="AO1023" s="4">
        <v>0</v>
      </c>
      <c r="AP1023" s="3" t="s">
        <v>58</v>
      </c>
      <c r="AQ1023" s="3" t="s">
        <v>87</v>
      </c>
      <c r="AR1023" s="6" t="str">
        <f>HYPERLINK("http://catalog.hathitrust.org/Record/000308633","HathiTrust Record")</f>
        <v>HathiTrust Record</v>
      </c>
      <c r="AS1023" s="6" t="str">
        <f>HYPERLINK("https://creighton-primo.hosted.exlibrisgroup.com/primo-explore/search?tab=default_tab&amp;search_scope=EVERYTHING&amp;vid=01CRU&amp;lang=en_US&amp;offset=0&amp;query=any,contains,991000070649702656","Catalog Record")</f>
        <v>Catalog Record</v>
      </c>
      <c r="AT1023" s="6" t="str">
        <f>HYPERLINK("http://www.worldcat.org/oclc/8784835","WorldCat Record")</f>
        <v>WorldCat Record</v>
      </c>
      <c r="AU1023" s="3" t="s">
        <v>13347</v>
      </c>
      <c r="AV1023" s="3" t="s">
        <v>13348</v>
      </c>
      <c r="AW1023" s="3" t="s">
        <v>13349</v>
      </c>
      <c r="AX1023" s="3" t="s">
        <v>13349</v>
      </c>
      <c r="AY1023" s="3" t="s">
        <v>13350</v>
      </c>
      <c r="AZ1023" s="3" t="s">
        <v>74</v>
      </c>
      <c r="BB1023" s="3" t="s">
        <v>13351</v>
      </c>
      <c r="BC1023" s="3" t="s">
        <v>13352</v>
      </c>
      <c r="BD1023" s="3" t="s">
        <v>13353</v>
      </c>
    </row>
    <row r="1024" spans="1:56" ht="45.75" customHeight="1" x14ac:dyDescent="0.25">
      <c r="A1024" s="7" t="s">
        <v>58</v>
      </c>
      <c r="B1024" s="2" t="s">
        <v>13354</v>
      </c>
      <c r="C1024" s="2" t="s">
        <v>13355</v>
      </c>
      <c r="D1024" s="2" t="s">
        <v>13356</v>
      </c>
      <c r="F1024" s="3" t="s">
        <v>58</v>
      </c>
      <c r="G1024" s="3" t="s">
        <v>59</v>
      </c>
      <c r="H1024" s="3" t="s">
        <v>58</v>
      </c>
      <c r="I1024" s="3" t="s">
        <v>58</v>
      </c>
      <c r="J1024" s="3" t="s">
        <v>60</v>
      </c>
      <c r="L1024" s="2" t="s">
        <v>13357</v>
      </c>
      <c r="M1024" s="3" t="s">
        <v>713</v>
      </c>
      <c r="O1024" s="3" t="s">
        <v>65</v>
      </c>
      <c r="P1024" s="3" t="s">
        <v>84</v>
      </c>
      <c r="R1024" s="3" t="s">
        <v>67</v>
      </c>
      <c r="S1024" s="4">
        <v>4</v>
      </c>
      <c r="T1024" s="4">
        <v>4</v>
      </c>
      <c r="U1024" s="5" t="s">
        <v>11424</v>
      </c>
      <c r="V1024" s="5" t="s">
        <v>11424</v>
      </c>
      <c r="W1024" s="5" t="s">
        <v>11348</v>
      </c>
      <c r="X1024" s="5" t="s">
        <v>11348</v>
      </c>
      <c r="Y1024" s="4">
        <v>288</v>
      </c>
      <c r="Z1024" s="4">
        <v>217</v>
      </c>
      <c r="AA1024" s="4">
        <v>224</v>
      </c>
      <c r="AB1024" s="4">
        <v>3</v>
      </c>
      <c r="AC1024" s="4">
        <v>3</v>
      </c>
      <c r="AD1024" s="4">
        <v>9</v>
      </c>
      <c r="AE1024" s="4">
        <v>9</v>
      </c>
      <c r="AF1024" s="4">
        <v>1</v>
      </c>
      <c r="AG1024" s="4">
        <v>1</v>
      </c>
      <c r="AH1024" s="4">
        <v>2</v>
      </c>
      <c r="AI1024" s="4">
        <v>2</v>
      </c>
      <c r="AJ1024" s="4">
        <v>4</v>
      </c>
      <c r="AK1024" s="4">
        <v>4</v>
      </c>
      <c r="AL1024" s="4">
        <v>2</v>
      </c>
      <c r="AM1024" s="4">
        <v>2</v>
      </c>
      <c r="AN1024" s="4">
        <v>2</v>
      </c>
      <c r="AO1024" s="4">
        <v>2</v>
      </c>
      <c r="AP1024" s="3" t="s">
        <v>58</v>
      </c>
      <c r="AQ1024" s="3" t="s">
        <v>87</v>
      </c>
      <c r="AR1024" s="6" t="str">
        <f>HYPERLINK("http://catalog.hathitrust.org/Record/000139079","HathiTrust Record")</f>
        <v>HathiTrust Record</v>
      </c>
      <c r="AS1024" s="6" t="str">
        <f>HYPERLINK("https://creighton-primo.hosted.exlibrisgroup.com/primo-explore/search?tab=default_tab&amp;search_scope=EVERYTHING&amp;vid=01CRU&amp;lang=en_US&amp;offset=0&amp;query=any,contains,991005088869702656","Catalog Record")</f>
        <v>Catalog Record</v>
      </c>
      <c r="AT1024" s="6" t="str">
        <f>HYPERLINK("http://www.worldcat.org/oclc/7204801","WorldCat Record")</f>
        <v>WorldCat Record</v>
      </c>
      <c r="AU1024" s="3" t="s">
        <v>13358</v>
      </c>
      <c r="AV1024" s="3" t="s">
        <v>13359</v>
      </c>
      <c r="AW1024" s="3" t="s">
        <v>13360</v>
      </c>
      <c r="AX1024" s="3" t="s">
        <v>13360</v>
      </c>
      <c r="AY1024" s="3" t="s">
        <v>13361</v>
      </c>
      <c r="AZ1024" s="3" t="s">
        <v>74</v>
      </c>
      <c r="BB1024" s="3" t="s">
        <v>13362</v>
      </c>
      <c r="BC1024" s="3" t="s">
        <v>13363</v>
      </c>
      <c r="BD1024" s="3" t="s">
        <v>13364</v>
      </c>
    </row>
    <row r="1025" spans="1:56" ht="45.75" customHeight="1" x14ac:dyDescent="0.25">
      <c r="A1025" s="7" t="s">
        <v>58</v>
      </c>
      <c r="B1025" s="2" t="s">
        <v>13365</v>
      </c>
      <c r="C1025" s="2" t="s">
        <v>13366</v>
      </c>
      <c r="D1025" s="2" t="s">
        <v>13367</v>
      </c>
      <c r="F1025" s="3" t="s">
        <v>58</v>
      </c>
      <c r="G1025" s="3" t="s">
        <v>59</v>
      </c>
      <c r="H1025" s="3" t="s">
        <v>58</v>
      </c>
      <c r="I1025" s="3" t="s">
        <v>58</v>
      </c>
      <c r="J1025" s="3" t="s">
        <v>60</v>
      </c>
      <c r="L1025" s="2" t="s">
        <v>13368</v>
      </c>
      <c r="M1025" s="3" t="s">
        <v>263</v>
      </c>
      <c r="O1025" s="3" t="s">
        <v>65</v>
      </c>
      <c r="P1025" s="3" t="s">
        <v>148</v>
      </c>
      <c r="R1025" s="3" t="s">
        <v>67</v>
      </c>
      <c r="S1025" s="4">
        <v>10</v>
      </c>
      <c r="T1025" s="4">
        <v>10</v>
      </c>
      <c r="U1025" s="5" t="s">
        <v>4734</v>
      </c>
      <c r="V1025" s="5" t="s">
        <v>4734</v>
      </c>
      <c r="W1025" s="5" t="s">
        <v>351</v>
      </c>
      <c r="X1025" s="5" t="s">
        <v>351</v>
      </c>
      <c r="Y1025" s="4">
        <v>278</v>
      </c>
      <c r="Z1025" s="4">
        <v>217</v>
      </c>
      <c r="AA1025" s="4">
        <v>1341</v>
      </c>
      <c r="AB1025" s="4">
        <v>3</v>
      </c>
      <c r="AC1025" s="4">
        <v>4</v>
      </c>
      <c r="AD1025" s="4">
        <v>17</v>
      </c>
      <c r="AE1025" s="4">
        <v>44</v>
      </c>
      <c r="AF1025" s="4">
        <v>6</v>
      </c>
      <c r="AG1025" s="4">
        <v>21</v>
      </c>
      <c r="AH1025" s="4">
        <v>1</v>
      </c>
      <c r="AI1025" s="4">
        <v>8</v>
      </c>
      <c r="AJ1025" s="4">
        <v>7</v>
      </c>
      <c r="AK1025" s="4">
        <v>17</v>
      </c>
      <c r="AL1025" s="4">
        <v>2</v>
      </c>
      <c r="AM1025" s="4">
        <v>3</v>
      </c>
      <c r="AN1025" s="4">
        <v>6</v>
      </c>
      <c r="AO1025" s="4">
        <v>7</v>
      </c>
      <c r="AP1025" s="3" t="s">
        <v>58</v>
      </c>
      <c r="AQ1025" s="3" t="s">
        <v>87</v>
      </c>
      <c r="AR1025" s="6" t="str">
        <f>HYPERLINK("http://catalog.hathitrust.org/Record/003059173","HathiTrust Record")</f>
        <v>HathiTrust Record</v>
      </c>
      <c r="AS1025" s="6" t="str">
        <f>HYPERLINK("https://creighton-primo.hosted.exlibrisgroup.com/primo-explore/search?tab=default_tab&amp;search_scope=EVERYTHING&amp;vid=01CRU&amp;lang=en_US&amp;offset=0&amp;query=any,contains,991002573079702656","Catalog Record")</f>
        <v>Catalog Record</v>
      </c>
      <c r="AT1025" s="6" t="str">
        <f>HYPERLINK("http://www.worldcat.org/oclc/33440314","WorldCat Record")</f>
        <v>WorldCat Record</v>
      </c>
      <c r="AU1025" s="3" t="s">
        <v>13369</v>
      </c>
      <c r="AV1025" s="3" t="s">
        <v>13370</v>
      </c>
      <c r="AW1025" s="3" t="s">
        <v>13371</v>
      </c>
      <c r="AX1025" s="3" t="s">
        <v>13371</v>
      </c>
      <c r="AY1025" s="3" t="s">
        <v>13372</v>
      </c>
      <c r="AZ1025" s="3" t="s">
        <v>74</v>
      </c>
      <c r="BB1025" s="3" t="s">
        <v>13373</v>
      </c>
      <c r="BC1025" s="3" t="s">
        <v>13374</v>
      </c>
      <c r="BD1025" s="3" t="s">
        <v>13375</v>
      </c>
    </row>
    <row r="1026" spans="1:56" ht="45.75" customHeight="1" x14ac:dyDescent="0.25">
      <c r="A1026" s="7" t="s">
        <v>58</v>
      </c>
      <c r="B1026" s="2" t="s">
        <v>13376</v>
      </c>
      <c r="C1026" s="2" t="s">
        <v>13377</v>
      </c>
      <c r="D1026" s="2" t="s">
        <v>13378</v>
      </c>
      <c r="F1026" s="3" t="s">
        <v>58</v>
      </c>
      <c r="G1026" s="3" t="s">
        <v>59</v>
      </c>
      <c r="H1026" s="3" t="s">
        <v>87</v>
      </c>
      <c r="I1026" s="3" t="s">
        <v>87</v>
      </c>
      <c r="J1026" s="3" t="s">
        <v>60</v>
      </c>
      <c r="L1026" s="2" t="s">
        <v>13379</v>
      </c>
      <c r="M1026" s="3" t="s">
        <v>116</v>
      </c>
      <c r="N1026" s="2" t="s">
        <v>390</v>
      </c>
      <c r="O1026" s="3" t="s">
        <v>65</v>
      </c>
      <c r="P1026" s="3" t="s">
        <v>1224</v>
      </c>
      <c r="R1026" s="3" t="s">
        <v>67</v>
      </c>
      <c r="S1026" s="4">
        <v>0</v>
      </c>
      <c r="T1026" s="4">
        <v>7</v>
      </c>
      <c r="V1026" s="5" t="s">
        <v>11461</v>
      </c>
      <c r="W1026" s="5" t="s">
        <v>5503</v>
      </c>
      <c r="X1026" s="5" t="s">
        <v>5503</v>
      </c>
      <c r="Y1026" s="4">
        <v>106</v>
      </c>
      <c r="Z1026" s="4">
        <v>96</v>
      </c>
      <c r="AA1026" s="4">
        <v>540</v>
      </c>
      <c r="AB1026" s="4">
        <v>1</v>
      </c>
      <c r="AC1026" s="4">
        <v>9</v>
      </c>
      <c r="AD1026" s="4">
        <v>3</v>
      </c>
      <c r="AE1026" s="4">
        <v>28</v>
      </c>
      <c r="AF1026" s="4">
        <v>2</v>
      </c>
      <c r="AG1026" s="4">
        <v>7</v>
      </c>
      <c r="AH1026" s="4">
        <v>0</v>
      </c>
      <c r="AI1026" s="4">
        <v>2</v>
      </c>
      <c r="AJ1026" s="4">
        <v>1</v>
      </c>
      <c r="AK1026" s="4">
        <v>5</v>
      </c>
      <c r="AL1026" s="4">
        <v>0</v>
      </c>
      <c r="AM1026" s="4">
        <v>7</v>
      </c>
      <c r="AN1026" s="4">
        <v>0</v>
      </c>
      <c r="AO1026" s="4">
        <v>9</v>
      </c>
      <c r="AP1026" s="3" t="s">
        <v>58</v>
      </c>
      <c r="AQ1026" s="3" t="s">
        <v>58</v>
      </c>
      <c r="AS1026" s="6" t="str">
        <f>HYPERLINK("https://creighton-primo.hosted.exlibrisgroup.com/primo-explore/search?tab=default_tab&amp;search_scope=EVERYTHING&amp;vid=01CRU&amp;lang=en_US&amp;offset=0&amp;query=any,contains,991002923339702656","Catalog Record")</f>
        <v>Catalog Record</v>
      </c>
      <c r="AT1026" s="6" t="str">
        <f>HYPERLINK("http://www.worldcat.org/oclc/38853987","WorldCat Record")</f>
        <v>WorldCat Record</v>
      </c>
      <c r="AU1026" s="3" t="s">
        <v>13380</v>
      </c>
      <c r="AV1026" s="3" t="s">
        <v>13381</v>
      </c>
      <c r="AW1026" s="3" t="s">
        <v>13382</v>
      </c>
      <c r="AX1026" s="3" t="s">
        <v>13382</v>
      </c>
      <c r="AY1026" s="3" t="s">
        <v>13383</v>
      </c>
      <c r="AZ1026" s="3" t="s">
        <v>74</v>
      </c>
      <c r="BB1026" s="3" t="s">
        <v>13384</v>
      </c>
      <c r="BC1026" s="3" t="s">
        <v>13385</v>
      </c>
      <c r="BD1026" s="3" t="s">
        <v>13386</v>
      </c>
    </row>
    <row r="1027" spans="1:56" ht="45.75" customHeight="1" x14ac:dyDescent="0.25">
      <c r="A1027" s="7" t="s">
        <v>58</v>
      </c>
      <c r="B1027" s="2" t="s">
        <v>13376</v>
      </c>
      <c r="C1027" s="2" t="s">
        <v>13377</v>
      </c>
      <c r="D1027" s="2" t="s">
        <v>13378</v>
      </c>
      <c r="F1027" s="3" t="s">
        <v>58</v>
      </c>
      <c r="G1027" s="3" t="s">
        <v>59</v>
      </c>
      <c r="H1027" s="3" t="s">
        <v>87</v>
      </c>
      <c r="I1027" s="3" t="s">
        <v>87</v>
      </c>
      <c r="J1027" s="3" t="s">
        <v>60</v>
      </c>
      <c r="L1027" s="2" t="s">
        <v>13379</v>
      </c>
      <c r="M1027" s="3" t="s">
        <v>116</v>
      </c>
      <c r="N1027" s="2" t="s">
        <v>390</v>
      </c>
      <c r="O1027" s="3" t="s">
        <v>65</v>
      </c>
      <c r="P1027" s="3" t="s">
        <v>1224</v>
      </c>
      <c r="R1027" s="3" t="s">
        <v>67</v>
      </c>
      <c r="S1027" s="4">
        <v>7</v>
      </c>
      <c r="T1027" s="4">
        <v>7</v>
      </c>
      <c r="U1027" s="5" t="s">
        <v>11461</v>
      </c>
      <c r="V1027" s="5" t="s">
        <v>11461</v>
      </c>
      <c r="W1027" s="5" t="s">
        <v>5503</v>
      </c>
      <c r="X1027" s="5" t="s">
        <v>5503</v>
      </c>
      <c r="Y1027" s="4">
        <v>106</v>
      </c>
      <c r="Z1027" s="4">
        <v>96</v>
      </c>
      <c r="AA1027" s="4">
        <v>540</v>
      </c>
      <c r="AB1027" s="4">
        <v>1</v>
      </c>
      <c r="AC1027" s="4">
        <v>9</v>
      </c>
      <c r="AD1027" s="4">
        <v>3</v>
      </c>
      <c r="AE1027" s="4">
        <v>28</v>
      </c>
      <c r="AF1027" s="4">
        <v>2</v>
      </c>
      <c r="AG1027" s="4">
        <v>7</v>
      </c>
      <c r="AH1027" s="4">
        <v>0</v>
      </c>
      <c r="AI1027" s="4">
        <v>2</v>
      </c>
      <c r="AJ1027" s="4">
        <v>1</v>
      </c>
      <c r="AK1027" s="4">
        <v>5</v>
      </c>
      <c r="AL1027" s="4">
        <v>0</v>
      </c>
      <c r="AM1027" s="4">
        <v>7</v>
      </c>
      <c r="AN1027" s="4">
        <v>0</v>
      </c>
      <c r="AO1027" s="4">
        <v>9</v>
      </c>
      <c r="AP1027" s="3" t="s">
        <v>58</v>
      </c>
      <c r="AQ1027" s="3" t="s">
        <v>58</v>
      </c>
      <c r="AS1027" s="6" t="str">
        <f>HYPERLINK("https://creighton-primo.hosted.exlibrisgroup.com/primo-explore/search?tab=default_tab&amp;search_scope=EVERYTHING&amp;vid=01CRU&amp;lang=en_US&amp;offset=0&amp;query=any,contains,991002923339702656","Catalog Record")</f>
        <v>Catalog Record</v>
      </c>
      <c r="AT1027" s="6" t="str">
        <f>HYPERLINK("http://www.worldcat.org/oclc/38853987","WorldCat Record")</f>
        <v>WorldCat Record</v>
      </c>
      <c r="AU1027" s="3" t="s">
        <v>13380</v>
      </c>
      <c r="AV1027" s="3" t="s">
        <v>13381</v>
      </c>
      <c r="AW1027" s="3" t="s">
        <v>13382</v>
      </c>
      <c r="AX1027" s="3" t="s">
        <v>13382</v>
      </c>
      <c r="AY1027" s="3" t="s">
        <v>13383</v>
      </c>
      <c r="AZ1027" s="3" t="s">
        <v>74</v>
      </c>
      <c r="BB1027" s="3" t="s">
        <v>13384</v>
      </c>
      <c r="BC1027" s="3" t="s">
        <v>13387</v>
      </c>
      <c r="BD1027" s="3" t="s">
        <v>13388</v>
      </c>
    </row>
    <row r="1028" spans="1:56" ht="45.75" customHeight="1" x14ac:dyDescent="0.25">
      <c r="A1028" s="7" t="s">
        <v>58</v>
      </c>
      <c r="B1028" s="2" t="s">
        <v>13389</v>
      </c>
      <c r="C1028" s="2" t="s">
        <v>13390</v>
      </c>
      <c r="D1028" s="2" t="s">
        <v>13391</v>
      </c>
      <c r="F1028" s="3" t="s">
        <v>58</v>
      </c>
      <c r="G1028" s="3" t="s">
        <v>59</v>
      </c>
      <c r="H1028" s="3" t="s">
        <v>58</v>
      </c>
      <c r="I1028" s="3" t="s">
        <v>58</v>
      </c>
      <c r="J1028" s="3" t="s">
        <v>60</v>
      </c>
      <c r="K1028" s="2" t="s">
        <v>13392</v>
      </c>
      <c r="L1028" s="2" t="s">
        <v>2439</v>
      </c>
      <c r="M1028" s="3" t="s">
        <v>908</v>
      </c>
      <c r="O1028" s="3" t="s">
        <v>65</v>
      </c>
      <c r="P1028" s="3" t="s">
        <v>84</v>
      </c>
      <c r="R1028" s="3" t="s">
        <v>67</v>
      </c>
      <c r="S1028" s="4">
        <v>12</v>
      </c>
      <c r="T1028" s="4">
        <v>12</v>
      </c>
      <c r="U1028" s="5" t="s">
        <v>13393</v>
      </c>
      <c r="V1028" s="5" t="s">
        <v>13393</v>
      </c>
      <c r="W1028" s="5" t="s">
        <v>1758</v>
      </c>
      <c r="X1028" s="5" t="s">
        <v>1758</v>
      </c>
      <c r="Y1028" s="4">
        <v>1146</v>
      </c>
      <c r="Z1028" s="4">
        <v>1006</v>
      </c>
      <c r="AA1028" s="4">
        <v>1029</v>
      </c>
      <c r="AB1028" s="4">
        <v>8</v>
      </c>
      <c r="AC1028" s="4">
        <v>8</v>
      </c>
      <c r="AD1028" s="4">
        <v>40</v>
      </c>
      <c r="AE1028" s="4">
        <v>41</v>
      </c>
      <c r="AF1028" s="4">
        <v>16</v>
      </c>
      <c r="AG1028" s="4">
        <v>17</v>
      </c>
      <c r="AH1028" s="4">
        <v>9</v>
      </c>
      <c r="AI1028" s="4">
        <v>9</v>
      </c>
      <c r="AJ1028" s="4">
        <v>16</v>
      </c>
      <c r="AK1028" s="4">
        <v>17</v>
      </c>
      <c r="AL1028" s="4">
        <v>5</v>
      </c>
      <c r="AM1028" s="4">
        <v>5</v>
      </c>
      <c r="AN1028" s="4">
        <v>3</v>
      </c>
      <c r="AO1028" s="4">
        <v>3</v>
      </c>
      <c r="AP1028" s="3" t="s">
        <v>58</v>
      </c>
      <c r="AQ1028" s="3" t="s">
        <v>87</v>
      </c>
      <c r="AR1028" s="6" t="str">
        <f>HYPERLINK("http://catalog.hathitrust.org/Record/000225890","HathiTrust Record")</f>
        <v>HathiTrust Record</v>
      </c>
      <c r="AS1028" s="6" t="str">
        <f>HYPERLINK("https://creighton-primo.hosted.exlibrisgroup.com/primo-explore/search?tab=default_tab&amp;search_scope=EVERYTHING&amp;vid=01CRU&amp;lang=en_US&amp;offset=0&amp;query=any,contains,991004792889702656","Catalog Record")</f>
        <v>Catalog Record</v>
      </c>
      <c r="AT1028" s="6" t="str">
        <f>HYPERLINK("http://www.worldcat.org/oclc/5171856","WorldCat Record")</f>
        <v>WorldCat Record</v>
      </c>
      <c r="AU1028" s="3" t="s">
        <v>13394</v>
      </c>
      <c r="AV1028" s="3" t="s">
        <v>13395</v>
      </c>
      <c r="AW1028" s="3" t="s">
        <v>13396</v>
      </c>
      <c r="AX1028" s="3" t="s">
        <v>13396</v>
      </c>
      <c r="AY1028" s="3" t="s">
        <v>13397</v>
      </c>
      <c r="AZ1028" s="3" t="s">
        <v>74</v>
      </c>
      <c r="BB1028" s="3" t="s">
        <v>13398</v>
      </c>
      <c r="BC1028" s="3" t="s">
        <v>13399</v>
      </c>
      <c r="BD1028" s="3" t="s">
        <v>13400</v>
      </c>
    </row>
    <row r="1029" spans="1:56" ht="45.75" customHeight="1" x14ac:dyDescent="0.25">
      <c r="A1029" s="7" t="s">
        <v>58</v>
      </c>
      <c r="B1029" s="2" t="s">
        <v>13401</v>
      </c>
      <c r="C1029" s="2" t="s">
        <v>13402</v>
      </c>
      <c r="D1029" s="2" t="s">
        <v>13403</v>
      </c>
      <c r="F1029" s="3" t="s">
        <v>58</v>
      </c>
      <c r="G1029" s="3" t="s">
        <v>59</v>
      </c>
      <c r="H1029" s="3" t="s">
        <v>58</v>
      </c>
      <c r="I1029" s="3" t="s">
        <v>58</v>
      </c>
      <c r="J1029" s="3" t="s">
        <v>60</v>
      </c>
      <c r="K1029" s="2" t="s">
        <v>13404</v>
      </c>
      <c r="L1029" s="2" t="s">
        <v>13405</v>
      </c>
      <c r="M1029" s="3" t="s">
        <v>923</v>
      </c>
      <c r="O1029" s="3" t="s">
        <v>65</v>
      </c>
      <c r="P1029" s="3" t="s">
        <v>132</v>
      </c>
      <c r="R1029" s="3" t="s">
        <v>67</v>
      </c>
      <c r="S1029" s="4">
        <v>10</v>
      </c>
      <c r="T1029" s="4">
        <v>10</v>
      </c>
      <c r="U1029" s="5" t="s">
        <v>12430</v>
      </c>
      <c r="V1029" s="5" t="s">
        <v>12430</v>
      </c>
      <c r="W1029" s="5" t="s">
        <v>1240</v>
      </c>
      <c r="X1029" s="5" t="s">
        <v>1240</v>
      </c>
      <c r="Y1029" s="4">
        <v>244</v>
      </c>
      <c r="Z1029" s="4">
        <v>221</v>
      </c>
      <c r="AA1029" s="4">
        <v>235</v>
      </c>
      <c r="AB1029" s="4">
        <v>3</v>
      </c>
      <c r="AC1029" s="4">
        <v>3</v>
      </c>
      <c r="AD1029" s="4">
        <v>5</v>
      </c>
      <c r="AE1029" s="4">
        <v>5</v>
      </c>
      <c r="AF1029" s="4">
        <v>1</v>
      </c>
      <c r="AG1029" s="4">
        <v>1</v>
      </c>
      <c r="AH1029" s="4">
        <v>0</v>
      </c>
      <c r="AI1029" s="4">
        <v>0</v>
      </c>
      <c r="AJ1029" s="4">
        <v>3</v>
      </c>
      <c r="AK1029" s="4">
        <v>3</v>
      </c>
      <c r="AL1029" s="4">
        <v>2</v>
      </c>
      <c r="AM1029" s="4">
        <v>2</v>
      </c>
      <c r="AN1029" s="4">
        <v>0</v>
      </c>
      <c r="AO1029" s="4">
        <v>0</v>
      </c>
      <c r="AP1029" s="3" t="s">
        <v>58</v>
      </c>
      <c r="AQ1029" s="3" t="s">
        <v>58</v>
      </c>
      <c r="AS1029" s="6" t="str">
        <f>HYPERLINK("https://creighton-primo.hosted.exlibrisgroup.com/primo-explore/search?tab=default_tab&amp;search_scope=EVERYTHING&amp;vid=01CRU&amp;lang=en_US&amp;offset=0&amp;query=any,contains,991005234519702656","Catalog Record")</f>
        <v>Catalog Record</v>
      </c>
      <c r="AT1029" s="6" t="str">
        <f>HYPERLINK("http://www.worldcat.org/oclc/8355149","WorldCat Record")</f>
        <v>WorldCat Record</v>
      </c>
      <c r="AU1029" s="3" t="s">
        <v>13406</v>
      </c>
      <c r="AV1029" s="3" t="s">
        <v>13407</v>
      </c>
      <c r="AW1029" s="3" t="s">
        <v>13408</v>
      </c>
      <c r="AX1029" s="3" t="s">
        <v>13408</v>
      </c>
      <c r="AY1029" s="3" t="s">
        <v>13409</v>
      </c>
      <c r="AZ1029" s="3" t="s">
        <v>74</v>
      </c>
      <c r="BB1029" s="3" t="s">
        <v>13410</v>
      </c>
      <c r="BC1029" s="3" t="s">
        <v>13411</v>
      </c>
      <c r="BD1029" s="3" t="s">
        <v>13412</v>
      </c>
    </row>
    <row r="1030" spans="1:56" ht="45.75" customHeight="1" x14ac:dyDescent="0.25">
      <c r="A1030" s="7" t="s">
        <v>58</v>
      </c>
      <c r="B1030" s="2" t="s">
        <v>13413</v>
      </c>
      <c r="C1030" s="2" t="s">
        <v>13414</v>
      </c>
      <c r="D1030" s="2" t="s">
        <v>13415</v>
      </c>
      <c r="F1030" s="3" t="s">
        <v>58</v>
      </c>
      <c r="G1030" s="3" t="s">
        <v>59</v>
      </c>
      <c r="H1030" s="3" t="s">
        <v>58</v>
      </c>
      <c r="I1030" s="3" t="s">
        <v>58</v>
      </c>
      <c r="J1030" s="3" t="s">
        <v>60</v>
      </c>
      <c r="K1030" s="2" t="s">
        <v>13416</v>
      </c>
      <c r="L1030" s="2" t="s">
        <v>13417</v>
      </c>
      <c r="M1030" s="3" t="s">
        <v>1032</v>
      </c>
      <c r="O1030" s="3" t="s">
        <v>65</v>
      </c>
      <c r="P1030" s="3" t="s">
        <v>190</v>
      </c>
      <c r="R1030" s="3" t="s">
        <v>67</v>
      </c>
      <c r="S1030" s="4">
        <v>9</v>
      </c>
      <c r="T1030" s="4">
        <v>9</v>
      </c>
      <c r="U1030" s="5" t="s">
        <v>13418</v>
      </c>
      <c r="V1030" s="5" t="s">
        <v>13418</v>
      </c>
      <c r="W1030" s="5" t="s">
        <v>2040</v>
      </c>
      <c r="X1030" s="5" t="s">
        <v>2040</v>
      </c>
      <c r="Y1030" s="4">
        <v>131</v>
      </c>
      <c r="Z1030" s="4">
        <v>126</v>
      </c>
      <c r="AA1030" s="4">
        <v>134</v>
      </c>
      <c r="AB1030" s="4">
        <v>1</v>
      </c>
      <c r="AC1030" s="4">
        <v>1</v>
      </c>
      <c r="AD1030" s="4">
        <v>5</v>
      </c>
      <c r="AE1030" s="4">
        <v>5</v>
      </c>
      <c r="AF1030" s="4">
        <v>2</v>
      </c>
      <c r="AG1030" s="4">
        <v>2</v>
      </c>
      <c r="AH1030" s="4">
        <v>1</v>
      </c>
      <c r="AI1030" s="4">
        <v>1</v>
      </c>
      <c r="AJ1030" s="4">
        <v>3</v>
      </c>
      <c r="AK1030" s="4">
        <v>3</v>
      </c>
      <c r="AL1030" s="4">
        <v>0</v>
      </c>
      <c r="AM1030" s="4">
        <v>0</v>
      </c>
      <c r="AN1030" s="4">
        <v>0</v>
      </c>
      <c r="AO1030" s="4">
        <v>0</v>
      </c>
      <c r="AP1030" s="3" t="s">
        <v>58</v>
      </c>
      <c r="AQ1030" s="3" t="s">
        <v>87</v>
      </c>
      <c r="AR1030" s="6" t="str">
        <f>HYPERLINK("http://catalog.hathitrust.org/Record/004030114","HathiTrust Record")</f>
        <v>HathiTrust Record</v>
      </c>
      <c r="AS1030" s="6" t="str">
        <f>HYPERLINK("https://creighton-primo.hosted.exlibrisgroup.com/primo-explore/search?tab=default_tab&amp;search_scope=EVERYTHING&amp;vid=01CRU&amp;lang=en_US&amp;offset=0&amp;query=any,contains,991002614459702656","Catalog Record")</f>
        <v>Catalog Record</v>
      </c>
      <c r="AT1030" s="6" t="str">
        <f>HYPERLINK("http://www.worldcat.org/oclc/34281714","WorldCat Record")</f>
        <v>WorldCat Record</v>
      </c>
      <c r="AU1030" s="3" t="s">
        <v>13419</v>
      </c>
      <c r="AV1030" s="3" t="s">
        <v>13420</v>
      </c>
      <c r="AW1030" s="3" t="s">
        <v>13421</v>
      </c>
      <c r="AX1030" s="3" t="s">
        <v>13421</v>
      </c>
      <c r="AY1030" s="3" t="s">
        <v>13422</v>
      </c>
      <c r="AZ1030" s="3" t="s">
        <v>74</v>
      </c>
      <c r="BB1030" s="3" t="s">
        <v>13423</v>
      </c>
      <c r="BC1030" s="3" t="s">
        <v>13424</v>
      </c>
      <c r="BD1030" s="3" t="s">
        <v>13425</v>
      </c>
    </row>
    <row r="1031" spans="1:56" ht="45.75" customHeight="1" x14ac:dyDescent="0.25">
      <c r="A1031" s="7" t="s">
        <v>58</v>
      </c>
      <c r="B1031" s="2" t="s">
        <v>13426</v>
      </c>
      <c r="C1031" s="2" t="s">
        <v>13427</v>
      </c>
      <c r="D1031" s="2" t="s">
        <v>13428</v>
      </c>
      <c r="F1031" s="3" t="s">
        <v>58</v>
      </c>
      <c r="G1031" s="3" t="s">
        <v>59</v>
      </c>
      <c r="H1031" s="3" t="s">
        <v>58</v>
      </c>
      <c r="I1031" s="3" t="s">
        <v>58</v>
      </c>
      <c r="J1031" s="3" t="s">
        <v>60</v>
      </c>
      <c r="L1031" s="2" t="s">
        <v>1595</v>
      </c>
      <c r="M1031" s="3" t="s">
        <v>923</v>
      </c>
      <c r="O1031" s="3" t="s">
        <v>65</v>
      </c>
      <c r="P1031" s="3" t="s">
        <v>190</v>
      </c>
      <c r="R1031" s="3" t="s">
        <v>67</v>
      </c>
      <c r="S1031" s="4">
        <v>1</v>
      </c>
      <c r="T1031" s="4">
        <v>1</v>
      </c>
      <c r="U1031" s="5" t="s">
        <v>13429</v>
      </c>
      <c r="V1031" s="5" t="s">
        <v>13429</v>
      </c>
      <c r="W1031" s="5" t="s">
        <v>11348</v>
      </c>
      <c r="X1031" s="5" t="s">
        <v>11348</v>
      </c>
      <c r="Y1031" s="4">
        <v>170</v>
      </c>
      <c r="Z1031" s="4">
        <v>148</v>
      </c>
      <c r="AA1031" s="4">
        <v>149</v>
      </c>
      <c r="AB1031" s="4">
        <v>2</v>
      </c>
      <c r="AC1031" s="4">
        <v>2</v>
      </c>
      <c r="AD1031" s="4">
        <v>4</v>
      </c>
      <c r="AE1031" s="4">
        <v>4</v>
      </c>
      <c r="AF1031" s="4">
        <v>1</v>
      </c>
      <c r="AG1031" s="4">
        <v>1</v>
      </c>
      <c r="AH1031" s="4">
        <v>0</v>
      </c>
      <c r="AI1031" s="4">
        <v>0</v>
      </c>
      <c r="AJ1031" s="4">
        <v>1</v>
      </c>
      <c r="AK1031" s="4">
        <v>1</v>
      </c>
      <c r="AL1031" s="4">
        <v>1</v>
      </c>
      <c r="AM1031" s="4">
        <v>1</v>
      </c>
      <c r="AN1031" s="4">
        <v>1</v>
      </c>
      <c r="AO1031" s="4">
        <v>1</v>
      </c>
      <c r="AP1031" s="3" t="s">
        <v>58</v>
      </c>
      <c r="AQ1031" s="3" t="s">
        <v>87</v>
      </c>
      <c r="AR1031" s="6" t="str">
        <f>HYPERLINK("http://catalog.hathitrust.org/Record/000190328","HathiTrust Record")</f>
        <v>HathiTrust Record</v>
      </c>
      <c r="AS1031" s="6" t="str">
        <f>HYPERLINK("https://creighton-primo.hosted.exlibrisgroup.com/primo-explore/search?tab=default_tab&amp;search_scope=EVERYTHING&amp;vid=01CRU&amp;lang=en_US&amp;offset=0&amp;query=any,contains,991000071849702656","Catalog Record")</f>
        <v>Catalog Record</v>
      </c>
      <c r="AT1031" s="6" t="str">
        <f>HYPERLINK("http://www.worldcat.org/oclc/8785583","WorldCat Record")</f>
        <v>WorldCat Record</v>
      </c>
      <c r="AU1031" s="3" t="s">
        <v>13430</v>
      </c>
      <c r="AV1031" s="3" t="s">
        <v>13431</v>
      </c>
      <c r="AW1031" s="3" t="s">
        <v>13432</v>
      </c>
      <c r="AX1031" s="3" t="s">
        <v>13432</v>
      </c>
      <c r="AY1031" s="3" t="s">
        <v>13433</v>
      </c>
      <c r="AZ1031" s="3" t="s">
        <v>74</v>
      </c>
      <c r="BB1031" s="3" t="s">
        <v>13434</v>
      </c>
      <c r="BC1031" s="3" t="s">
        <v>13435</v>
      </c>
      <c r="BD1031" s="3" t="s">
        <v>13436</v>
      </c>
    </row>
    <row r="1032" spans="1:56" ht="45.75" customHeight="1" x14ac:dyDescent="0.25">
      <c r="A1032" s="7" t="s">
        <v>58</v>
      </c>
      <c r="B1032" s="2" t="s">
        <v>13437</v>
      </c>
      <c r="C1032" s="2" t="s">
        <v>13438</v>
      </c>
      <c r="D1032" s="2" t="s">
        <v>13439</v>
      </c>
      <c r="F1032" s="3" t="s">
        <v>58</v>
      </c>
      <c r="G1032" s="3" t="s">
        <v>59</v>
      </c>
      <c r="H1032" s="3" t="s">
        <v>58</v>
      </c>
      <c r="I1032" s="3" t="s">
        <v>58</v>
      </c>
      <c r="J1032" s="3" t="s">
        <v>60</v>
      </c>
      <c r="K1032" s="2" t="s">
        <v>13440</v>
      </c>
      <c r="L1032" s="2" t="s">
        <v>13441</v>
      </c>
      <c r="M1032" s="3" t="s">
        <v>83</v>
      </c>
      <c r="O1032" s="3" t="s">
        <v>65</v>
      </c>
      <c r="P1032" s="3" t="s">
        <v>84</v>
      </c>
      <c r="Q1032" s="2" t="s">
        <v>13442</v>
      </c>
      <c r="R1032" s="3" t="s">
        <v>67</v>
      </c>
      <c r="S1032" s="4">
        <v>9</v>
      </c>
      <c r="T1032" s="4">
        <v>9</v>
      </c>
      <c r="U1032" s="5" t="s">
        <v>13443</v>
      </c>
      <c r="V1032" s="5" t="s">
        <v>13443</v>
      </c>
      <c r="W1032" s="5" t="s">
        <v>8824</v>
      </c>
      <c r="X1032" s="5" t="s">
        <v>8824</v>
      </c>
      <c r="Y1032" s="4">
        <v>547</v>
      </c>
      <c r="Z1032" s="4">
        <v>437</v>
      </c>
      <c r="AA1032" s="4">
        <v>461</v>
      </c>
      <c r="AB1032" s="4">
        <v>4</v>
      </c>
      <c r="AC1032" s="4">
        <v>4</v>
      </c>
      <c r="AD1032" s="4">
        <v>24</v>
      </c>
      <c r="AE1032" s="4">
        <v>26</v>
      </c>
      <c r="AF1032" s="4">
        <v>6</v>
      </c>
      <c r="AG1032" s="4">
        <v>8</v>
      </c>
      <c r="AH1032" s="4">
        <v>7</v>
      </c>
      <c r="AI1032" s="4">
        <v>7</v>
      </c>
      <c r="AJ1032" s="4">
        <v>11</v>
      </c>
      <c r="AK1032" s="4">
        <v>12</v>
      </c>
      <c r="AL1032" s="4">
        <v>3</v>
      </c>
      <c r="AM1032" s="4">
        <v>3</v>
      </c>
      <c r="AN1032" s="4">
        <v>3</v>
      </c>
      <c r="AO1032" s="4">
        <v>3</v>
      </c>
      <c r="AP1032" s="3" t="s">
        <v>58</v>
      </c>
      <c r="AQ1032" s="3" t="s">
        <v>87</v>
      </c>
      <c r="AR1032" s="6" t="str">
        <f>HYPERLINK("http://catalog.hathitrust.org/Record/000674058","HathiTrust Record")</f>
        <v>HathiTrust Record</v>
      </c>
      <c r="AS1032" s="6" t="str">
        <f>HYPERLINK("https://creighton-primo.hosted.exlibrisgroup.com/primo-explore/search?tab=default_tab&amp;search_scope=EVERYTHING&amp;vid=01CRU&amp;lang=en_US&amp;offset=0&amp;query=any,contains,991000845329702656","Catalog Record")</f>
        <v>Catalog Record</v>
      </c>
      <c r="AT1032" s="6" t="str">
        <f>HYPERLINK("http://www.worldcat.org/oclc/13559762","WorldCat Record")</f>
        <v>WorldCat Record</v>
      </c>
      <c r="AU1032" s="3" t="s">
        <v>13444</v>
      </c>
      <c r="AV1032" s="3" t="s">
        <v>13445</v>
      </c>
      <c r="AW1032" s="3" t="s">
        <v>13446</v>
      </c>
      <c r="AX1032" s="3" t="s">
        <v>13446</v>
      </c>
      <c r="AY1032" s="3" t="s">
        <v>13447</v>
      </c>
      <c r="AZ1032" s="3" t="s">
        <v>74</v>
      </c>
      <c r="BB1032" s="3" t="s">
        <v>13448</v>
      </c>
      <c r="BC1032" s="3" t="s">
        <v>13449</v>
      </c>
      <c r="BD1032" s="3" t="s">
        <v>13450</v>
      </c>
    </row>
    <row r="1033" spans="1:56" ht="45.75" customHeight="1" x14ac:dyDescent="0.25">
      <c r="A1033" s="7" t="s">
        <v>58</v>
      </c>
      <c r="B1033" s="2" t="s">
        <v>13451</v>
      </c>
      <c r="C1033" s="2" t="s">
        <v>13452</v>
      </c>
      <c r="D1033" s="2" t="s">
        <v>13453</v>
      </c>
      <c r="F1033" s="3" t="s">
        <v>58</v>
      </c>
      <c r="G1033" s="3" t="s">
        <v>59</v>
      </c>
      <c r="H1033" s="3" t="s">
        <v>58</v>
      </c>
      <c r="I1033" s="3" t="s">
        <v>58</v>
      </c>
      <c r="J1033" s="3" t="s">
        <v>60</v>
      </c>
      <c r="L1033" s="2" t="s">
        <v>13454</v>
      </c>
      <c r="M1033" s="3" t="s">
        <v>220</v>
      </c>
      <c r="O1033" s="3" t="s">
        <v>65</v>
      </c>
      <c r="P1033" s="3" t="s">
        <v>1282</v>
      </c>
      <c r="R1033" s="3" t="s">
        <v>67</v>
      </c>
      <c r="S1033" s="4">
        <v>4</v>
      </c>
      <c r="T1033" s="4">
        <v>4</v>
      </c>
      <c r="U1033" s="5" t="s">
        <v>13455</v>
      </c>
      <c r="V1033" s="5" t="s">
        <v>13455</v>
      </c>
      <c r="W1033" s="5" t="s">
        <v>13456</v>
      </c>
      <c r="X1033" s="5" t="s">
        <v>13456</v>
      </c>
      <c r="Y1033" s="4">
        <v>292</v>
      </c>
      <c r="Z1033" s="4">
        <v>260</v>
      </c>
      <c r="AA1033" s="4">
        <v>288</v>
      </c>
      <c r="AB1033" s="4">
        <v>3</v>
      </c>
      <c r="AC1033" s="4">
        <v>3</v>
      </c>
      <c r="AD1033" s="4">
        <v>14</v>
      </c>
      <c r="AE1033" s="4">
        <v>14</v>
      </c>
      <c r="AF1033" s="4">
        <v>6</v>
      </c>
      <c r="AG1033" s="4">
        <v>6</v>
      </c>
      <c r="AH1033" s="4">
        <v>2</v>
      </c>
      <c r="AI1033" s="4">
        <v>2</v>
      </c>
      <c r="AJ1033" s="4">
        <v>10</v>
      </c>
      <c r="AK1033" s="4">
        <v>10</v>
      </c>
      <c r="AL1033" s="4">
        <v>2</v>
      </c>
      <c r="AM1033" s="4">
        <v>2</v>
      </c>
      <c r="AN1033" s="4">
        <v>0</v>
      </c>
      <c r="AO1033" s="4">
        <v>0</v>
      </c>
      <c r="AP1033" s="3" t="s">
        <v>58</v>
      </c>
      <c r="AQ1033" s="3" t="s">
        <v>87</v>
      </c>
      <c r="AR1033" s="6" t="str">
        <f>HYPERLINK("http://catalog.hathitrust.org/Record/004007932","HathiTrust Record")</f>
        <v>HathiTrust Record</v>
      </c>
      <c r="AS1033" s="6" t="str">
        <f>HYPERLINK("https://creighton-primo.hosted.exlibrisgroup.com/primo-explore/search?tab=default_tab&amp;search_scope=EVERYTHING&amp;vid=01CRU&amp;lang=en_US&amp;offset=0&amp;query=any,contains,991003264349702656","Catalog Record")</f>
        <v>Catalog Record</v>
      </c>
      <c r="AT1033" s="6" t="str">
        <f>HYPERLINK("http://www.worldcat.org/oclc/39465187","WorldCat Record")</f>
        <v>WorldCat Record</v>
      </c>
      <c r="AU1033" s="3" t="s">
        <v>13457</v>
      </c>
      <c r="AV1033" s="3" t="s">
        <v>13458</v>
      </c>
      <c r="AW1033" s="3" t="s">
        <v>13459</v>
      </c>
      <c r="AX1033" s="3" t="s">
        <v>13459</v>
      </c>
      <c r="AY1033" s="3" t="s">
        <v>13460</v>
      </c>
      <c r="AZ1033" s="3" t="s">
        <v>74</v>
      </c>
      <c r="BB1033" s="3" t="s">
        <v>13461</v>
      </c>
      <c r="BC1033" s="3" t="s">
        <v>13462</v>
      </c>
      <c r="BD1033" s="3" t="s">
        <v>13463</v>
      </c>
    </row>
    <row r="1034" spans="1:56" ht="45.75" customHeight="1" x14ac:dyDescent="0.25">
      <c r="A1034" s="7" t="s">
        <v>58</v>
      </c>
      <c r="B1034" s="2" t="s">
        <v>13464</v>
      </c>
      <c r="C1034" s="2" t="s">
        <v>13465</v>
      </c>
      <c r="D1034" s="2" t="s">
        <v>13466</v>
      </c>
      <c r="F1034" s="3" t="s">
        <v>58</v>
      </c>
      <c r="G1034" s="3" t="s">
        <v>59</v>
      </c>
      <c r="H1034" s="3" t="s">
        <v>58</v>
      </c>
      <c r="I1034" s="3" t="s">
        <v>58</v>
      </c>
      <c r="J1034" s="3" t="s">
        <v>60</v>
      </c>
      <c r="K1034" s="2" t="s">
        <v>13467</v>
      </c>
      <c r="L1034" s="2" t="s">
        <v>13468</v>
      </c>
      <c r="M1034" s="3" t="s">
        <v>528</v>
      </c>
      <c r="O1034" s="3" t="s">
        <v>65</v>
      </c>
      <c r="P1034" s="3" t="s">
        <v>84</v>
      </c>
      <c r="R1034" s="3" t="s">
        <v>67</v>
      </c>
      <c r="S1034" s="4">
        <v>2</v>
      </c>
      <c r="T1034" s="4">
        <v>2</v>
      </c>
      <c r="U1034" s="5" t="s">
        <v>13469</v>
      </c>
      <c r="V1034" s="5" t="s">
        <v>13469</v>
      </c>
      <c r="W1034" s="5" t="s">
        <v>3308</v>
      </c>
      <c r="X1034" s="5" t="s">
        <v>3308</v>
      </c>
      <c r="Y1034" s="4">
        <v>433</v>
      </c>
      <c r="Z1034" s="4">
        <v>412</v>
      </c>
      <c r="AA1034" s="4">
        <v>417</v>
      </c>
      <c r="AB1034" s="4">
        <v>5</v>
      </c>
      <c r="AC1034" s="4">
        <v>5</v>
      </c>
      <c r="AD1034" s="4">
        <v>9</v>
      </c>
      <c r="AE1034" s="4">
        <v>9</v>
      </c>
      <c r="AF1034" s="4">
        <v>0</v>
      </c>
      <c r="AG1034" s="4">
        <v>0</v>
      </c>
      <c r="AH1034" s="4">
        <v>4</v>
      </c>
      <c r="AI1034" s="4">
        <v>4</v>
      </c>
      <c r="AJ1034" s="4">
        <v>4</v>
      </c>
      <c r="AK1034" s="4">
        <v>4</v>
      </c>
      <c r="AL1034" s="4">
        <v>2</v>
      </c>
      <c r="AM1034" s="4">
        <v>2</v>
      </c>
      <c r="AN1034" s="4">
        <v>1</v>
      </c>
      <c r="AO1034" s="4">
        <v>1</v>
      </c>
      <c r="AP1034" s="3" t="s">
        <v>58</v>
      </c>
      <c r="AQ1034" s="3" t="s">
        <v>58</v>
      </c>
      <c r="AS1034" s="6" t="str">
        <f>HYPERLINK("https://creighton-primo.hosted.exlibrisgroup.com/primo-explore/search?tab=default_tab&amp;search_scope=EVERYTHING&amp;vid=01CRU&amp;lang=en_US&amp;offset=0&amp;query=any,contains,991001739239702656","Catalog Record")</f>
        <v>Catalog Record</v>
      </c>
      <c r="AT1034" s="6" t="str">
        <f>HYPERLINK("http://www.worldcat.org/oclc/21976511","WorldCat Record")</f>
        <v>WorldCat Record</v>
      </c>
      <c r="AU1034" s="3" t="s">
        <v>13470</v>
      </c>
      <c r="AV1034" s="3" t="s">
        <v>13471</v>
      </c>
      <c r="AW1034" s="3" t="s">
        <v>13472</v>
      </c>
      <c r="AX1034" s="3" t="s">
        <v>13472</v>
      </c>
      <c r="AY1034" s="3" t="s">
        <v>13473</v>
      </c>
      <c r="AZ1034" s="3" t="s">
        <v>74</v>
      </c>
      <c r="BB1034" s="3" t="s">
        <v>13474</v>
      </c>
      <c r="BC1034" s="3" t="s">
        <v>13475</v>
      </c>
      <c r="BD1034" s="3" t="s">
        <v>13476</v>
      </c>
    </row>
    <row r="1035" spans="1:56" ht="45.75" customHeight="1" x14ac:dyDescent="0.25">
      <c r="A1035" s="7" t="s">
        <v>58</v>
      </c>
      <c r="B1035" s="2" t="s">
        <v>13477</v>
      </c>
      <c r="C1035" s="2" t="s">
        <v>13478</v>
      </c>
      <c r="D1035" s="2" t="s">
        <v>13479</v>
      </c>
      <c r="F1035" s="3" t="s">
        <v>58</v>
      </c>
      <c r="G1035" s="3" t="s">
        <v>59</v>
      </c>
      <c r="H1035" s="3" t="s">
        <v>58</v>
      </c>
      <c r="I1035" s="3" t="s">
        <v>58</v>
      </c>
      <c r="J1035" s="3" t="s">
        <v>60</v>
      </c>
      <c r="K1035" s="2" t="s">
        <v>13480</v>
      </c>
      <c r="L1035" s="2" t="s">
        <v>6037</v>
      </c>
      <c r="M1035" s="3" t="s">
        <v>1500</v>
      </c>
      <c r="O1035" s="3" t="s">
        <v>65</v>
      </c>
      <c r="P1035" s="3" t="s">
        <v>84</v>
      </c>
      <c r="R1035" s="3" t="s">
        <v>67</v>
      </c>
      <c r="S1035" s="4">
        <v>8</v>
      </c>
      <c r="T1035" s="4">
        <v>8</v>
      </c>
      <c r="U1035" s="5" t="s">
        <v>6413</v>
      </c>
      <c r="V1035" s="5" t="s">
        <v>6413</v>
      </c>
      <c r="W1035" s="5" t="s">
        <v>13481</v>
      </c>
      <c r="X1035" s="5" t="s">
        <v>13481</v>
      </c>
      <c r="Y1035" s="4">
        <v>382</v>
      </c>
      <c r="Z1035" s="4">
        <v>281</v>
      </c>
      <c r="AA1035" s="4">
        <v>281</v>
      </c>
      <c r="AB1035" s="4">
        <v>3</v>
      </c>
      <c r="AC1035" s="4">
        <v>3</v>
      </c>
      <c r="AD1035" s="4">
        <v>11</v>
      </c>
      <c r="AE1035" s="4">
        <v>11</v>
      </c>
      <c r="AF1035" s="4">
        <v>3</v>
      </c>
      <c r="AG1035" s="4">
        <v>3</v>
      </c>
      <c r="AH1035" s="4">
        <v>2</v>
      </c>
      <c r="AI1035" s="4">
        <v>2</v>
      </c>
      <c r="AJ1035" s="4">
        <v>1</v>
      </c>
      <c r="AK1035" s="4">
        <v>1</v>
      </c>
      <c r="AL1035" s="4">
        <v>2</v>
      </c>
      <c r="AM1035" s="4">
        <v>2</v>
      </c>
      <c r="AN1035" s="4">
        <v>4</v>
      </c>
      <c r="AO1035" s="4">
        <v>4</v>
      </c>
      <c r="AP1035" s="3" t="s">
        <v>58</v>
      </c>
      <c r="AQ1035" s="3" t="s">
        <v>58</v>
      </c>
      <c r="AS1035" s="6" t="str">
        <f>HYPERLINK("https://creighton-primo.hosted.exlibrisgroup.com/primo-explore/search?tab=default_tab&amp;search_scope=EVERYTHING&amp;vid=01CRU&amp;lang=en_US&amp;offset=0&amp;query=any,contains,991004765769702656","Catalog Record")</f>
        <v>Catalog Record</v>
      </c>
      <c r="AT1035" s="6" t="str">
        <f>HYPERLINK("http://www.worldcat.org/oclc/5029149","WorldCat Record")</f>
        <v>WorldCat Record</v>
      </c>
      <c r="AU1035" s="3" t="s">
        <v>13482</v>
      </c>
      <c r="AV1035" s="3" t="s">
        <v>13483</v>
      </c>
      <c r="AW1035" s="3" t="s">
        <v>13484</v>
      </c>
      <c r="AX1035" s="3" t="s">
        <v>13484</v>
      </c>
      <c r="AY1035" s="3" t="s">
        <v>13485</v>
      </c>
      <c r="AZ1035" s="3" t="s">
        <v>74</v>
      </c>
      <c r="BB1035" s="3" t="s">
        <v>13486</v>
      </c>
      <c r="BC1035" s="3" t="s">
        <v>13487</v>
      </c>
      <c r="BD1035" s="3" t="s">
        <v>13488</v>
      </c>
    </row>
    <row r="1036" spans="1:56" ht="45.75" customHeight="1" x14ac:dyDescent="0.25">
      <c r="A1036" s="7" t="s">
        <v>58</v>
      </c>
      <c r="B1036" s="2" t="s">
        <v>13489</v>
      </c>
      <c r="C1036" s="2" t="s">
        <v>13490</v>
      </c>
      <c r="D1036" s="2" t="s">
        <v>13491</v>
      </c>
      <c r="F1036" s="3" t="s">
        <v>58</v>
      </c>
      <c r="G1036" s="3" t="s">
        <v>59</v>
      </c>
      <c r="H1036" s="3" t="s">
        <v>87</v>
      </c>
      <c r="I1036" s="3" t="s">
        <v>58</v>
      </c>
      <c r="J1036" s="3" t="s">
        <v>60</v>
      </c>
      <c r="L1036" s="2" t="s">
        <v>13492</v>
      </c>
      <c r="M1036" s="3" t="s">
        <v>1419</v>
      </c>
      <c r="O1036" s="3" t="s">
        <v>65</v>
      </c>
      <c r="P1036" s="3" t="s">
        <v>132</v>
      </c>
      <c r="Q1036" s="2" t="s">
        <v>13493</v>
      </c>
      <c r="R1036" s="3" t="s">
        <v>67</v>
      </c>
      <c r="S1036" s="4">
        <v>6</v>
      </c>
      <c r="T1036" s="4">
        <v>8</v>
      </c>
      <c r="U1036" s="5" t="s">
        <v>11461</v>
      </c>
      <c r="V1036" s="5" t="s">
        <v>3560</v>
      </c>
      <c r="W1036" s="5" t="s">
        <v>4070</v>
      </c>
      <c r="X1036" s="5" t="s">
        <v>13494</v>
      </c>
      <c r="Y1036" s="4">
        <v>481</v>
      </c>
      <c r="Z1036" s="4">
        <v>383</v>
      </c>
      <c r="AA1036" s="4">
        <v>385</v>
      </c>
      <c r="AB1036" s="4">
        <v>3</v>
      </c>
      <c r="AC1036" s="4">
        <v>3</v>
      </c>
      <c r="AD1036" s="4">
        <v>18</v>
      </c>
      <c r="AE1036" s="4">
        <v>18</v>
      </c>
      <c r="AF1036" s="4">
        <v>3</v>
      </c>
      <c r="AG1036" s="4">
        <v>3</v>
      </c>
      <c r="AH1036" s="4">
        <v>1</v>
      </c>
      <c r="AI1036" s="4">
        <v>1</v>
      </c>
      <c r="AJ1036" s="4">
        <v>7</v>
      </c>
      <c r="AK1036" s="4">
        <v>7</v>
      </c>
      <c r="AL1036" s="4">
        <v>1</v>
      </c>
      <c r="AM1036" s="4">
        <v>1</v>
      </c>
      <c r="AN1036" s="4">
        <v>8</v>
      </c>
      <c r="AO1036" s="4">
        <v>8</v>
      </c>
      <c r="AP1036" s="3" t="s">
        <v>58</v>
      </c>
      <c r="AQ1036" s="3" t="s">
        <v>87</v>
      </c>
      <c r="AR1036" s="6" t="str">
        <f>HYPERLINK("http://catalog.hathitrust.org/Record/000136471","HathiTrust Record")</f>
        <v>HathiTrust Record</v>
      </c>
      <c r="AS1036" s="6" t="str">
        <f>HYPERLINK("https://creighton-primo.hosted.exlibrisgroup.com/primo-explore/search?tab=default_tab&amp;search_scope=EVERYTHING&amp;vid=01CRU&amp;lang=en_US&amp;offset=0&amp;query=any,contains,991001788239702656","Catalog Record")</f>
        <v>Catalog Record</v>
      </c>
      <c r="AT1036" s="6" t="str">
        <f>HYPERLINK("http://www.worldcat.org/oclc/3869115","WorldCat Record")</f>
        <v>WorldCat Record</v>
      </c>
      <c r="AU1036" s="3" t="s">
        <v>13495</v>
      </c>
      <c r="AV1036" s="3" t="s">
        <v>13496</v>
      </c>
      <c r="AW1036" s="3" t="s">
        <v>13497</v>
      </c>
      <c r="AX1036" s="3" t="s">
        <v>13497</v>
      </c>
      <c r="AY1036" s="3" t="s">
        <v>13498</v>
      </c>
      <c r="AZ1036" s="3" t="s">
        <v>74</v>
      </c>
      <c r="BB1036" s="3" t="s">
        <v>13499</v>
      </c>
      <c r="BC1036" s="3" t="s">
        <v>13500</v>
      </c>
      <c r="BD1036" s="3" t="s">
        <v>13501</v>
      </c>
    </row>
    <row r="1037" spans="1:56" ht="45.75" customHeight="1" x14ac:dyDescent="0.25">
      <c r="A1037" s="7" t="s">
        <v>58</v>
      </c>
      <c r="B1037" s="2" t="s">
        <v>13502</v>
      </c>
      <c r="C1037" s="2" t="s">
        <v>13503</v>
      </c>
      <c r="D1037" s="2" t="s">
        <v>13504</v>
      </c>
      <c r="F1037" s="3" t="s">
        <v>58</v>
      </c>
      <c r="G1037" s="3" t="s">
        <v>59</v>
      </c>
      <c r="H1037" s="3" t="s">
        <v>58</v>
      </c>
      <c r="I1037" s="3" t="s">
        <v>58</v>
      </c>
      <c r="J1037" s="3" t="s">
        <v>60</v>
      </c>
      <c r="K1037" s="2" t="s">
        <v>13505</v>
      </c>
      <c r="L1037" s="2" t="s">
        <v>13506</v>
      </c>
      <c r="M1037" s="3" t="s">
        <v>100</v>
      </c>
      <c r="N1037" s="2" t="s">
        <v>1624</v>
      </c>
      <c r="O1037" s="3" t="s">
        <v>65</v>
      </c>
      <c r="P1037" s="3" t="s">
        <v>3930</v>
      </c>
      <c r="R1037" s="3" t="s">
        <v>67</v>
      </c>
      <c r="S1037" s="4">
        <v>13</v>
      </c>
      <c r="T1037" s="4">
        <v>13</v>
      </c>
      <c r="U1037" s="5" t="s">
        <v>6228</v>
      </c>
      <c r="V1037" s="5" t="s">
        <v>6228</v>
      </c>
      <c r="W1037" s="5" t="s">
        <v>1626</v>
      </c>
      <c r="X1037" s="5" t="s">
        <v>1626</v>
      </c>
      <c r="Y1037" s="4">
        <v>213</v>
      </c>
      <c r="Z1037" s="4">
        <v>200</v>
      </c>
      <c r="AA1037" s="4">
        <v>387</v>
      </c>
      <c r="AB1037" s="4">
        <v>3</v>
      </c>
      <c r="AC1037" s="4">
        <v>7</v>
      </c>
      <c r="AD1037" s="4">
        <v>5</v>
      </c>
      <c r="AE1037" s="4">
        <v>13</v>
      </c>
      <c r="AF1037" s="4">
        <v>3</v>
      </c>
      <c r="AG1037" s="4">
        <v>6</v>
      </c>
      <c r="AH1037" s="4">
        <v>0</v>
      </c>
      <c r="AI1037" s="4">
        <v>0</v>
      </c>
      <c r="AJ1037" s="4">
        <v>0</v>
      </c>
      <c r="AK1037" s="4">
        <v>2</v>
      </c>
      <c r="AL1037" s="4">
        <v>2</v>
      </c>
      <c r="AM1037" s="4">
        <v>6</v>
      </c>
      <c r="AN1037" s="4">
        <v>0</v>
      </c>
      <c r="AO1037" s="4">
        <v>0</v>
      </c>
      <c r="AP1037" s="3" t="s">
        <v>58</v>
      </c>
      <c r="AQ1037" s="3" t="s">
        <v>58</v>
      </c>
      <c r="AS1037" s="6" t="str">
        <f>HYPERLINK("https://creighton-primo.hosted.exlibrisgroup.com/primo-explore/search?tab=default_tab&amp;search_scope=EVERYTHING&amp;vid=01CRU&amp;lang=en_US&amp;offset=0&amp;query=any,contains,991003750969702656","Catalog Record")</f>
        <v>Catalog Record</v>
      </c>
      <c r="AT1037" s="6" t="str">
        <f>HYPERLINK("http://www.worldcat.org/oclc/1427011","WorldCat Record")</f>
        <v>WorldCat Record</v>
      </c>
      <c r="AU1037" s="3" t="s">
        <v>13507</v>
      </c>
      <c r="AV1037" s="3" t="s">
        <v>13508</v>
      </c>
      <c r="AW1037" s="3" t="s">
        <v>13509</v>
      </c>
      <c r="AX1037" s="3" t="s">
        <v>13509</v>
      </c>
      <c r="AY1037" s="3" t="s">
        <v>13510</v>
      </c>
      <c r="AZ1037" s="3" t="s">
        <v>74</v>
      </c>
      <c r="BB1037" s="3" t="s">
        <v>13511</v>
      </c>
      <c r="BC1037" s="3" t="s">
        <v>13512</v>
      </c>
      <c r="BD1037" s="3" t="s">
        <v>13513</v>
      </c>
    </row>
    <row r="1038" spans="1:56" ht="45.75" customHeight="1" x14ac:dyDescent="0.25">
      <c r="A1038" s="7" t="s">
        <v>58</v>
      </c>
      <c r="B1038" s="2" t="s">
        <v>13514</v>
      </c>
      <c r="C1038" s="2" t="s">
        <v>13515</v>
      </c>
      <c r="D1038" s="2" t="s">
        <v>13516</v>
      </c>
      <c r="F1038" s="3" t="s">
        <v>58</v>
      </c>
      <c r="G1038" s="3" t="s">
        <v>59</v>
      </c>
      <c r="H1038" s="3" t="s">
        <v>87</v>
      </c>
      <c r="I1038" s="3" t="s">
        <v>58</v>
      </c>
      <c r="J1038" s="3" t="s">
        <v>60</v>
      </c>
      <c r="K1038" s="2" t="s">
        <v>13517</v>
      </c>
      <c r="L1038" s="2" t="s">
        <v>13518</v>
      </c>
      <c r="M1038" s="3" t="s">
        <v>867</v>
      </c>
      <c r="O1038" s="3" t="s">
        <v>65</v>
      </c>
      <c r="P1038" s="3" t="s">
        <v>84</v>
      </c>
      <c r="R1038" s="3" t="s">
        <v>67</v>
      </c>
      <c r="S1038" s="4">
        <v>24</v>
      </c>
      <c r="T1038" s="4">
        <v>26</v>
      </c>
      <c r="U1038" s="5" t="s">
        <v>7262</v>
      </c>
      <c r="V1038" s="5" t="s">
        <v>7262</v>
      </c>
      <c r="W1038" s="5" t="s">
        <v>12995</v>
      </c>
      <c r="X1038" s="5" t="s">
        <v>4460</v>
      </c>
      <c r="Y1038" s="4">
        <v>692</v>
      </c>
      <c r="Z1038" s="4">
        <v>631</v>
      </c>
      <c r="AA1038" s="4">
        <v>645</v>
      </c>
      <c r="AB1038" s="4">
        <v>4</v>
      </c>
      <c r="AC1038" s="4">
        <v>4</v>
      </c>
      <c r="AD1038" s="4">
        <v>24</v>
      </c>
      <c r="AE1038" s="4">
        <v>25</v>
      </c>
      <c r="AF1038" s="4">
        <v>10</v>
      </c>
      <c r="AG1038" s="4">
        <v>10</v>
      </c>
      <c r="AH1038" s="4">
        <v>5</v>
      </c>
      <c r="AI1038" s="4">
        <v>6</v>
      </c>
      <c r="AJ1038" s="4">
        <v>9</v>
      </c>
      <c r="AK1038" s="4">
        <v>9</v>
      </c>
      <c r="AL1038" s="4">
        <v>2</v>
      </c>
      <c r="AM1038" s="4">
        <v>2</v>
      </c>
      <c r="AN1038" s="4">
        <v>5</v>
      </c>
      <c r="AO1038" s="4">
        <v>5</v>
      </c>
      <c r="AP1038" s="3" t="s">
        <v>58</v>
      </c>
      <c r="AQ1038" s="3" t="s">
        <v>87</v>
      </c>
      <c r="AR1038" s="6" t="str">
        <f>HYPERLINK("http://catalog.hathitrust.org/Record/002565315","HathiTrust Record")</f>
        <v>HathiTrust Record</v>
      </c>
      <c r="AS1038" s="6" t="str">
        <f>HYPERLINK("https://creighton-primo.hosted.exlibrisgroup.com/primo-explore/search?tab=default_tab&amp;search_scope=EVERYTHING&amp;vid=01CRU&amp;lang=en_US&amp;offset=0&amp;query=any,contains,991001652239702656","Catalog Record")</f>
        <v>Catalog Record</v>
      </c>
      <c r="AT1038" s="6" t="str">
        <f>HYPERLINK("http://www.worldcat.org/oclc/25509646","WorldCat Record")</f>
        <v>WorldCat Record</v>
      </c>
      <c r="AU1038" s="3" t="s">
        <v>13519</v>
      </c>
      <c r="AV1038" s="3" t="s">
        <v>13520</v>
      </c>
      <c r="AW1038" s="3" t="s">
        <v>13521</v>
      </c>
      <c r="AX1038" s="3" t="s">
        <v>13521</v>
      </c>
      <c r="AY1038" s="3" t="s">
        <v>13522</v>
      </c>
      <c r="AZ1038" s="3" t="s">
        <v>74</v>
      </c>
      <c r="BB1038" s="3" t="s">
        <v>13523</v>
      </c>
      <c r="BC1038" s="3" t="s">
        <v>13524</v>
      </c>
      <c r="BD1038" s="3" t="s">
        <v>13525</v>
      </c>
    </row>
    <row r="1039" spans="1:56" ht="45.75" customHeight="1" x14ac:dyDescent="0.25">
      <c r="A1039" s="7" t="s">
        <v>58</v>
      </c>
      <c r="B1039" s="2" t="s">
        <v>13526</v>
      </c>
      <c r="C1039" s="2" t="s">
        <v>13527</v>
      </c>
      <c r="D1039" s="2" t="s">
        <v>13528</v>
      </c>
      <c r="F1039" s="3" t="s">
        <v>58</v>
      </c>
      <c r="G1039" s="3" t="s">
        <v>59</v>
      </c>
      <c r="H1039" s="3" t="s">
        <v>58</v>
      </c>
      <c r="I1039" s="3" t="s">
        <v>58</v>
      </c>
      <c r="J1039" s="3" t="s">
        <v>60</v>
      </c>
      <c r="K1039" s="2" t="s">
        <v>13529</v>
      </c>
      <c r="L1039" s="2" t="s">
        <v>13530</v>
      </c>
      <c r="M1039" s="3" t="s">
        <v>290</v>
      </c>
      <c r="O1039" s="3" t="s">
        <v>65</v>
      </c>
      <c r="P1039" s="3" t="s">
        <v>148</v>
      </c>
      <c r="R1039" s="3" t="s">
        <v>67</v>
      </c>
      <c r="S1039" s="4">
        <v>2</v>
      </c>
      <c r="T1039" s="4">
        <v>2</v>
      </c>
      <c r="U1039" s="5" t="s">
        <v>13531</v>
      </c>
      <c r="V1039" s="5" t="s">
        <v>13531</v>
      </c>
      <c r="W1039" s="5" t="s">
        <v>13532</v>
      </c>
      <c r="X1039" s="5" t="s">
        <v>13532</v>
      </c>
      <c r="Y1039" s="4">
        <v>1056</v>
      </c>
      <c r="Z1039" s="4">
        <v>993</v>
      </c>
      <c r="AA1039" s="4">
        <v>1024</v>
      </c>
      <c r="AB1039" s="4">
        <v>5</v>
      </c>
      <c r="AC1039" s="4">
        <v>5</v>
      </c>
      <c r="AD1039" s="4">
        <v>41</v>
      </c>
      <c r="AE1039" s="4">
        <v>42</v>
      </c>
      <c r="AF1039" s="4">
        <v>15</v>
      </c>
      <c r="AG1039" s="4">
        <v>15</v>
      </c>
      <c r="AH1039" s="4">
        <v>8</v>
      </c>
      <c r="AI1039" s="4">
        <v>8</v>
      </c>
      <c r="AJ1039" s="4">
        <v>17</v>
      </c>
      <c r="AK1039" s="4">
        <v>18</v>
      </c>
      <c r="AL1039" s="4">
        <v>4</v>
      </c>
      <c r="AM1039" s="4">
        <v>4</v>
      </c>
      <c r="AN1039" s="4">
        <v>6</v>
      </c>
      <c r="AO1039" s="4">
        <v>6</v>
      </c>
      <c r="AP1039" s="3" t="s">
        <v>58</v>
      </c>
      <c r="AQ1039" s="3" t="s">
        <v>87</v>
      </c>
      <c r="AR1039" s="6" t="str">
        <f>HYPERLINK("http://catalog.hathitrust.org/Record/004178800","HathiTrust Record")</f>
        <v>HathiTrust Record</v>
      </c>
      <c r="AS1039" s="6" t="str">
        <f>HYPERLINK("https://creighton-primo.hosted.exlibrisgroup.com/primo-explore/search?tab=default_tab&amp;search_scope=EVERYTHING&amp;vid=01CRU&amp;lang=en_US&amp;offset=0&amp;query=any,contains,991003541739702656","Catalog Record")</f>
        <v>Catalog Record</v>
      </c>
      <c r="AT1039" s="6" t="str">
        <f>HYPERLINK("http://www.worldcat.org/oclc/45618242","WorldCat Record")</f>
        <v>WorldCat Record</v>
      </c>
      <c r="AU1039" s="3" t="s">
        <v>13533</v>
      </c>
      <c r="AV1039" s="3" t="s">
        <v>13534</v>
      </c>
      <c r="AW1039" s="3" t="s">
        <v>13535</v>
      </c>
      <c r="AX1039" s="3" t="s">
        <v>13535</v>
      </c>
      <c r="AY1039" s="3" t="s">
        <v>13536</v>
      </c>
      <c r="AZ1039" s="3" t="s">
        <v>74</v>
      </c>
      <c r="BB1039" s="3" t="s">
        <v>13537</v>
      </c>
      <c r="BC1039" s="3" t="s">
        <v>13538</v>
      </c>
      <c r="BD1039" s="3" t="s">
        <v>13539</v>
      </c>
    </row>
    <row r="1040" spans="1:56" ht="45.75" customHeight="1" x14ac:dyDescent="0.25">
      <c r="A1040" s="7" t="s">
        <v>58</v>
      </c>
      <c r="B1040" s="2" t="s">
        <v>13540</v>
      </c>
      <c r="C1040" s="2" t="s">
        <v>13541</v>
      </c>
      <c r="D1040" s="2" t="s">
        <v>13542</v>
      </c>
      <c r="F1040" s="3" t="s">
        <v>58</v>
      </c>
      <c r="G1040" s="3" t="s">
        <v>59</v>
      </c>
      <c r="H1040" s="3" t="s">
        <v>87</v>
      </c>
      <c r="I1040" s="3" t="s">
        <v>58</v>
      </c>
      <c r="J1040" s="3" t="s">
        <v>60</v>
      </c>
      <c r="L1040" s="2" t="s">
        <v>13543</v>
      </c>
      <c r="M1040" s="3" t="s">
        <v>1254</v>
      </c>
      <c r="O1040" s="3" t="s">
        <v>65</v>
      </c>
      <c r="P1040" s="3" t="s">
        <v>132</v>
      </c>
      <c r="Q1040" s="2" t="s">
        <v>13544</v>
      </c>
      <c r="R1040" s="3" t="s">
        <v>67</v>
      </c>
      <c r="S1040" s="4">
        <v>36</v>
      </c>
      <c r="T1040" s="4">
        <v>38</v>
      </c>
      <c r="U1040" s="5" t="s">
        <v>1255</v>
      </c>
      <c r="V1040" s="5" t="s">
        <v>1255</v>
      </c>
      <c r="W1040" s="5" t="s">
        <v>9575</v>
      </c>
      <c r="X1040" s="5" t="s">
        <v>13494</v>
      </c>
      <c r="Y1040" s="4">
        <v>659</v>
      </c>
      <c r="Z1040" s="4">
        <v>610</v>
      </c>
      <c r="AA1040" s="4">
        <v>616</v>
      </c>
      <c r="AB1040" s="4">
        <v>6</v>
      </c>
      <c r="AC1040" s="4">
        <v>6</v>
      </c>
      <c r="AD1040" s="4">
        <v>40</v>
      </c>
      <c r="AE1040" s="4">
        <v>40</v>
      </c>
      <c r="AF1040" s="4">
        <v>11</v>
      </c>
      <c r="AG1040" s="4">
        <v>11</v>
      </c>
      <c r="AH1040" s="4">
        <v>6</v>
      </c>
      <c r="AI1040" s="4">
        <v>6</v>
      </c>
      <c r="AJ1040" s="4">
        <v>12</v>
      </c>
      <c r="AK1040" s="4">
        <v>12</v>
      </c>
      <c r="AL1040" s="4">
        <v>4</v>
      </c>
      <c r="AM1040" s="4">
        <v>4</v>
      </c>
      <c r="AN1040" s="4">
        <v>14</v>
      </c>
      <c r="AO1040" s="4">
        <v>14</v>
      </c>
      <c r="AP1040" s="3" t="s">
        <v>58</v>
      </c>
      <c r="AQ1040" s="3" t="s">
        <v>58</v>
      </c>
      <c r="AS1040" s="6" t="str">
        <f>HYPERLINK("https://creighton-primo.hosted.exlibrisgroup.com/primo-explore/search?tab=default_tab&amp;search_scope=EVERYTHING&amp;vid=01CRU&amp;lang=en_US&amp;offset=0&amp;query=any,contains,991001626889702656","Catalog Record")</f>
        <v>Catalog Record</v>
      </c>
      <c r="AT1040" s="6" t="str">
        <f>HYPERLINK("http://www.worldcat.org/oclc/10228822","WorldCat Record")</f>
        <v>WorldCat Record</v>
      </c>
      <c r="AU1040" s="3" t="s">
        <v>13545</v>
      </c>
      <c r="AV1040" s="3" t="s">
        <v>13546</v>
      </c>
      <c r="AW1040" s="3" t="s">
        <v>13547</v>
      </c>
      <c r="AX1040" s="3" t="s">
        <v>13547</v>
      </c>
      <c r="AY1040" s="3" t="s">
        <v>13548</v>
      </c>
      <c r="AZ1040" s="3" t="s">
        <v>74</v>
      </c>
      <c r="BB1040" s="3" t="s">
        <v>13549</v>
      </c>
      <c r="BC1040" s="3" t="s">
        <v>13550</v>
      </c>
      <c r="BD1040" s="3" t="s">
        <v>13551</v>
      </c>
    </row>
    <row r="1041" spans="1:56" ht="45.75" customHeight="1" x14ac:dyDescent="0.25">
      <c r="A1041" s="7" t="s">
        <v>58</v>
      </c>
      <c r="B1041" s="2" t="s">
        <v>13552</v>
      </c>
      <c r="C1041" s="2" t="s">
        <v>13553</v>
      </c>
      <c r="D1041" s="2" t="s">
        <v>13554</v>
      </c>
      <c r="F1041" s="3" t="s">
        <v>58</v>
      </c>
      <c r="G1041" s="3" t="s">
        <v>59</v>
      </c>
      <c r="H1041" s="3" t="s">
        <v>58</v>
      </c>
      <c r="I1041" s="3" t="s">
        <v>58</v>
      </c>
      <c r="J1041" s="3" t="s">
        <v>60</v>
      </c>
      <c r="K1041" s="2" t="s">
        <v>13555</v>
      </c>
      <c r="L1041" s="2" t="s">
        <v>13556</v>
      </c>
      <c r="M1041" s="3" t="s">
        <v>419</v>
      </c>
      <c r="O1041" s="3" t="s">
        <v>65</v>
      </c>
      <c r="P1041" s="3" t="s">
        <v>772</v>
      </c>
      <c r="R1041" s="3" t="s">
        <v>67</v>
      </c>
      <c r="S1041" s="4">
        <v>3</v>
      </c>
      <c r="T1041" s="4">
        <v>3</v>
      </c>
      <c r="U1041" s="5" t="s">
        <v>6452</v>
      </c>
      <c r="V1041" s="5" t="s">
        <v>6452</v>
      </c>
      <c r="W1041" s="5" t="s">
        <v>13557</v>
      </c>
      <c r="X1041" s="5" t="s">
        <v>13557</v>
      </c>
      <c r="Y1041" s="4">
        <v>997</v>
      </c>
      <c r="Z1041" s="4">
        <v>945</v>
      </c>
      <c r="AA1041" s="4">
        <v>951</v>
      </c>
      <c r="AB1041" s="4">
        <v>5</v>
      </c>
      <c r="AC1041" s="4">
        <v>5</v>
      </c>
      <c r="AD1041" s="4">
        <v>27</v>
      </c>
      <c r="AE1041" s="4">
        <v>27</v>
      </c>
      <c r="AF1041" s="4">
        <v>10</v>
      </c>
      <c r="AG1041" s="4">
        <v>10</v>
      </c>
      <c r="AH1041" s="4">
        <v>8</v>
      </c>
      <c r="AI1041" s="4">
        <v>8</v>
      </c>
      <c r="AJ1041" s="4">
        <v>14</v>
      </c>
      <c r="AK1041" s="4">
        <v>14</v>
      </c>
      <c r="AL1041" s="4">
        <v>3</v>
      </c>
      <c r="AM1041" s="4">
        <v>3</v>
      </c>
      <c r="AN1041" s="4">
        <v>1</v>
      </c>
      <c r="AO1041" s="4">
        <v>1</v>
      </c>
      <c r="AP1041" s="3" t="s">
        <v>58</v>
      </c>
      <c r="AQ1041" s="3" t="s">
        <v>58</v>
      </c>
      <c r="AS1041" s="6" t="str">
        <f>HYPERLINK("https://creighton-primo.hosted.exlibrisgroup.com/primo-explore/search?tab=default_tab&amp;search_scope=EVERYTHING&amp;vid=01CRU&amp;lang=en_US&amp;offset=0&amp;query=any,contains,991003645519702656","Catalog Record")</f>
        <v>Catalog Record</v>
      </c>
      <c r="AT1041" s="6" t="str">
        <f>HYPERLINK("http://www.worldcat.org/oclc/43811241","WorldCat Record")</f>
        <v>WorldCat Record</v>
      </c>
      <c r="AU1041" s="3" t="s">
        <v>13558</v>
      </c>
      <c r="AV1041" s="3" t="s">
        <v>13559</v>
      </c>
      <c r="AW1041" s="3" t="s">
        <v>13560</v>
      </c>
      <c r="AX1041" s="3" t="s">
        <v>13560</v>
      </c>
      <c r="AY1041" s="3" t="s">
        <v>13561</v>
      </c>
      <c r="AZ1041" s="3" t="s">
        <v>74</v>
      </c>
      <c r="BB1041" s="3" t="s">
        <v>13562</v>
      </c>
      <c r="BC1041" s="3" t="s">
        <v>13563</v>
      </c>
      <c r="BD1041" s="3" t="s">
        <v>13564</v>
      </c>
    </row>
    <row r="1042" spans="1:56" ht="45.75" customHeight="1" x14ac:dyDescent="0.25">
      <c r="A1042" s="7" t="s">
        <v>58</v>
      </c>
      <c r="B1042" s="2" t="s">
        <v>13565</v>
      </c>
      <c r="C1042" s="2" t="s">
        <v>13566</v>
      </c>
      <c r="D1042" s="2" t="s">
        <v>13567</v>
      </c>
      <c r="F1042" s="3" t="s">
        <v>58</v>
      </c>
      <c r="G1042" s="3" t="s">
        <v>59</v>
      </c>
      <c r="H1042" s="3" t="s">
        <v>58</v>
      </c>
      <c r="I1042" s="3" t="s">
        <v>58</v>
      </c>
      <c r="J1042" s="3" t="s">
        <v>60</v>
      </c>
      <c r="L1042" s="2" t="s">
        <v>13568</v>
      </c>
      <c r="M1042" s="3" t="s">
        <v>162</v>
      </c>
      <c r="O1042" s="3" t="s">
        <v>65</v>
      </c>
      <c r="P1042" s="3" t="s">
        <v>175</v>
      </c>
      <c r="Q1042" s="2" t="s">
        <v>13569</v>
      </c>
      <c r="R1042" s="3" t="s">
        <v>67</v>
      </c>
      <c r="S1042" s="4">
        <v>1</v>
      </c>
      <c r="T1042" s="4">
        <v>1</v>
      </c>
      <c r="U1042" s="5" t="s">
        <v>250</v>
      </c>
      <c r="V1042" s="5" t="s">
        <v>250</v>
      </c>
      <c r="W1042" s="5" t="s">
        <v>250</v>
      </c>
      <c r="X1042" s="5" t="s">
        <v>250</v>
      </c>
      <c r="Y1042" s="4">
        <v>129</v>
      </c>
      <c r="Z1042" s="4">
        <v>37</v>
      </c>
      <c r="AA1042" s="4">
        <v>71</v>
      </c>
      <c r="AB1042" s="4">
        <v>1</v>
      </c>
      <c r="AC1042" s="4">
        <v>1</v>
      </c>
      <c r="AD1042" s="4">
        <v>2</v>
      </c>
      <c r="AE1042" s="4">
        <v>2</v>
      </c>
      <c r="AF1042" s="4">
        <v>0</v>
      </c>
      <c r="AG1042" s="4">
        <v>0</v>
      </c>
      <c r="AH1042" s="4">
        <v>1</v>
      </c>
      <c r="AI1042" s="4">
        <v>1</v>
      </c>
      <c r="AJ1042" s="4">
        <v>2</v>
      </c>
      <c r="AK1042" s="4">
        <v>2</v>
      </c>
      <c r="AL1042" s="4">
        <v>0</v>
      </c>
      <c r="AM1042" s="4">
        <v>0</v>
      </c>
      <c r="AN1042" s="4">
        <v>0</v>
      </c>
      <c r="AO1042" s="4">
        <v>0</v>
      </c>
      <c r="AP1042" s="3" t="s">
        <v>58</v>
      </c>
      <c r="AQ1042" s="3" t="s">
        <v>58</v>
      </c>
      <c r="AS1042" s="6" t="str">
        <f>HYPERLINK("https://creighton-primo.hosted.exlibrisgroup.com/primo-explore/search?tab=default_tab&amp;search_scope=EVERYTHING&amp;vid=01CRU&amp;lang=en_US&amp;offset=0&amp;query=any,contains,991005293469702656","Catalog Record")</f>
        <v>Catalog Record</v>
      </c>
      <c r="AT1042" s="6" t="str">
        <f>HYPERLINK("http://www.worldcat.org/oclc/178197914","WorldCat Record")</f>
        <v>WorldCat Record</v>
      </c>
      <c r="AU1042" s="3" t="s">
        <v>13570</v>
      </c>
      <c r="AV1042" s="3" t="s">
        <v>13571</v>
      </c>
      <c r="AW1042" s="3" t="s">
        <v>13572</v>
      </c>
      <c r="AX1042" s="3" t="s">
        <v>13572</v>
      </c>
      <c r="AY1042" s="3" t="s">
        <v>13573</v>
      </c>
      <c r="AZ1042" s="3" t="s">
        <v>74</v>
      </c>
      <c r="BB1042" s="3" t="s">
        <v>13574</v>
      </c>
      <c r="BC1042" s="3" t="s">
        <v>13575</v>
      </c>
      <c r="BD1042" s="3" t="s">
        <v>13576</v>
      </c>
    </row>
    <row r="1043" spans="1:56" ht="45.75" customHeight="1" x14ac:dyDescent="0.25">
      <c r="A1043" s="7" t="s">
        <v>58</v>
      </c>
      <c r="B1043" s="2" t="s">
        <v>13577</v>
      </c>
      <c r="C1043" s="2" t="s">
        <v>13578</v>
      </c>
      <c r="D1043" s="2" t="s">
        <v>13579</v>
      </c>
      <c r="F1043" s="3" t="s">
        <v>58</v>
      </c>
      <c r="G1043" s="3" t="s">
        <v>59</v>
      </c>
      <c r="H1043" s="3" t="s">
        <v>58</v>
      </c>
      <c r="I1043" s="3" t="s">
        <v>58</v>
      </c>
      <c r="J1043" s="3" t="s">
        <v>60</v>
      </c>
      <c r="K1043" s="2" t="s">
        <v>13580</v>
      </c>
      <c r="L1043" s="2" t="s">
        <v>13581</v>
      </c>
      <c r="M1043" s="3" t="s">
        <v>162</v>
      </c>
      <c r="O1043" s="3" t="s">
        <v>65</v>
      </c>
      <c r="P1043" s="3" t="s">
        <v>84</v>
      </c>
      <c r="R1043" s="3" t="s">
        <v>67</v>
      </c>
      <c r="S1043" s="4">
        <v>5</v>
      </c>
      <c r="T1043" s="4">
        <v>5</v>
      </c>
      <c r="U1043" s="5" t="s">
        <v>13582</v>
      </c>
      <c r="V1043" s="5" t="s">
        <v>13582</v>
      </c>
      <c r="W1043" s="5" t="s">
        <v>13583</v>
      </c>
      <c r="X1043" s="5" t="s">
        <v>13583</v>
      </c>
      <c r="Y1043" s="4">
        <v>294</v>
      </c>
      <c r="Z1043" s="4">
        <v>283</v>
      </c>
      <c r="AA1043" s="4">
        <v>589</v>
      </c>
      <c r="AB1043" s="4">
        <v>3</v>
      </c>
      <c r="AC1043" s="4">
        <v>6</v>
      </c>
      <c r="AD1043" s="4">
        <v>6</v>
      </c>
      <c r="AE1043" s="4">
        <v>11</v>
      </c>
      <c r="AF1043" s="4">
        <v>1</v>
      </c>
      <c r="AG1043" s="4">
        <v>2</v>
      </c>
      <c r="AH1043" s="4">
        <v>1</v>
      </c>
      <c r="AI1043" s="4">
        <v>1</v>
      </c>
      <c r="AJ1043" s="4">
        <v>4</v>
      </c>
      <c r="AK1043" s="4">
        <v>5</v>
      </c>
      <c r="AL1043" s="4">
        <v>1</v>
      </c>
      <c r="AM1043" s="4">
        <v>4</v>
      </c>
      <c r="AN1043" s="4">
        <v>0</v>
      </c>
      <c r="AO1043" s="4">
        <v>0</v>
      </c>
      <c r="AP1043" s="3" t="s">
        <v>58</v>
      </c>
      <c r="AQ1043" s="3" t="s">
        <v>58</v>
      </c>
      <c r="AS1043" s="6" t="str">
        <f>HYPERLINK("https://creighton-primo.hosted.exlibrisgroup.com/primo-explore/search?tab=default_tab&amp;search_scope=EVERYTHING&amp;vid=01CRU&amp;lang=en_US&amp;offset=0&amp;query=any,contains,991005226699702656","Catalog Record")</f>
        <v>Catalog Record</v>
      </c>
      <c r="AT1043" s="6" t="str">
        <f>HYPERLINK("http://www.worldcat.org/oclc/183265120","WorldCat Record")</f>
        <v>WorldCat Record</v>
      </c>
      <c r="AU1043" s="3" t="s">
        <v>13584</v>
      </c>
      <c r="AV1043" s="3" t="s">
        <v>13585</v>
      </c>
      <c r="AW1043" s="3" t="s">
        <v>13586</v>
      </c>
      <c r="AX1043" s="3" t="s">
        <v>13586</v>
      </c>
      <c r="AY1043" s="3" t="s">
        <v>13587</v>
      </c>
      <c r="AZ1043" s="3" t="s">
        <v>74</v>
      </c>
      <c r="BB1043" s="3" t="s">
        <v>13588</v>
      </c>
      <c r="BC1043" s="3" t="s">
        <v>13589</v>
      </c>
      <c r="BD1043" s="3" t="s">
        <v>13590</v>
      </c>
    </row>
    <row r="1044" spans="1:56" ht="45.75" customHeight="1" x14ac:dyDescent="0.25">
      <c r="A1044" s="7" t="s">
        <v>58</v>
      </c>
      <c r="B1044" s="2" t="s">
        <v>13591</v>
      </c>
      <c r="C1044" s="2" t="s">
        <v>13592</v>
      </c>
      <c r="D1044" s="2" t="s">
        <v>13593</v>
      </c>
      <c r="F1044" s="3" t="s">
        <v>58</v>
      </c>
      <c r="G1044" s="3" t="s">
        <v>59</v>
      </c>
      <c r="H1044" s="3" t="s">
        <v>58</v>
      </c>
      <c r="I1044" s="3" t="s">
        <v>58</v>
      </c>
      <c r="J1044" s="3" t="s">
        <v>60</v>
      </c>
      <c r="K1044" s="2" t="s">
        <v>13594</v>
      </c>
      <c r="L1044" s="2" t="s">
        <v>13595</v>
      </c>
      <c r="M1044" s="3" t="s">
        <v>147</v>
      </c>
      <c r="O1044" s="3" t="s">
        <v>65</v>
      </c>
      <c r="P1044" s="3" t="s">
        <v>84</v>
      </c>
      <c r="R1044" s="3" t="s">
        <v>67</v>
      </c>
      <c r="S1044" s="4">
        <v>4</v>
      </c>
      <c r="T1044" s="4">
        <v>4</v>
      </c>
      <c r="U1044" s="5" t="s">
        <v>13596</v>
      </c>
      <c r="V1044" s="5" t="s">
        <v>13596</v>
      </c>
      <c r="W1044" s="5" t="s">
        <v>13597</v>
      </c>
      <c r="X1044" s="5" t="s">
        <v>13597</v>
      </c>
      <c r="Y1044" s="4">
        <v>1645</v>
      </c>
      <c r="Z1044" s="4">
        <v>1585</v>
      </c>
      <c r="AA1044" s="4">
        <v>1710</v>
      </c>
      <c r="AB1044" s="4">
        <v>11</v>
      </c>
      <c r="AC1044" s="4">
        <v>11</v>
      </c>
      <c r="AD1044" s="4">
        <v>19</v>
      </c>
      <c r="AE1044" s="4">
        <v>20</v>
      </c>
      <c r="AF1044" s="4">
        <v>9</v>
      </c>
      <c r="AG1044" s="4">
        <v>10</v>
      </c>
      <c r="AH1044" s="4">
        <v>4</v>
      </c>
      <c r="AI1044" s="4">
        <v>4</v>
      </c>
      <c r="AJ1044" s="4">
        <v>9</v>
      </c>
      <c r="AK1044" s="4">
        <v>10</v>
      </c>
      <c r="AL1044" s="4">
        <v>0</v>
      </c>
      <c r="AM1044" s="4">
        <v>0</v>
      </c>
      <c r="AN1044" s="4">
        <v>2</v>
      </c>
      <c r="AO1044" s="4">
        <v>2</v>
      </c>
      <c r="AP1044" s="3" t="s">
        <v>58</v>
      </c>
      <c r="AQ1044" s="3" t="s">
        <v>58</v>
      </c>
      <c r="AS1044" s="6" t="str">
        <f>HYPERLINK("https://creighton-primo.hosted.exlibrisgroup.com/primo-explore/search?tab=default_tab&amp;search_scope=EVERYTHING&amp;vid=01CRU&amp;lang=en_US&amp;offset=0&amp;query=any,contains,991004302529702656","Catalog Record")</f>
        <v>Catalog Record</v>
      </c>
      <c r="AT1044" s="6" t="str">
        <f>HYPERLINK("http://www.worldcat.org/oclc/53289713","WorldCat Record")</f>
        <v>WorldCat Record</v>
      </c>
      <c r="AU1044" s="3" t="s">
        <v>13598</v>
      </c>
      <c r="AV1044" s="3" t="s">
        <v>13599</v>
      </c>
      <c r="AW1044" s="3" t="s">
        <v>13600</v>
      </c>
      <c r="AX1044" s="3" t="s">
        <v>13600</v>
      </c>
      <c r="AY1044" s="3" t="s">
        <v>13601</v>
      </c>
      <c r="AZ1044" s="3" t="s">
        <v>74</v>
      </c>
      <c r="BB1044" s="3" t="s">
        <v>13602</v>
      </c>
      <c r="BC1044" s="3" t="s">
        <v>13603</v>
      </c>
      <c r="BD1044" s="3" t="s">
        <v>13604</v>
      </c>
    </row>
    <row r="1045" spans="1:56" ht="45.75" customHeight="1" x14ac:dyDescent="0.25">
      <c r="A1045" s="7" t="s">
        <v>58</v>
      </c>
      <c r="B1045" s="2" t="s">
        <v>13605</v>
      </c>
      <c r="C1045" s="2" t="s">
        <v>13606</v>
      </c>
      <c r="D1045" s="2" t="s">
        <v>13607</v>
      </c>
      <c r="F1045" s="3" t="s">
        <v>58</v>
      </c>
      <c r="G1045" s="3" t="s">
        <v>59</v>
      </c>
      <c r="H1045" s="3" t="s">
        <v>58</v>
      </c>
      <c r="I1045" s="3" t="s">
        <v>58</v>
      </c>
      <c r="J1045" s="3" t="s">
        <v>60</v>
      </c>
      <c r="K1045" s="2" t="s">
        <v>13608</v>
      </c>
      <c r="L1045" s="2" t="s">
        <v>13609</v>
      </c>
      <c r="M1045" s="3" t="s">
        <v>290</v>
      </c>
      <c r="N1045" s="2" t="s">
        <v>543</v>
      </c>
      <c r="O1045" s="3" t="s">
        <v>65</v>
      </c>
      <c r="P1045" s="3" t="s">
        <v>84</v>
      </c>
      <c r="R1045" s="3" t="s">
        <v>67</v>
      </c>
      <c r="S1045" s="4">
        <v>6</v>
      </c>
      <c r="T1045" s="4">
        <v>6</v>
      </c>
      <c r="U1045" s="5" t="s">
        <v>13610</v>
      </c>
      <c r="V1045" s="5" t="s">
        <v>13610</v>
      </c>
      <c r="W1045" s="5" t="s">
        <v>13611</v>
      </c>
      <c r="X1045" s="5" t="s">
        <v>13611</v>
      </c>
      <c r="Y1045" s="4">
        <v>1008</v>
      </c>
      <c r="Z1045" s="4">
        <v>970</v>
      </c>
      <c r="AA1045" s="4">
        <v>998</v>
      </c>
      <c r="AB1045" s="4">
        <v>8</v>
      </c>
      <c r="AC1045" s="4">
        <v>8</v>
      </c>
      <c r="AD1045" s="4">
        <v>11</v>
      </c>
      <c r="AE1045" s="4">
        <v>11</v>
      </c>
      <c r="AF1045" s="4">
        <v>3</v>
      </c>
      <c r="AG1045" s="4">
        <v>3</v>
      </c>
      <c r="AH1045" s="4">
        <v>1</v>
      </c>
      <c r="AI1045" s="4">
        <v>1</v>
      </c>
      <c r="AJ1045" s="4">
        <v>4</v>
      </c>
      <c r="AK1045" s="4">
        <v>4</v>
      </c>
      <c r="AL1045" s="4">
        <v>2</v>
      </c>
      <c r="AM1045" s="4">
        <v>2</v>
      </c>
      <c r="AN1045" s="4">
        <v>1</v>
      </c>
      <c r="AO1045" s="4">
        <v>1</v>
      </c>
      <c r="AP1045" s="3" t="s">
        <v>58</v>
      </c>
      <c r="AQ1045" s="3" t="s">
        <v>58</v>
      </c>
      <c r="AS1045" s="6" t="str">
        <f>HYPERLINK("https://creighton-primo.hosted.exlibrisgroup.com/primo-explore/search?tab=default_tab&amp;search_scope=EVERYTHING&amp;vid=01CRU&amp;lang=en_US&amp;offset=0&amp;query=any,contains,991003557069702656","Catalog Record")</f>
        <v>Catalog Record</v>
      </c>
      <c r="AT1045" s="6" t="str">
        <f>HYPERLINK("http://www.worldcat.org/oclc/45634521","WorldCat Record")</f>
        <v>WorldCat Record</v>
      </c>
      <c r="AU1045" s="3" t="s">
        <v>13612</v>
      </c>
      <c r="AV1045" s="3" t="s">
        <v>13613</v>
      </c>
      <c r="AW1045" s="3" t="s">
        <v>13614</v>
      </c>
      <c r="AX1045" s="3" t="s">
        <v>13614</v>
      </c>
      <c r="AY1045" s="3" t="s">
        <v>13615</v>
      </c>
      <c r="AZ1045" s="3" t="s">
        <v>74</v>
      </c>
      <c r="BB1045" s="3" t="s">
        <v>13616</v>
      </c>
      <c r="BC1045" s="3" t="s">
        <v>13617</v>
      </c>
      <c r="BD1045" s="3" t="s">
        <v>13618</v>
      </c>
    </row>
    <row r="1046" spans="1:56" ht="45.75" customHeight="1" x14ac:dyDescent="0.25">
      <c r="A1046" s="7" t="s">
        <v>58</v>
      </c>
      <c r="B1046" s="2" t="s">
        <v>13619</v>
      </c>
      <c r="C1046" s="2" t="s">
        <v>13620</v>
      </c>
      <c r="D1046" s="2" t="s">
        <v>13621</v>
      </c>
      <c r="F1046" s="3" t="s">
        <v>58</v>
      </c>
      <c r="G1046" s="3" t="s">
        <v>59</v>
      </c>
      <c r="H1046" s="3" t="s">
        <v>58</v>
      </c>
      <c r="I1046" s="3" t="s">
        <v>58</v>
      </c>
      <c r="J1046" s="3" t="s">
        <v>60</v>
      </c>
      <c r="K1046" s="2" t="s">
        <v>13622</v>
      </c>
      <c r="L1046" s="2" t="s">
        <v>13623</v>
      </c>
      <c r="M1046" s="3" t="s">
        <v>800</v>
      </c>
      <c r="N1046" s="2" t="s">
        <v>543</v>
      </c>
      <c r="O1046" s="3" t="s">
        <v>65</v>
      </c>
      <c r="P1046" s="3" t="s">
        <v>84</v>
      </c>
      <c r="R1046" s="3" t="s">
        <v>67</v>
      </c>
      <c r="S1046" s="4">
        <v>8</v>
      </c>
      <c r="T1046" s="4">
        <v>8</v>
      </c>
      <c r="U1046" s="5" t="s">
        <v>8383</v>
      </c>
      <c r="V1046" s="5" t="s">
        <v>8383</v>
      </c>
      <c r="W1046" s="5" t="s">
        <v>13624</v>
      </c>
      <c r="X1046" s="5" t="s">
        <v>13624</v>
      </c>
      <c r="Y1046" s="4">
        <v>2305</v>
      </c>
      <c r="Z1046" s="4">
        <v>2168</v>
      </c>
      <c r="AA1046" s="4">
        <v>2526</v>
      </c>
      <c r="AB1046" s="4">
        <v>20</v>
      </c>
      <c r="AC1046" s="4">
        <v>23</v>
      </c>
      <c r="AD1046" s="4">
        <v>43</v>
      </c>
      <c r="AE1046" s="4">
        <v>49</v>
      </c>
      <c r="AF1046" s="4">
        <v>14</v>
      </c>
      <c r="AG1046" s="4">
        <v>16</v>
      </c>
      <c r="AH1046" s="4">
        <v>8</v>
      </c>
      <c r="AI1046" s="4">
        <v>9</v>
      </c>
      <c r="AJ1046" s="4">
        <v>18</v>
      </c>
      <c r="AK1046" s="4">
        <v>20</v>
      </c>
      <c r="AL1046" s="4">
        <v>7</v>
      </c>
      <c r="AM1046" s="4">
        <v>9</v>
      </c>
      <c r="AN1046" s="4">
        <v>5</v>
      </c>
      <c r="AO1046" s="4">
        <v>5</v>
      </c>
      <c r="AP1046" s="3" t="s">
        <v>58</v>
      </c>
      <c r="AQ1046" s="3" t="s">
        <v>58</v>
      </c>
      <c r="AS1046" s="6" t="str">
        <f>HYPERLINK("https://creighton-primo.hosted.exlibrisgroup.com/primo-explore/search?tab=default_tab&amp;search_scope=EVERYTHING&amp;vid=01CRU&amp;lang=en_US&amp;offset=0&amp;query=any,contains,991001644559702656","Catalog Record")</f>
        <v>Catalog Record</v>
      </c>
      <c r="AT1046" s="6" t="str">
        <f>HYPERLINK("http://www.worldcat.org/oclc/21040965","WorldCat Record")</f>
        <v>WorldCat Record</v>
      </c>
      <c r="AU1046" s="3" t="s">
        <v>13625</v>
      </c>
      <c r="AV1046" s="3" t="s">
        <v>13626</v>
      </c>
      <c r="AW1046" s="3" t="s">
        <v>13627</v>
      </c>
      <c r="AX1046" s="3" t="s">
        <v>13627</v>
      </c>
      <c r="AY1046" s="3" t="s">
        <v>13628</v>
      </c>
      <c r="AZ1046" s="3" t="s">
        <v>74</v>
      </c>
      <c r="BB1046" s="3" t="s">
        <v>13629</v>
      </c>
      <c r="BC1046" s="3" t="s">
        <v>13630</v>
      </c>
      <c r="BD1046" s="3" t="s">
        <v>13631</v>
      </c>
    </row>
    <row r="1047" spans="1:56" ht="45.75" customHeight="1" x14ac:dyDescent="0.25">
      <c r="A1047" s="7" t="s">
        <v>58</v>
      </c>
      <c r="B1047" s="2" t="s">
        <v>13632</v>
      </c>
      <c r="C1047" s="2" t="s">
        <v>13633</v>
      </c>
      <c r="D1047" s="2" t="s">
        <v>13634</v>
      </c>
      <c r="F1047" s="3" t="s">
        <v>58</v>
      </c>
      <c r="G1047" s="3" t="s">
        <v>59</v>
      </c>
      <c r="H1047" s="3" t="s">
        <v>58</v>
      </c>
      <c r="I1047" s="3" t="s">
        <v>58</v>
      </c>
      <c r="J1047" s="3" t="s">
        <v>60</v>
      </c>
      <c r="K1047" s="2" t="s">
        <v>13635</v>
      </c>
      <c r="L1047" s="2" t="s">
        <v>13636</v>
      </c>
      <c r="M1047" s="3" t="s">
        <v>147</v>
      </c>
      <c r="O1047" s="3" t="s">
        <v>65</v>
      </c>
      <c r="P1047" s="3" t="s">
        <v>132</v>
      </c>
      <c r="R1047" s="3" t="s">
        <v>67</v>
      </c>
      <c r="S1047" s="4">
        <v>3</v>
      </c>
      <c r="T1047" s="4">
        <v>3</v>
      </c>
      <c r="U1047" s="5" t="s">
        <v>13637</v>
      </c>
      <c r="V1047" s="5" t="s">
        <v>13637</v>
      </c>
      <c r="W1047" s="5" t="s">
        <v>13638</v>
      </c>
      <c r="X1047" s="5" t="s">
        <v>13638</v>
      </c>
      <c r="Y1047" s="4">
        <v>912</v>
      </c>
      <c r="Z1047" s="4">
        <v>881</v>
      </c>
      <c r="AA1047" s="4">
        <v>934</v>
      </c>
      <c r="AB1047" s="4">
        <v>9</v>
      </c>
      <c r="AC1047" s="4">
        <v>9</v>
      </c>
      <c r="AD1047" s="4">
        <v>16</v>
      </c>
      <c r="AE1047" s="4">
        <v>17</v>
      </c>
      <c r="AF1047" s="4">
        <v>6</v>
      </c>
      <c r="AG1047" s="4">
        <v>6</v>
      </c>
      <c r="AH1047" s="4">
        <v>5</v>
      </c>
      <c r="AI1047" s="4">
        <v>5</v>
      </c>
      <c r="AJ1047" s="4">
        <v>6</v>
      </c>
      <c r="AK1047" s="4">
        <v>7</v>
      </c>
      <c r="AL1047" s="4">
        <v>2</v>
      </c>
      <c r="AM1047" s="4">
        <v>2</v>
      </c>
      <c r="AN1047" s="4">
        <v>0</v>
      </c>
      <c r="AO1047" s="4">
        <v>0</v>
      </c>
      <c r="AP1047" s="3" t="s">
        <v>58</v>
      </c>
      <c r="AQ1047" s="3" t="s">
        <v>58</v>
      </c>
      <c r="AS1047" s="6" t="str">
        <f>HYPERLINK("https://creighton-primo.hosted.exlibrisgroup.com/primo-explore/search?tab=default_tab&amp;search_scope=EVERYTHING&amp;vid=01CRU&amp;lang=en_US&amp;offset=0&amp;query=any,contains,991004288629702656","Catalog Record")</f>
        <v>Catalog Record</v>
      </c>
      <c r="AT1047" s="6" t="str">
        <f>HYPERLINK("http://www.worldcat.org/oclc/54534326","WorldCat Record")</f>
        <v>WorldCat Record</v>
      </c>
      <c r="AU1047" s="3" t="s">
        <v>13639</v>
      </c>
      <c r="AV1047" s="3" t="s">
        <v>13640</v>
      </c>
      <c r="AW1047" s="3" t="s">
        <v>13641</v>
      </c>
      <c r="AX1047" s="3" t="s">
        <v>13641</v>
      </c>
      <c r="AY1047" s="3" t="s">
        <v>13642</v>
      </c>
      <c r="AZ1047" s="3" t="s">
        <v>74</v>
      </c>
      <c r="BB1047" s="3" t="s">
        <v>13643</v>
      </c>
      <c r="BC1047" s="3" t="s">
        <v>13644</v>
      </c>
      <c r="BD1047" s="3" t="s">
        <v>13645</v>
      </c>
    </row>
    <row r="1048" spans="1:56" ht="45.75" customHeight="1" x14ac:dyDescent="0.25">
      <c r="A1048" s="7" t="s">
        <v>58</v>
      </c>
      <c r="B1048" s="2" t="s">
        <v>13646</v>
      </c>
      <c r="C1048" s="2" t="s">
        <v>13647</v>
      </c>
      <c r="D1048" s="2" t="s">
        <v>13648</v>
      </c>
      <c r="F1048" s="3" t="s">
        <v>58</v>
      </c>
      <c r="G1048" s="3" t="s">
        <v>59</v>
      </c>
      <c r="H1048" s="3" t="s">
        <v>58</v>
      </c>
      <c r="I1048" s="3" t="s">
        <v>58</v>
      </c>
      <c r="J1048" s="3" t="s">
        <v>60</v>
      </c>
      <c r="K1048" s="2" t="s">
        <v>13649</v>
      </c>
      <c r="L1048" s="2" t="s">
        <v>4487</v>
      </c>
      <c r="M1048" s="3" t="s">
        <v>1209</v>
      </c>
      <c r="O1048" s="3" t="s">
        <v>65</v>
      </c>
      <c r="P1048" s="3" t="s">
        <v>84</v>
      </c>
      <c r="R1048" s="3" t="s">
        <v>67</v>
      </c>
      <c r="S1048" s="4">
        <v>3</v>
      </c>
      <c r="T1048" s="4">
        <v>3</v>
      </c>
      <c r="U1048" s="5" t="s">
        <v>13650</v>
      </c>
      <c r="V1048" s="5" t="s">
        <v>13650</v>
      </c>
      <c r="W1048" s="5" t="s">
        <v>4266</v>
      </c>
      <c r="X1048" s="5" t="s">
        <v>4266</v>
      </c>
      <c r="Y1048" s="4">
        <v>2104</v>
      </c>
      <c r="Z1048" s="4">
        <v>1979</v>
      </c>
      <c r="AA1048" s="4">
        <v>2055</v>
      </c>
      <c r="AB1048" s="4">
        <v>10</v>
      </c>
      <c r="AC1048" s="4">
        <v>10</v>
      </c>
      <c r="AD1048" s="4">
        <v>56</v>
      </c>
      <c r="AE1048" s="4">
        <v>58</v>
      </c>
      <c r="AF1048" s="4">
        <v>23</v>
      </c>
      <c r="AG1048" s="4">
        <v>24</v>
      </c>
      <c r="AH1048" s="4">
        <v>10</v>
      </c>
      <c r="AI1048" s="4">
        <v>10</v>
      </c>
      <c r="AJ1048" s="4">
        <v>23</v>
      </c>
      <c r="AK1048" s="4">
        <v>23</v>
      </c>
      <c r="AL1048" s="4">
        <v>5</v>
      </c>
      <c r="AM1048" s="4">
        <v>5</v>
      </c>
      <c r="AN1048" s="4">
        <v>8</v>
      </c>
      <c r="AO1048" s="4">
        <v>9</v>
      </c>
      <c r="AP1048" s="3" t="s">
        <v>58</v>
      </c>
      <c r="AQ1048" s="3" t="s">
        <v>58</v>
      </c>
      <c r="AS1048" s="6" t="str">
        <f>HYPERLINK("https://creighton-primo.hosted.exlibrisgroup.com/primo-explore/search?tab=default_tab&amp;search_scope=EVERYTHING&amp;vid=01CRU&amp;lang=en_US&amp;offset=0&amp;query=any,contains,991000941719702656","Catalog Record")</f>
        <v>Catalog Record</v>
      </c>
      <c r="AT1048" s="6" t="str">
        <f>HYPERLINK("http://www.worldcat.org/oclc/14413188","WorldCat Record")</f>
        <v>WorldCat Record</v>
      </c>
      <c r="AU1048" s="3" t="s">
        <v>13651</v>
      </c>
      <c r="AV1048" s="3" t="s">
        <v>13652</v>
      </c>
      <c r="AW1048" s="3" t="s">
        <v>13653</v>
      </c>
      <c r="AX1048" s="3" t="s">
        <v>13653</v>
      </c>
      <c r="AY1048" s="3" t="s">
        <v>13654</v>
      </c>
      <c r="AZ1048" s="3" t="s">
        <v>74</v>
      </c>
      <c r="BB1048" s="3" t="s">
        <v>13655</v>
      </c>
      <c r="BC1048" s="3" t="s">
        <v>13656</v>
      </c>
      <c r="BD1048" s="3" t="s">
        <v>13657</v>
      </c>
    </row>
    <row r="1049" spans="1:56" ht="45.75" customHeight="1" x14ac:dyDescent="0.25">
      <c r="A1049" s="7" t="s">
        <v>58</v>
      </c>
      <c r="B1049" s="2" t="s">
        <v>13658</v>
      </c>
      <c r="C1049" s="2" t="s">
        <v>13659</v>
      </c>
      <c r="D1049" s="2" t="s">
        <v>13660</v>
      </c>
      <c r="F1049" s="3" t="s">
        <v>58</v>
      </c>
      <c r="G1049" s="3" t="s">
        <v>59</v>
      </c>
      <c r="H1049" s="3" t="s">
        <v>58</v>
      </c>
      <c r="I1049" s="3" t="s">
        <v>58</v>
      </c>
      <c r="J1049" s="3" t="s">
        <v>60</v>
      </c>
      <c r="K1049" s="2" t="s">
        <v>13661</v>
      </c>
      <c r="L1049" s="2" t="s">
        <v>13662</v>
      </c>
      <c r="M1049" s="3" t="s">
        <v>1058</v>
      </c>
      <c r="O1049" s="3" t="s">
        <v>65</v>
      </c>
      <c r="P1049" s="3" t="s">
        <v>204</v>
      </c>
      <c r="R1049" s="3" t="s">
        <v>67</v>
      </c>
      <c r="S1049" s="4">
        <v>6</v>
      </c>
      <c r="T1049" s="4">
        <v>6</v>
      </c>
      <c r="U1049" s="5" t="s">
        <v>13637</v>
      </c>
      <c r="V1049" s="5" t="s">
        <v>13637</v>
      </c>
      <c r="W1049" s="5" t="s">
        <v>3682</v>
      </c>
      <c r="X1049" s="5" t="s">
        <v>3682</v>
      </c>
      <c r="Y1049" s="4">
        <v>1520</v>
      </c>
      <c r="Z1049" s="4">
        <v>1407</v>
      </c>
      <c r="AA1049" s="4">
        <v>1438</v>
      </c>
      <c r="AB1049" s="4">
        <v>9</v>
      </c>
      <c r="AC1049" s="4">
        <v>10</v>
      </c>
      <c r="AD1049" s="4">
        <v>55</v>
      </c>
      <c r="AE1049" s="4">
        <v>56</v>
      </c>
      <c r="AF1049" s="4">
        <v>18</v>
      </c>
      <c r="AG1049" s="4">
        <v>18</v>
      </c>
      <c r="AH1049" s="4">
        <v>9</v>
      </c>
      <c r="AI1049" s="4">
        <v>9</v>
      </c>
      <c r="AJ1049" s="4">
        <v>22</v>
      </c>
      <c r="AK1049" s="4">
        <v>23</v>
      </c>
      <c r="AL1049" s="4">
        <v>8</v>
      </c>
      <c r="AM1049" s="4">
        <v>8</v>
      </c>
      <c r="AN1049" s="4">
        <v>9</v>
      </c>
      <c r="AO1049" s="4">
        <v>9</v>
      </c>
      <c r="AP1049" s="3" t="s">
        <v>58</v>
      </c>
      <c r="AQ1049" s="3" t="s">
        <v>58</v>
      </c>
      <c r="AS1049" s="6" t="str">
        <f>HYPERLINK("https://creighton-primo.hosted.exlibrisgroup.com/primo-explore/search?tab=default_tab&amp;search_scope=EVERYTHING&amp;vid=01CRU&amp;lang=en_US&amp;offset=0&amp;query=any,contains,991001144369702656","Catalog Record")</f>
        <v>Catalog Record</v>
      </c>
      <c r="AT1049" s="6" t="str">
        <f>HYPERLINK("http://www.worldcat.org/oclc/16756858","WorldCat Record")</f>
        <v>WorldCat Record</v>
      </c>
      <c r="AU1049" s="3" t="s">
        <v>13663</v>
      </c>
      <c r="AV1049" s="3" t="s">
        <v>13664</v>
      </c>
      <c r="AW1049" s="3" t="s">
        <v>13665</v>
      </c>
      <c r="AX1049" s="3" t="s">
        <v>13665</v>
      </c>
      <c r="AY1049" s="3" t="s">
        <v>13666</v>
      </c>
      <c r="AZ1049" s="3" t="s">
        <v>74</v>
      </c>
      <c r="BB1049" s="3" t="s">
        <v>13667</v>
      </c>
      <c r="BC1049" s="3" t="s">
        <v>13668</v>
      </c>
      <c r="BD1049" s="3" t="s">
        <v>13669</v>
      </c>
    </row>
    <row r="1050" spans="1:56" ht="45.75" customHeight="1" x14ac:dyDescent="0.25">
      <c r="A1050" s="7" t="s">
        <v>58</v>
      </c>
      <c r="B1050" s="2" t="s">
        <v>13670</v>
      </c>
      <c r="C1050" s="2" t="s">
        <v>13671</v>
      </c>
      <c r="D1050" s="2" t="s">
        <v>13672</v>
      </c>
      <c r="F1050" s="3" t="s">
        <v>58</v>
      </c>
      <c r="G1050" s="3" t="s">
        <v>59</v>
      </c>
      <c r="H1050" s="3" t="s">
        <v>58</v>
      </c>
      <c r="I1050" s="3" t="s">
        <v>58</v>
      </c>
      <c r="J1050" s="3" t="s">
        <v>60</v>
      </c>
      <c r="K1050" s="2" t="s">
        <v>13673</v>
      </c>
      <c r="L1050" s="2" t="s">
        <v>13674</v>
      </c>
      <c r="M1050" s="3" t="s">
        <v>162</v>
      </c>
      <c r="O1050" s="3" t="s">
        <v>65</v>
      </c>
      <c r="P1050" s="3" t="s">
        <v>175</v>
      </c>
      <c r="R1050" s="3" t="s">
        <v>67</v>
      </c>
      <c r="S1050" s="4">
        <v>3</v>
      </c>
      <c r="T1050" s="4">
        <v>3</v>
      </c>
      <c r="U1050" s="5" t="s">
        <v>13675</v>
      </c>
      <c r="V1050" s="5" t="s">
        <v>13675</v>
      </c>
      <c r="W1050" s="5" t="s">
        <v>8230</v>
      </c>
      <c r="X1050" s="5" t="s">
        <v>8230</v>
      </c>
      <c r="Y1050" s="4">
        <v>216</v>
      </c>
      <c r="Z1050" s="4">
        <v>16</v>
      </c>
      <c r="AA1050" s="4">
        <v>52</v>
      </c>
      <c r="AB1050" s="4">
        <v>1</v>
      </c>
      <c r="AC1050" s="4">
        <v>2</v>
      </c>
      <c r="AD1050" s="4">
        <v>0</v>
      </c>
      <c r="AE1050" s="4">
        <v>1</v>
      </c>
      <c r="AF1050" s="4">
        <v>0</v>
      </c>
      <c r="AG1050" s="4">
        <v>0</v>
      </c>
      <c r="AH1050" s="4">
        <v>0</v>
      </c>
      <c r="AI1050" s="4">
        <v>0</v>
      </c>
      <c r="AJ1050" s="4">
        <v>0</v>
      </c>
      <c r="AK1050" s="4">
        <v>0</v>
      </c>
      <c r="AL1050" s="4">
        <v>0</v>
      </c>
      <c r="AM1050" s="4">
        <v>1</v>
      </c>
      <c r="AN1050" s="4">
        <v>0</v>
      </c>
      <c r="AO1050" s="4">
        <v>0</v>
      </c>
      <c r="AP1050" s="3" t="s">
        <v>58</v>
      </c>
      <c r="AQ1050" s="3" t="s">
        <v>58</v>
      </c>
      <c r="AS1050" s="6" t="str">
        <f>HYPERLINK("https://creighton-primo.hosted.exlibrisgroup.com/primo-explore/search?tab=default_tab&amp;search_scope=EVERYTHING&amp;vid=01CRU&amp;lang=en_US&amp;offset=0&amp;query=any,contains,991005269639702656","Catalog Record")</f>
        <v>Catalog Record</v>
      </c>
      <c r="AT1050" s="6" t="str">
        <f>HYPERLINK("http://www.worldcat.org/oclc/246554929","WorldCat Record")</f>
        <v>WorldCat Record</v>
      </c>
      <c r="AU1050" s="3" t="s">
        <v>13676</v>
      </c>
      <c r="AV1050" s="3" t="s">
        <v>13677</v>
      </c>
      <c r="AW1050" s="3" t="s">
        <v>13678</v>
      </c>
      <c r="AX1050" s="3" t="s">
        <v>13678</v>
      </c>
      <c r="AY1050" s="3" t="s">
        <v>13679</v>
      </c>
      <c r="AZ1050" s="3" t="s">
        <v>74</v>
      </c>
      <c r="BB1050" s="3" t="s">
        <v>13680</v>
      </c>
      <c r="BC1050" s="3" t="s">
        <v>13681</v>
      </c>
      <c r="BD1050" s="3" t="s">
        <v>13682</v>
      </c>
    </row>
    <row r="1051" spans="1:56" ht="45.75" customHeight="1" x14ac:dyDescent="0.25">
      <c r="A1051" s="7" t="s">
        <v>58</v>
      </c>
      <c r="B1051" s="2" t="s">
        <v>13683</v>
      </c>
      <c r="C1051" s="2" t="s">
        <v>13684</v>
      </c>
      <c r="D1051" s="2" t="s">
        <v>13685</v>
      </c>
      <c r="F1051" s="3" t="s">
        <v>58</v>
      </c>
      <c r="G1051" s="3" t="s">
        <v>59</v>
      </c>
      <c r="H1051" s="3" t="s">
        <v>58</v>
      </c>
      <c r="I1051" s="3" t="s">
        <v>58</v>
      </c>
      <c r="J1051" s="3" t="s">
        <v>60</v>
      </c>
      <c r="K1051" s="2" t="s">
        <v>13686</v>
      </c>
      <c r="L1051" s="2" t="s">
        <v>13687</v>
      </c>
      <c r="M1051" s="3" t="s">
        <v>1088</v>
      </c>
      <c r="O1051" s="3" t="s">
        <v>65</v>
      </c>
      <c r="P1051" s="3" t="s">
        <v>336</v>
      </c>
      <c r="Q1051" s="2" t="s">
        <v>13688</v>
      </c>
      <c r="R1051" s="3" t="s">
        <v>67</v>
      </c>
      <c r="S1051" s="4">
        <v>4</v>
      </c>
      <c r="T1051" s="4">
        <v>4</v>
      </c>
      <c r="U1051" s="5" t="s">
        <v>13689</v>
      </c>
      <c r="V1051" s="5" t="s">
        <v>13689</v>
      </c>
      <c r="W1051" s="5" t="s">
        <v>11348</v>
      </c>
      <c r="X1051" s="5" t="s">
        <v>11348</v>
      </c>
      <c r="Y1051" s="4">
        <v>512</v>
      </c>
      <c r="Z1051" s="4">
        <v>438</v>
      </c>
      <c r="AA1051" s="4">
        <v>466</v>
      </c>
      <c r="AB1051" s="4">
        <v>4</v>
      </c>
      <c r="AC1051" s="4">
        <v>4</v>
      </c>
      <c r="AD1051" s="4">
        <v>22</v>
      </c>
      <c r="AE1051" s="4">
        <v>23</v>
      </c>
      <c r="AF1051" s="4">
        <v>6</v>
      </c>
      <c r="AG1051" s="4">
        <v>7</v>
      </c>
      <c r="AH1051" s="4">
        <v>6</v>
      </c>
      <c r="AI1051" s="4">
        <v>6</v>
      </c>
      <c r="AJ1051" s="4">
        <v>9</v>
      </c>
      <c r="AK1051" s="4">
        <v>9</v>
      </c>
      <c r="AL1051" s="4">
        <v>3</v>
      </c>
      <c r="AM1051" s="4">
        <v>3</v>
      </c>
      <c r="AN1051" s="4">
        <v>2</v>
      </c>
      <c r="AO1051" s="4">
        <v>2</v>
      </c>
      <c r="AP1051" s="3" t="s">
        <v>58</v>
      </c>
      <c r="AQ1051" s="3" t="s">
        <v>58</v>
      </c>
      <c r="AS1051" s="6" t="str">
        <f>HYPERLINK("https://creighton-primo.hosted.exlibrisgroup.com/primo-explore/search?tab=default_tab&amp;search_scope=EVERYTHING&amp;vid=01CRU&amp;lang=en_US&amp;offset=0&amp;query=any,contains,991000529729702656","Catalog Record")</f>
        <v>Catalog Record</v>
      </c>
      <c r="AT1051" s="6" t="str">
        <f>HYPERLINK("http://www.worldcat.org/oclc/11397255","WorldCat Record")</f>
        <v>WorldCat Record</v>
      </c>
      <c r="AU1051" s="3" t="s">
        <v>13690</v>
      </c>
      <c r="AV1051" s="3" t="s">
        <v>13691</v>
      </c>
      <c r="AW1051" s="3" t="s">
        <v>13692</v>
      </c>
      <c r="AX1051" s="3" t="s">
        <v>13692</v>
      </c>
      <c r="AY1051" s="3" t="s">
        <v>13693</v>
      </c>
      <c r="AZ1051" s="3" t="s">
        <v>74</v>
      </c>
      <c r="BB1051" s="3" t="s">
        <v>13694</v>
      </c>
      <c r="BC1051" s="3" t="s">
        <v>13695</v>
      </c>
      <c r="BD1051" s="3" t="s">
        <v>13696</v>
      </c>
    </row>
    <row r="1052" spans="1:56" ht="45.75" customHeight="1" x14ac:dyDescent="0.25">
      <c r="A1052" s="7" t="s">
        <v>58</v>
      </c>
      <c r="B1052" s="2" t="s">
        <v>13697</v>
      </c>
      <c r="C1052" s="2" t="s">
        <v>13698</v>
      </c>
      <c r="D1052" s="2" t="s">
        <v>13699</v>
      </c>
      <c r="F1052" s="3" t="s">
        <v>58</v>
      </c>
      <c r="G1052" s="3" t="s">
        <v>59</v>
      </c>
      <c r="H1052" s="3" t="s">
        <v>87</v>
      </c>
      <c r="I1052" s="3" t="s">
        <v>58</v>
      </c>
      <c r="J1052" s="3" t="s">
        <v>60</v>
      </c>
      <c r="K1052" s="2" t="s">
        <v>13700</v>
      </c>
      <c r="L1052" s="2" t="s">
        <v>13701</v>
      </c>
      <c r="M1052" s="3" t="s">
        <v>1662</v>
      </c>
      <c r="O1052" s="3" t="s">
        <v>65</v>
      </c>
      <c r="P1052" s="3" t="s">
        <v>84</v>
      </c>
      <c r="R1052" s="3" t="s">
        <v>67</v>
      </c>
      <c r="S1052" s="4">
        <v>1</v>
      </c>
      <c r="T1052" s="4">
        <v>2</v>
      </c>
      <c r="U1052" s="5" t="s">
        <v>13702</v>
      </c>
      <c r="V1052" s="5" t="s">
        <v>13702</v>
      </c>
      <c r="W1052" s="5" t="s">
        <v>4216</v>
      </c>
      <c r="X1052" s="5" t="s">
        <v>4216</v>
      </c>
      <c r="Y1052" s="4">
        <v>930</v>
      </c>
      <c r="Z1052" s="4">
        <v>747</v>
      </c>
      <c r="AA1052" s="4">
        <v>754</v>
      </c>
      <c r="AB1052" s="4">
        <v>12</v>
      </c>
      <c r="AC1052" s="4">
        <v>12</v>
      </c>
      <c r="AD1052" s="4">
        <v>39</v>
      </c>
      <c r="AE1052" s="4">
        <v>39</v>
      </c>
      <c r="AF1052" s="4">
        <v>14</v>
      </c>
      <c r="AG1052" s="4">
        <v>14</v>
      </c>
      <c r="AH1052" s="4">
        <v>6</v>
      </c>
      <c r="AI1052" s="4">
        <v>6</v>
      </c>
      <c r="AJ1052" s="4">
        <v>13</v>
      </c>
      <c r="AK1052" s="4">
        <v>13</v>
      </c>
      <c r="AL1052" s="4">
        <v>9</v>
      </c>
      <c r="AM1052" s="4">
        <v>9</v>
      </c>
      <c r="AN1052" s="4">
        <v>5</v>
      </c>
      <c r="AO1052" s="4">
        <v>5</v>
      </c>
      <c r="AP1052" s="3" t="s">
        <v>58</v>
      </c>
      <c r="AQ1052" s="3" t="s">
        <v>58</v>
      </c>
      <c r="AS1052" s="6" t="str">
        <f>HYPERLINK("https://creighton-primo.hosted.exlibrisgroup.com/primo-explore/search?tab=default_tab&amp;search_scope=EVERYTHING&amp;vid=01CRU&amp;lang=en_US&amp;offset=0&amp;query=any,contains,991001752809702656","Catalog Record")</f>
        <v>Catalog Record</v>
      </c>
      <c r="AT1052" s="6" t="str">
        <f>HYPERLINK("http://www.worldcat.org/oclc/2118302","WorldCat Record")</f>
        <v>WorldCat Record</v>
      </c>
      <c r="AU1052" s="3" t="s">
        <v>13703</v>
      </c>
      <c r="AV1052" s="3" t="s">
        <v>13704</v>
      </c>
      <c r="AW1052" s="3" t="s">
        <v>13705</v>
      </c>
      <c r="AX1052" s="3" t="s">
        <v>13705</v>
      </c>
      <c r="AY1052" s="3" t="s">
        <v>13706</v>
      </c>
      <c r="AZ1052" s="3" t="s">
        <v>74</v>
      </c>
      <c r="BB1052" s="3" t="s">
        <v>13707</v>
      </c>
      <c r="BC1052" s="3" t="s">
        <v>13708</v>
      </c>
      <c r="BD1052" s="3" t="s">
        <v>13709</v>
      </c>
    </row>
    <row r="1053" spans="1:56" ht="45.75" customHeight="1" x14ac:dyDescent="0.25">
      <c r="A1053" s="7" t="s">
        <v>58</v>
      </c>
      <c r="B1053" s="2" t="s">
        <v>13710</v>
      </c>
      <c r="C1053" s="2" t="s">
        <v>13711</v>
      </c>
      <c r="D1053" s="2" t="s">
        <v>13712</v>
      </c>
      <c r="F1053" s="3" t="s">
        <v>58</v>
      </c>
      <c r="G1053" s="3" t="s">
        <v>59</v>
      </c>
      <c r="H1053" s="3" t="s">
        <v>58</v>
      </c>
      <c r="I1053" s="3" t="s">
        <v>58</v>
      </c>
      <c r="J1053" s="3" t="s">
        <v>60</v>
      </c>
      <c r="K1053" s="2" t="s">
        <v>13713</v>
      </c>
      <c r="L1053" s="2" t="s">
        <v>13714</v>
      </c>
      <c r="M1053" s="3" t="s">
        <v>908</v>
      </c>
      <c r="O1053" s="3" t="s">
        <v>65</v>
      </c>
      <c r="P1053" s="3" t="s">
        <v>190</v>
      </c>
      <c r="R1053" s="3" t="s">
        <v>67</v>
      </c>
      <c r="S1053" s="4">
        <v>7</v>
      </c>
      <c r="T1053" s="4">
        <v>7</v>
      </c>
      <c r="U1053" s="5" t="s">
        <v>13702</v>
      </c>
      <c r="V1053" s="5" t="s">
        <v>13702</v>
      </c>
      <c r="W1053" s="5" t="s">
        <v>11348</v>
      </c>
      <c r="X1053" s="5" t="s">
        <v>11348</v>
      </c>
      <c r="Y1053" s="4">
        <v>423</v>
      </c>
      <c r="Z1053" s="4">
        <v>397</v>
      </c>
      <c r="AA1053" s="4">
        <v>399</v>
      </c>
      <c r="AB1053" s="4">
        <v>4</v>
      </c>
      <c r="AC1053" s="4">
        <v>4</v>
      </c>
      <c r="AD1053" s="4">
        <v>18</v>
      </c>
      <c r="AE1053" s="4">
        <v>18</v>
      </c>
      <c r="AF1053" s="4">
        <v>7</v>
      </c>
      <c r="AG1053" s="4">
        <v>7</v>
      </c>
      <c r="AH1053" s="4">
        <v>2</v>
      </c>
      <c r="AI1053" s="4">
        <v>2</v>
      </c>
      <c r="AJ1053" s="4">
        <v>9</v>
      </c>
      <c r="AK1053" s="4">
        <v>9</v>
      </c>
      <c r="AL1053" s="4">
        <v>3</v>
      </c>
      <c r="AM1053" s="4">
        <v>3</v>
      </c>
      <c r="AN1053" s="4">
        <v>1</v>
      </c>
      <c r="AO1053" s="4">
        <v>1</v>
      </c>
      <c r="AP1053" s="3" t="s">
        <v>58</v>
      </c>
      <c r="AQ1053" s="3" t="s">
        <v>87</v>
      </c>
      <c r="AR1053" s="6" t="str">
        <f>HYPERLINK("http://catalog.hathitrust.org/Record/000699380","HathiTrust Record")</f>
        <v>HathiTrust Record</v>
      </c>
      <c r="AS1053" s="6" t="str">
        <f>HYPERLINK("https://creighton-primo.hosted.exlibrisgroup.com/primo-explore/search?tab=default_tab&amp;search_scope=EVERYTHING&amp;vid=01CRU&amp;lang=en_US&amp;offset=0&amp;query=any,contains,991004650739702656","Catalog Record")</f>
        <v>Catalog Record</v>
      </c>
      <c r="AT1053" s="6" t="str">
        <f>HYPERLINK("http://www.worldcat.org/oclc/4493815","WorldCat Record")</f>
        <v>WorldCat Record</v>
      </c>
      <c r="AU1053" s="3" t="s">
        <v>13715</v>
      </c>
      <c r="AV1053" s="3" t="s">
        <v>13716</v>
      </c>
      <c r="AW1053" s="3" t="s">
        <v>13717</v>
      </c>
      <c r="AX1053" s="3" t="s">
        <v>13717</v>
      </c>
      <c r="AY1053" s="3" t="s">
        <v>13718</v>
      </c>
      <c r="AZ1053" s="3" t="s">
        <v>74</v>
      </c>
      <c r="BB1053" s="3" t="s">
        <v>13719</v>
      </c>
      <c r="BC1053" s="3" t="s">
        <v>13720</v>
      </c>
      <c r="BD1053" s="3" t="s">
        <v>13721</v>
      </c>
    </row>
    <row r="1054" spans="1:56" ht="45.75" customHeight="1" x14ac:dyDescent="0.25">
      <c r="A1054" s="7" t="s">
        <v>58</v>
      </c>
      <c r="B1054" s="2" t="s">
        <v>13722</v>
      </c>
      <c r="C1054" s="2" t="s">
        <v>13723</v>
      </c>
      <c r="D1054" s="2" t="s">
        <v>13724</v>
      </c>
      <c r="F1054" s="3" t="s">
        <v>58</v>
      </c>
      <c r="G1054" s="3" t="s">
        <v>59</v>
      </c>
      <c r="H1054" s="3" t="s">
        <v>58</v>
      </c>
      <c r="I1054" s="3" t="s">
        <v>58</v>
      </c>
      <c r="J1054" s="3" t="s">
        <v>60</v>
      </c>
      <c r="K1054" s="2" t="s">
        <v>13725</v>
      </c>
      <c r="L1054" s="2" t="s">
        <v>13726</v>
      </c>
      <c r="M1054" s="3" t="s">
        <v>1485</v>
      </c>
      <c r="O1054" s="3" t="s">
        <v>65</v>
      </c>
      <c r="P1054" s="3" t="s">
        <v>190</v>
      </c>
      <c r="Q1054" s="2" t="s">
        <v>13727</v>
      </c>
      <c r="R1054" s="3" t="s">
        <v>67</v>
      </c>
      <c r="S1054" s="4">
        <v>5</v>
      </c>
      <c r="T1054" s="4">
        <v>5</v>
      </c>
      <c r="U1054" s="5" t="s">
        <v>13728</v>
      </c>
      <c r="V1054" s="5" t="s">
        <v>13728</v>
      </c>
      <c r="W1054" s="5" t="s">
        <v>13729</v>
      </c>
      <c r="X1054" s="5" t="s">
        <v>13729</v>
      </c>
      <c r="Y1054" s="4">
        <v>295</v>
      </c>
      <c r="Z1054" s="4">
        <v>283</v>
      </c>
      <c r="AA1054" s="4">
        <v>288</v>
      </c>
      <c r="AB1054" s="4">
        <v>4</v>
      </c>
      <c r="AC1054" s="4">
        <v>4</v>
      </c>
      <c r="AD1054" s="4">
        <v>12</v>
      </c>
      <c r="AE1054" s="4">
        <v>12</v>
      </c>
      <c r="AF1054" s="4">
        <v>5</v>
      </c>
      <c r="AG1054" s="4">
        <v>5</v>
      </c>
      <c r="AH1054" s="4">
        <v>1</v>
      </c>
      <c r="AI1054" s="4">
        <v>1</v>
      </c>
      <c r="AJ1054" s="4">
        <v>4</v>
      </c>
      <c r="AK1054" s="4">
        <v>4</v>
      </c>
      <c r="AL1054" s="4">
        <v>3</v>
      </c>
      <c r="AM1054" s="4">
        <v>3</v>
      </c>
      <c r="AN1054" s="4">
        <v>0</v>
      </c>
      <c r="AO1054" s="4">
        <v>0</v>
      </c>
      <c r="AP1054" s="3" t="s">
        <v>58</v>
      </c>
      <c r="AQ1054" s="3" t="s">
        <v>58</v>
      </c>
      <c r="AS1054" s="6" t="str">
        <f>HYPERLINK("https://creighton-primo.hosted.exlibrisgroup.com/primo-explore/search?tab=default_tab&amp;search_scope=EVERYTHING&amp;vid=01CRU&amp;lang=en_US&amp;offset=0&amp;query=any,contains,991004148039702656","Catalog Record")</f>
        <v>Catalog Record</v>
      </c>
      <c r="AT1054" s="6" t="str">
        <f>HYPERLINK("http://www.worldcat.org/oclc/2517291","WorldCat Record")</f>
        <v>WorldCat Record</v>
      </c>
      <c r="AU1054" s="3" t="s">
        <v>13730</v>
      </c>
      <c r="AV1054" s="3" t="s">
        <v>13731</v>
      </c>
      <c r="AW1054" s="3" t="s">
        <v>13732</v>
      </c>
      <c r="AX1054" s="3" t="s">
        <v>13732</v>
      </c>
      <c r="AY1054" s="3" t="s">
        <v>13733</v>
      </c>
      <c r="AZ1054" s="3" t="s">
        <v>74</v>
      </c>
      <c r="BB1054" s="3" t="s">
        <v>13734</v>
      </c>
      <c r="BC1054" s="3" t="s">
        <v>13735</v>
      </c>
      <c r="BD1054" s="3" t="s">
        <v>13736</v>
      </c>
    </row>
    <row r="1055" spans="1:56" ht="45.75" customHeight="1" x14ac:dyDescent="0.25">
      <c r="A1055" s="7" t="s">
        <v>58</v>
      </c>
      <c r="B1055" s="2" t="s">
        <v>13737</v>
      </c>
      <c r="C1055" s="2" t="s">
        <v>13738</v>
      </c>
      <c r="D1055" s="2" t="s">
        <v>13739</v>
      </c>
      <c r="F1055" s="3" t="s">
        <v>58</v>
      </c>
      <c r="G1055" s="3" t="s">
        <v>59</v>
      </c>
      <c r="H1055" s="3" t="s">
        <v>58</v>
      </c>
      <c r="I1055" s="3" t="s">
        <v>58</v>
      </c>
      <c r="J1055" s="3" t="s">
        <v>60</v>
      </c>
      <c r="L1055" s="2" t="s">
        <v>13740</v>
      </c>
      <c r="M1055" s="3" t="s">
        <v>937</v>
      </c>
      <c r="O1055" s="3" t="s">
        <v>65</v>
      </c>
      <c r="P1055" s="3" t="s">
        <v>132</v>
      </c>
      <c r="Q1055" s="2" t="s">
        <v>13741</v>
      </c>
      <c r="R1055" s="3" t="s">
        <v>67</v>
      </c>
      <c r="S1055" s="4">
        <v>6</v>
      </c>
      <c r="T1055" s="4">
        <v>6</v>
      </c>
      <c r="U1055" s="5" t="s">
        <v>10814</v>
      </c>
      <c r="V1055" s="5" t="s">
        <v>10814</v>
      </c>
      <c r="W1055" s="5" t="s">
        <v>1797</v>
      </c>
      <c r="X1055" s="5" t="s">
        <v>1797</v>
      </c>
      <c r="Y1055" s="4">
        <v>396</v>
      </c>
      <c r="Z1055" s="4">
        <v>286</v>
      </c>
      <c r="AA1055" s="4">
        <v>288</v>
      </c>
      <c r="AB1055" s="4">
        <v>2</v>
      </c>
      <c r="AC1055" s="4">
        <v>2</v>
      </c>
      <c r="AD1055" s="4">
        <v>11</v>
      </c>
      <c r="AE1055" s="4">
        <v>11</v>
      </c>
      <c r="AF1055" s="4">
        <v>4</v>
      </c>
      <c r="AG1055" s="4">
        <v>4</v>
      </c>
      <c r="AH1055" s="4">
        <v>4</v>
      </c>
      <c r="AI1055" s="4">
        <v>4</v>
      </c>
      <c r="AJ1055" s="4">
        <v>6</v>
      </c>
      <c r="AK1055" s="4">
        <v>6</v>
      </c>
      <c r="AL1055" s="4">
        <v>1</v>
      </c>
      <c r="AM1055" s="4">
        <v>1</v>
      </c>
      <c r="AN1055" s="4">
        <v>1</v>
      </c>
      <c r="AO1055" s="4">
        <v>1</v>
      </c>
      <c r="AP1055" s="3" t="s">
        <v>58</v>
      </c>
      <c r="AQ1055" s="3" t="s">
        <v>87</v>
      </c>
      <c r="AR1055" s="6" t="str">
        <f>HYPERLINK("http://catalog.hathitrust.org/Record/000747954","HathiTrust Record")</f>
        <v>HathiTrust Record</v>
      </c>
      <c r="AS1055" s="6" t="str">
        <f>HYPERLINK("https://creighton-primo.hosted.exlibrisgroup.com/primo-explore/search?tab=default_tab&amp;search_scope=EVERYTHING&amp;vid=01CRU&amp;lang=en_US&amp;offset=0&amp;query=any,contains,991004399989702656","Catalog Record")</f>
        <v>Catalog Record</v>
      </c>
      <c r="AT1055" s="6" t="str">
        <f>HYPERLINK("http://www.worldcat.org/oclc/3294523","WorldCat Record")</f>
        <v>WorldCat Record</v>
      </c>
      <c r="AU1055" s="3" t="s">
        <v>13742</v>
      </c>
      <c r="AV1055" s="3" t="s">
        <v>13743</v>
      </c>
      <c r="AW1055" s="3" t="s">
        <v>13744</v>
      </c>
      <c r="AX1055" s="3" t="s">
        <v>13744</v>
      </c>
      <c r="AY1055" s="3" t="s">
        <v>13745</v>
      </c>
      <c r="AZ1055" s="3" t="s">
        <v>74</v>
      </c>
      <c r="BB1055" s="3" t="s">
        <v>13746</v>
      </c>
      <c r="BC1055" s="3" t="s">
        <v>13747</v>
      </c>
      <c r="BD1055" s="3" t="s">
        <v>13748</v>
      </c>
    </row>
    <row r="1056" spans="1:56" ht="45.75" customHeight="1" x14ac:dyDescent="0.25">
      <c r="A1056" s="7" t="s">
        <v>58</v>
      </c>
      <c r="B1056" s="2" t="s">
        <v>13749</v>
      </c>
      <c r="C1056" s="2" t="s">
        <v>13750</v>
      </c>
      <c r="D1056" s="2" t="s">
        <v>13751</v>
      </c>
      <c r="F1056" s="3" t="s">
        <v>58</v>
      </c>
      <c r="G1056" s="3" t="s">
        <v>59</v>
      </c>
      <c r="H1056" s="3" t="s">
        <v>58</v>
      </c>
      <c r="I1056" s="3" t="s">
        <v>58</v>
      </c>
      <c r="J1056" s="3" t="s">
        <v>60</v>
      </c>
      <c r="L1056" s="2" t="s">
        <v>13752</v>
      </c>
      <c r="M1056" s="3" t="s">
        <v>629</v>
      </c>
      <c r="O1056" s="3" t="s">
        <v>65</v>
      </c>
      <c r="P1056" s="3" t="s">
        <v>336</v>
      </c>
      <c r="R1056" s="3" t="s">
        <v>67</v>
      </c>
      <c r="S1056" s="4">
        <v>4</v>
      </c>
      <c r="T1056" s="4">
        <v>4</v>
      </c>
      <c r="U1056" s="5" t="s">
        <v>13753</v>
      </c>
      <c r="V1056" s="5" t="s">
        <v>13753</v>
      </c>
      <c r="W1056" s="5" t="s">
        <v>1906</v>
      </c>
      <c r="X1056" s="5" t="s">
        <v>1906</v>
      </c>
      <c r="Y1056" s="4">
        <v>289</v>
      </c>
      <c r="Z1056" s="4">
        <v>235</v>
      </c>
      <c r="AA1056" s="4">
        <v>243</v>
      </c>
      <c r="AB1056" s="4">
        <v>3</v>
      </c>
      <c r="AC1056" s="4">
        <v>3</v>
      </c>
      <c r="AD1056" s="4">
        <v>15</v>
      </c>
      <c r="AE1056" s="4">
        <v>15</v>
      </c>
      <c r="AF1056" s="4">
        <v>5</v>
      </c>
      <c r="AG1056" s="4">
        <v>5</v>
      </c>
      <c r="AH1056" s="4">
        <v>4</v>
      </c>
      <c r="AI1056" s="4">
        <v>4</v>
      </c>
      <c r="AJ1056" s="4">
        <v>7</v>
      </c>
      <c r="AK1056" s="4">
        <v>7</v>
      </c>
      <c r="AL1056" s="4">
        <v>2</v>
      </c>
      <c r="AM1056" s="4">
        <v>2</v>
      </c>
      <c r="AN1056" s="4">
        <v>1</v>
      </c>
      <c r="AO1056" s="4">
        <v>1</v>
      </c>
      <c r="AP1056" s="3" t="s">
        <v>58</v>
      </c>
      <c r="AQ1056" s="3" t="s">
        <v>87</v>
      </c>
      <c r="AR1056" s="6" t="str">
        <f>HYPERLINK("http://catalog.hathitrust.org/Record/002954395","HathiTrust Record")</f>
        <v>HathiTrust Record</v>
      </c>
      <c r="AS1056" s="6" t="str">
        <f>HYPERLINK("https://creighton-primo.hosted.exlibrisgroup.com/primo-explore/search?tab=default_tab&amp;search_scope=EVERYTHING&amp;vid=01CRU&amp;lang=en_US&amp;offset=0&amp;query=any,contains,991002346029702656","Catalog Record")</f>
        <v>Catalog Record</v>
      </c>
      <c r="AT1056" s="6" t="str">
        <f>HYPERLINK("http://www.worldcat.org/oclc/30544790","WorldCat Record")</f>
        <v>WorldCat Record</v>
      </c>
      <c r="AU1056" s="3" t="s">
        <v>13754</v>
      </c>
      <c r="AV1056" s="3" t="s">
        <v>13755</v>
      </c>
      <c r="AW1056" s="3" t="s">
        <v>13756</v>
      </c>
      <c r="AX1056" s="3" t="s">
        <v>13756</v>
      </c>
      <c r="AY1056" s="3" t="s">
        <v>13757</v>
      </c>
      <c r="AZ1056" s="3" t="s">
        <v>74</v>
      </c>
      <c r="BB1056" s="3" t="s">
        <v>13758</v>
      </c>
      <c r="BC1056" s="3" t="s">
        <v>13759</v>
      </c>
      <c r="BD1056" s="3" t="s">
        <v>13760</v>
      </c>
    </row>
    <row r="1057" spans="1:56" ht="45.75" customHeight="1" x14ac:dyDescent="0.25">
      <c r="A1057" s="7" t="s">
        <v>58</v>
      </c>
      <c r="B1057" s="2" t="s">
        <v>13761</v>
      </c>
      <c r="C1057" s="2" t="s">
        <v>13762</v>
      </c>
      <c r="D1057" s="2" t="s">
        <v>13763</v>
      </c>
      <c r="F1057" s="3" t="s">
        <v>58</v>
      </c>
      <c r="G1057" s="3" t="s">
        <v>59</v>
      </c>
      <c r="H1057" s="3" t="s">
        <v>58</v>
      </c>
      <c r="I1057" s="3" t="s">
        <v>58</v>
      </c>
      <c r="J1057" s="3" t="s">
        <v>60</v>
      </c>
      <c r="L1057" s="2" t="s">
        <v>13764</v>
      </c>
      <c r="M1057" s="3" t="s">
        <v>335</v>
      </c>
      <c r="O1057" s="3" t="s">
        <v>65</v>
      </c>
      <c r="P1057" s="3" t="s">
        <v>4857</v>
      </c>
      <c r="R1057" s="3" t="s">
        <v>67</v>
      </c>
      <c r="S1057" s="4">
        <v>1</v>
      </c>
      <c r="T1057" s="4">
        <v>1</v>
      </c>
      <c r="U1057" s="5" t="s">
        <v>13765</v>
      </c>
      <c r="V1057" s="5" t="s">
        <v>13765</v>
      </c>
      <c r="W1057" s="5" t="s">
        <v>13765</v>
      </c>
      <c r="X1057" s="5" t="s">
        <v>13765</v>
      </c>
      <c r="Y1057" s="4">
        <v>156</v>
      </c>
      <c r="Z1057" s="4">
        <v>129</v>
      </c>
      <c r="AA1057" s="4">
        <v>153</v>
      </c>
      <c r="AB1057" s="4">
        <v>1</v>
      </c>
      <c r="AC1057" s="4">
        <v>1</v>
      </c>
      <c r="AD1057" s="4">
        <v>4</v>
      </c>
      <c r="AE1057" s="4">
        <v>5</v>
      </c>
      <c r="AF1057" s="4">
        <v>0</v>
      </c>
      <c r="AG1057" s="4">
        <v>1</v>
      </c>
      <c r="AH1057" s="4">
        <v>1</v>
      </c>
      <c r="AI1057" s="4">
        <v>1</v>
      </c>
      <c r="AJ1057" s="4">
        <v>4</v>
      </c>
      <c r="AK1057" s="4">
        <v>4</v>
      </c>
      <c r="AL1057" s="4">
        <v>0</v>
      </c>
      <c r="AM1057" s="4">
        <v>0</v>
      </c>
      <c r="AN1057" s="4">
        <v>0</v>
      </c>
      <c r="AO1057" s="4">
        <v>0</v>
      </c>
      <c r="AP1057" s="3" t="s">
        <v>58</v>
      </c>
      <c r="AQ1057" s="3" t="s">
        <v>87</v>
      </c>
      <c r="AR1057" s="6" t="str">
        <f>HYPERLINK("http://catalog.hathitrust.org/Record/009932555","HathiTrust Record")</f>
        <v>HathiTrust Record</v>
      </c>
      <c r="AS1057" s="6" t="str">
        <f>HYPERLINK("https://creighton-primo.hosted.exlibrisgroup.com/primo-explore/search?tab=default_tab&amp;search_scope=EVERYTHING&amp;vid=01CRU&amp;lang=en_US&amp;offset=0&amp;query=any,contains,991005383369702656","Catalog Record")</f>
        <v>Catalog Record</v>
      </c>
      <c r="AT1057" s="6" t="str">
        <f>HYPERLINK("http://www.worldcat.org/oclc/426391201","WorldCat Record")</f>
        <v>WorldCat Record</v>
      </c>
      <c r="AU1057" s="3" t="s">
        <v>13766</v>
      </c>
      <c r="AV1057" s="3" t="s">
        <v>13767</v>
      </c>
      <c r="AW1057" s="3" t="s">
        <v>13768</v>
      </c>
      <c r="AX1057" s="3" t="s">
        <v>13768</v>
      </c>
      <c r="AY1057" s="3" t="s">
        <v>13769</v>
      </c>
      <c r="AZ1057" s="3" t="s">
        <v>74</v>
      </c>
      <c r="BB1057" s="3" t="s">
        <v>13770</v>
      </c>
      <c r="BC1057" s="3" t="s">
        <v>13771</v>
      </c>
      <c r="BD1057" s="3" t="s">
        <v>13772</v>
      </c>
    </row>
    <row r="1058" spans="1:56" ht="45.75" customHeight="1" x14ac:dyDescent="0.25">
      <c r="A1058" s="7" t="s">
        <v>58</v>
      </c>
      <c r="B1058" s="2" t="s">
        <v>13773</v>
      </c>
      <c r="C1058" s="2" t="s">
        <v>13774</v>
      </c>
      <c r="D1058" s="2" t="s">
        <v>13775</v>
      </c>
      <c r="F1058" s="3" t="s">
        <v>58</v>
      </c>
      <c r="G1058" s="3" t="s">
        <v>59</v>
      </c>
      <c r="H1058" s="3" t="s">
        <v>58</v>
      </c>
      <c r="I1058" s="3" t="s">
        <v>58</v>
      </c>
      <c r="J1058" s="3" t="s">
        <v>60</v>
      </c>
      <c r="L1058" s="2" t="s">
        <v>13776</v>
      </c>
      <c r="M1058" s="3" t="s">
        <v>867</v>
      </c>
      <c r="O1058" s="3" t="s">
        <v>65</v>
      </c>
      <c r="P1058" s="3" t="s">
        <v>101</v>
      </c>
      <c r="R1058" s="3" t="s">
        <v>67</v>
      </c>
      <c r="S1058" s="4">
        <v>4</v>
      </c>
      <c r="T1058" s="4">
        <v>4</v>
      </c>
      <c r="U1058" s="5" t="s">
        <v>3765</v>
      </c>
      <c r="V1058" s="5" t="s">
        <v>3765</v>
      </c>
      <c r="W1058" s="5" t="s">
        <v>13777</v>
      </c>
      <c r="X1058" s="5" t="s">
        <v>13777</v>
      </c>
      <c r="Y1058" s="4">
        <v>85</v>
      </c>
      <c r="Z1058" s="4">
        <v>21</v>
      </c>
      <c r="AA1058" s="4">
        <v>28</v>
      </c>
      <c r="AB1058" s="4">
        <v>1</v>
      </c>
      <c r="AC1058" s="4">
        <v>1</v>
      </c>
      <c r="AD1058" s="4">
        <v>0</v>
      </c>
      <c r="AE1058" s="4">
        <v>0</v>
      </c>
      <c r="AF1058" s="4">
        <v>0</v>
      </c>
      <c r="AG1058" s="4">
        <v>0</v>
      </c>
      <c r="AH1058" s="4">
        <v>0</v>
      </c>
      <c r="AI1058" s="4">
        <v>0</v>
      </c>
      <c r="AJ1058" s="4">
        <v>0</v>
      </c>
      <c r="AK1058" s="4">
        <v>0</v>
      </c>
      <c r="AL1058" s="4">
        <v>0</v>
      </c>
      <c r="AM1058" s="4">
        <v>0</v>
      </c>
      <c r="AN1058" s="4">
        <v>0</v>
      </c>
      <c r="AO1058" s="4">
        <v>0</v>
      </c>
      <c r="AP1058" s="3" t="s">
        <v>58</v>
      </c>
      <c r="AQ1058" s="3" t="s">
        <v>87</v>
      </c>
      <c r="AR1058" s="6" t="str">
        <f>HYPERLINK("http://catalog.hathitrust.org/Record/009807522","HathiTrust Record")</f>
        <v>HathiTrust Record</v>
      </c>
      <c r="AS1058" s="6" t="str">
        <f>HYPERLINK("https://creighton-primo.hosted.exlibrisgroup.com/primo-explore/search?tab=default_tab&amp;search_scope=EVERYTHING&amp;vid=01CRU&amp;lang=en_US&amp;offset=0&amp;query=any,contains,991002113599702656","Catalog Record")</f>
        <v>Catalog Record</v>
      </c>
      <c r="AT1058" s="6" t="str">
        <f>HYPERLINK("http://www.worldcat.org/oclc/27072058","WorldCat Record")</f>
        <v>WorldCat Record</v>
      </c>
      <c r="AU1058" s="3" t="s">
        <v>13778</v>
      </c>
      <c r="AV1058" s="3" t="s">
        <v>13779</v>
      </c>
      <c r="AW1058" s="3" t="s">
        <v>13780</v>
      </c>
      <c r="AX1058" s="3" t="s">
        <v>13780</v>
      </c>
      <c r="AY1058" s="3" t="s">
        <v>13781</v>
      </c>
      <c r="AZ1058" s="3" t="s">
        <v>74</v>
      </c>
      <c r="BB1058" s="3" t="s">
        <v>13782</v>
      </c>
      <c r="BC1058" s="3" t="s">
        <v>13783</v>
      </c>
      <c r="BD1058" s="3" t="s">
        <v>13784</v>
      </c>
    </row>
    <row r="1059" spans="1:56" ht="45.75" customHeight="1" x14ac:dyDescent="0.25">
      <c r="A1059" s="7" t="s">
        <v>58</v>
      </c>
      <c r="B1059" s="2" t="s">
        <v>13785</v>
      </c>
      <c r="C1059" s="2" t="s">
        <v>13786</v>
      </c>
      <c r="D1059" s="2" t="s">
        <v>13787</v>
      </c>
      <c r="F1059" s="3" t="s">
        <v>58</v>
      </c>
      <c r="G1059" s="3" t="s">
        <v>59</v>
      </c>
      <c r="H1059" s="3" t="s">
        <v>58</v>
      </c>
      <c r="I1059" s="3" t="s">
        <v>58</v>
      </c>
      <c r="J1059" s="3" t="s">
        <v>60</v>
      </c>
      <c r="K1059" s="2" t="s">
        <v>13788</v>
      </c>
      <c r="L1059" s="2" t="s">
        <v>13789</v>
      </c>
      <c r="M1059" s="3" t="s">
        <v>307</v>
      </c>
      <c r="O1059" s="3" t="s">
        <v>65</v>
      </c>
      <c r="P1059" s="3" t="s">
        <v>132</v>
      </c>
      <c r="R1059" s="3" t="s">
        <v>67</v>
      </c>
      <c r="S1059" s="4">
        <v>17</v>
      </c>
      <c r="T1059" s="4">
        <v>17</v>
      </c>
      <c r="U1059" s="5" t="s">
        <v>3723</v>
      </c>
      <c r="V1059" s="5" t="s">
        <v>3723</v>
      </c>
      <c r="W1059" s="5" t="s">
        <v>13790</v>
      </c>
      <c r="X1059" s="5" t="s">
        <v>13790</v>
      </c>
      <c r="Y1059" s="4">
        <v>225</v>
      </c>
      <c r="Z1059" s="4">
        <v>181</v>
      </c>
      <c r="AA1059" s="4">
        <v>185</v>
      </c>
      <c r="AB1059" s="4">
        <v>3</v>
      </c>
      <c r="AC1059" s="4">
        <v>3</v>
      </c>
      <c r="AD1059" s="4">
        <v>10</v>
      </c>
      <c r="AE1059" s="4">
        <v>10</v>
      </c>
      <c r="AF1059" s="4">
        <v>3</v>
      </c>
      <c r="AG1059" s="4">
        <v>3</v>
      </c>
      <c r="AH1059" s="4">
        <v>1</v>
      </c>
      <c r="AI1059" s="4">
        <v>1</v>
      </c>
      <c r="AJ1059" s="4">
        <v>5</v>
      </c>
      <c r="AK1059" s="4">
        <v>5</v>
      </c>
      <c r="AL1059" s="4">
        <v>2</v>
      </c>
      <c r="AM1059" s="4">
        <v>2</v>
      </c>
      <c r="AN1059" s="4">
        <v>1</v>
      </c>
      <c r="AO1059" s="4">
        <v>1</v>
      </c>
      <c r="AP1059" s="3" t="s">
        <v>58</v>
      </c>
      <c r="AQ1059" s="3" t="s">
        <v>58</v>
      </c>
      <c r="AS1059" s="6" t="str">
        <f>HYPERLINK("https://creighton-primo.hosted.exlibrisgroup.com/primo-explore/search?tab=default_tab&amp;search_scope=EVERYTHING&amp;vid=01CRU&amp;lang=en_US&amp;offset=0&amp;query=any,contains,991002357129702656","Catalog Record")</f>
        <v>Catalog Record</v>
      </c>
      <c r="AT1059" s="6" t="str">
        <f>HYPERLINK("http://www.worldcat.org/oclc/30667404","WorldCat Record")</f>
        <v>WorldCat Record</v>
      </c>
      <c r="AU1059" s="3" t="s">
        <v>13791</v>
      </c>
      <c r="AV1059" s="3" t="s">
        <v>13792</v>
      </c>
      <c r="AW1059" s="3" t="s">
        <v>13793</v>
      </c>
      <c r="AX1059" s="3" t="s">
        <v>13793</v>
      </c>
      <c r="AY1059" s="3" t="s">
        <v>13794</v>
      </c>
      <c r="AZ1059" s="3" t="s">
        <v>74</v>
      </c>
      <c r="BB1059" s="3" t="s">
        <v>13795</v>
      </c>
      <c r="BC1059" s="3" t="s">
        <v>13796</v>
      </c>
      <c r="BD1059" s="3" t="s">
        <v>13797</v>
      </c>
    </row>
    <row r="1060" spans="1:56" ht="45.75" customHeight="1" x14ac:dyDescent="0.25">
      <c r="A1060" s="7" t="s">
        <v>58</v>
      </c>
      <c r="B1060" s="2" t="s">
        <v>13798</v>
      </c>
      <c r="C1060" s="2" t="s">
        <v>13799</v>
      </c>
      <c r="D1060" s="2" t="s">
        <v>13800</v>
      </c>
      <c r="F1060" s="3" t="s">
        <v>58</v>
      </c>
      <c r="G1060" s="3" t="s">
        <v>59</v>
      </c>
      <c r="H1060" s="3" t="s">
        <v>58</v>
      </c>
      <c r="I1060" s="3" t="s">
        <v>58</v>
      </c>
      <c r="J1060" s="3" t="s">
        <v>60</v>
      </c>
      <c r="K1060" s="2" t="s">
        <v>13801</v>
      </c>
      <c r="L1060" s="2" t="s">
        <v>13802</v>
      </c>
      <c r="M1060" s="3" t="s">
        <v>263</v>
      </c>
      <c r="N1060" s="2" t="s">
        <v>390</v>
      </c>
      <c r="O1060" s="3" t="s">
        <v>65</v>
      </c>
      <c r="P1060" s="3" t="s">
        <v>66</v>
      </c>
      <c r="R1060" s="3" t="s">
        <v>67</v>
      </c>
      <c r="S1060" s="4">
        <v>10</v>
      </c>
      <c r="T1060" s="4">
        <v>10</v>
      </c>
      <c r="U1060" s="5" t="s">
        <v>13702</v>
      </c>
      <c r="V1060" s="5" t="s">
        <v>13702</v>
      </c>
      <c r="W1060" s="5" t="s">
        <v>13803</v>
      </c>
      <c r="X1060" s="5" t="s">
        <v>13803</v>
      </c>
      <c r="Y1060" s="4">
        <v>272</v>
      </c>
      <c r="Z1060" s="4">
        <v>250</v>
      </c>
      <c r="AA1060" s="4">
        <v>1445</v>
      </c>
      <c r="AB1060" s="4">
        <v>2</v>
      </c>
      <c r="AC1060" s="4">
        <v>12</v>
      </c>
      <c r="AD1060" s="4">
        <v>13</v>
      </c>
      <c r="AE1060" s="4">
        <v>56</v>
      </c>
      <c r="AF1060" s="4">
        <v>3</v>
      </c>
      <c r="AG1060" s="4">
        <v>17</v>
      </c>
      <c r="AH1060" s="4">
        <v>4</v>
      </c>
      <c r="AI1060" s="4">
        <v>10</v>
      </c>
      <c r="AJ1060" s="4">
        <v>7</v>
      </c>
      <c r="AK1060" s="4">
        <v>19</v>
      </c>
      <c r="AL1060" s="4">
        <v>1</v>
      </c>
      <c r="AM1060" s="4">
        <v>11</v>
      </c>
      <c r="AN1060" s="4">
        <v>2</v>
      </c>
      <c r="AO1060" s="4">
        <v>7</v>
      </c>
      <c r="AP1060" s="3" t="s">
        <v>58</v>
      </c>
      <c r="AQ1060" s="3" t="s">
        <v>87</v>
      </c>
      <c r="AR1060" s="6" t="str">
        <f>HYPERLINK("http://catalog.hathitrust.org/Record/003091781","HathiTrust Record")</f>
        <v>HathiTrust Record</v>
      </c>
      <c r="AS1060" s="6" t="str">
        <f>HYPERLINK("https://creighton-primo.hosted.exlibrisgroup.com/primo-explore/search?tab=default_tab&amp;search_scope=EVERYTHING&amp;vid=01CRU&amp;lang=en_US&amp;offset=0&amp;query=any,contains,991002682749702656","Catalog Record")</f>
        <v>Catalog Record</v>
      </c>
      <c r="AT1060" s="6" t="str">
        <f>HYPERLINK("http://www.worldcat.org/oclc/35049597","WorldCat Record")</f>
        <v>WorldCat Record</v>
      </c>
      <c r="AU1060" s="3" t="s">
        <v>13804</v>
      </c>
      <c r="AV1060" s="3" t="s">
        <v>13805</v>
      </c>
      <c r="AW1060" s="3" t="s">
        <v>13806</v>
      </c>
      <c r="AX1060" s="3" t="s">
        <v>13806</v>
      </c>
      <c r="AY1060" s="3" t="s">
        <v>13807</v>
      </c>
      <c r="AZ1060" s="3" t="s">
        <v>74</v>
      </c>
      <c r="BB1060" s="3" t="s">
        <v>13808</v>
      </c>
      <c r="BC1060" s="3" t="s">
        <v>13809</v>
      </c>
      <c r="BD1060" s="3" t="s">
        <v>13810</v>
      </c>
    </row>
    <row r="1061" spans="1:56" ht="45.75" customHeight="1" x14ac:dyDescent="0.25">
      <c r="A1061" s="7" t="s">
        <v>58</v>
      </c>
      <c r="B1061" s="2" t="s">
        <v>13811</v>
      </c>
      <c r="C1061" s="2" t="s">
        <v>13812</v>
      </c>
      <c r="D1061" s="2" t="s">
        <v>13813</v>
      </c>
      <c r="F1061" s="3" t="s">
        <v>58</v>
      </c>
      <c r="G1061" s="3" t="s">
        <v>59</v>
      </c>
      <c r="H1061" s="3" t="s">
        <v>58</v>
      </c>
      <c r="I1061" s="3" t="s">
        <v>58</v>
      </c>
      <c r="J1061" s="3" t="s">
        <v>60</v>
      </c>
      <c r="K1061" s="2" t="s">
        <v>13814</v>
      </c>
      <c r="L1061" s="2" t="s">
        <v>13815</v>
      </c>
      <c r="M1061" s="3" t="s">
        <v>2324</v>
      </c>
      <c r="O1061" s="3" t="s">
        <v>65</v>
      </c>
      <c r="P1061" s="3" t="s">
        <v>66</v>
      </c>
      <c r="R1061" s="3" t="s">
        <v>67</v>
      </c>
      <c r="S1061" s="4">
        <v>35</v>
      </c>
      <c r="T1061" s="4">
        <v>35</v>
      </c>
      <c r="U1061" s="5" t="s">
        <v>13816</v>
      </c>
      <c r="V1061" s="5" t="s">
        <v>13816</v>
      </c>
      <c r="W1061" s="5" t="s">
        <v>9575</v>
      </c>
      <c r="X1061" s="5" t="s">
        <v>9575</v>
      </c>
      <c r="Y1061" s="4">
        <v>285</v>
      </c>
      <c r="Z1061" s="4">
        <v>257</v>
      </c>
      <c r="AA1061" s="4">
        <v>299</v>
      </c>
      <c r="AB1061" s="4">
        <v>4</v>
      </c>
      <c r="AC1061" s="4">
        <v>4</v>
      </c>
      <c r="AD1061" s="4">
        <v>19</v>
      </c>
      <c r="AE1061" s="4">
        <v>20</v>
      </c>
      <c r="AF1061" s="4">
        <v>6</v>
      </c>
      <c r="AG1061" s="4">
        <v>6</v>
      </c>
      <c r="AH1061" s="4">
        <v>5</v>
      </c>
      <c r="AI1061" s="4">
        <v>5</v>
      </c>
      <c r="AJ1061" s="4">
        <v>9</v>
      </c>
      <c r="AK1061" s="4">
        <v>9</v>
      </c>
      <c r="AL1061" s="4">
        <v>2</v>
      </c>
      <c r="AM1061" s="4">
        <v>2</v>
      </c>
      <c r="AN1061" s="4">
        <v>3</v>
      </c>
      <c r="AO1061" s="4">
        <v>4</v>
      </c>
      <c r="AP1061" s="3" t="s">
        <v>58</v>
      </c>
      <c r="AQ1061" s="3" t="s">
        <v>58</v>
      </c>
      <c r="AS1061" s="6" t="str">
        <f>HYPERLINK("https://creighton-primo.hosted.exlibrisgroup.com/primo-explore/search?tab=default_tab&amp;search_scope=EVERYTHING&amp;vid=01CRU&amp;lang=en_US&amp;offset=0&amp;query=any,contains,991000087719702656","Catalog Record")</f>
        <v>Catalog Record</v>
      </c>
      <c r="AT1061" s="6" t="str">
        <f>HYPERLINK("http://www.worldcat.org/oclc/8866702","WorldCat Record")</f>
        <v>WorldCat Record</v>
      </c>
      <c r="AU1061" s="3" t="s">
        <v>13817</v>
      </c>
      <c r="AV1061" s="3" t="s">
        <v>13818</v>
      </c>
      <c r="AW1061" s="3" t="s">
        <v>13819</v>
      </c>
      <c r="AX1061" s="3" t="s">
        <v>13819</v>
      </c>
      <c r="AY1061" s="3" t="s">
        <v>13820</v>
      </c>
      <c r="AZ1061" s="3" t="s">
        <v>74</v>
      </c>
      <c r="BB1061" s="3" t="s">
        <v>13821</v>
      </c>
      <c r="BC1061" s="3" t="s">
        <v>13822</v>
      </c>
      <c r="BD1061" s="3" t="s">
        <v>13823</v>
      </c>
    </row>
    <row r="1062" spans="1:56" ht="45.75" customHeight="1" x14ac:dyDescent="0.25">
      <c r="A1062" s="7" t="s">
        <v>58</v>
      </c>
      <c r="B1062" s="2" t="s">
        <v>13824</v>
      </c>
      <c r="C1062" s="2" t="s">
        <v>13825</v>
      </c>
      <c r="D1062" s="2" t="s">
        <v>13826</v>
      </c>
      <c r="F1062" s="3" t="s">
        <v>58</v>
      </c>
      <c r="G1062" s="3" t="s">
        <v>59</v>
      </c>
      <c r="H1062" s="3" t="s">
        <v>58</v>
      </c>
      <c r="I1062" s="3" t="s">
        <v>58</v>
      </c>
      <c r="J1062" s="3" t="s">
        <v>60</v>
      </c>
      <c r="L1062" s="2" t="s">
        <v>13827</v>
      </c>
      <c r="M1062" s="3" t="s">
        <v>1088</v>
      </c>
      <c r="O1062" s="3" t="s">
        <v>65</v>
      </c>
      <c r="P1062" s="3" t="s">
        <v>336</v>
      </c>
      <c r="R1062" s="3" t="s">
        <v>67</v>
      </c>
      <c r="S1062" s="4">
        <v>9</v>
      </c>
      <c r="T1062" s="4">
        <v>9</v>
      </c>
      <c r="U1062" s="5" t="s">
        <v>13816</v>
      </c>
      <c r="V1062" s="5" t="s">
        <v>13816</v>
      </c>
      <c r="W1062" s="5" t="s">
        <v>11348</v>
      </c>
      <c r="X1062" s="5" t="s">
        <v>11348</v>
      </c>
      <c r="Y1062" s="4">
        <v>506</v>
      </c>
      <c r="Z1062" s="4">
        <v>450</v>
      </c>
      <c r="AA1062" s="4">
        <v>470</v>
      </c>
      <c r="AB1062" s="4">
        <v>4</v>
      </c>
      <c r="AC1062" s="4">
        <v>5</v>
      </c>
      <c r="AD1062" s="4">
        <v>27</v>
      </c>
      <c r="AE1062" s="4">
        <v>29</v>
      </c>
      <c r="AF1062" s="4">
        <v>9</v>
      </c>
      <c r="AG1062" s="4">
        <v>10</v>
      </c>
      <c r="AH1062" s="4">
        <v>7</v>
      </c>
      <c r="AI1062" s="4">
        <v>7</v>
      </c>
      <c r="AJ1062" s="4">
        <v>15</v>
      </c>
      <c r="AK1062" s="4">
        <v>16</v>
      </c>
      <c r="AL1062" s="4">
        <v>2</v>
      </c>
      <c r="AM1062" s="4">
        <v>3</v>
      </c>
      <c r="AN1062" s="4">
        <v>2</v>
      </c>
      <c r="AO1062" s="4">
        <v>2</v>
      </c>
      <c r="AP1062" s="3" t="s">
        <v>58</v>
      </c>
      <c r="AQ1062" s="3" t="s">
        <v>58</v>
      </c>
      <c r="AS1062" s="6" t="str">
        <f>HYPERLINK("https://creighton-primo.hosted.exlibrisgroup.com/primo-explore/search?tab=default_tab&amp;search_scope=EVERYTHING&amp;vid=01CRU&amp;lang=en_US&amp;offset=0&amp;query=any,contains,991000519119702656","Catalog Record")</f>
        <v>Catalog Record</v>
      </c>
      <c r="AT1062" s="6" t="str">
        <f>HYPERLINK("http://www.worldcat.org/oclc/11316243","WorldCat Record")</f>
        <v>WorldCat Record</v>
      </c>
      <c r="AU1062" s="3" t="s">
        <v>13828</v>
      </c>
      <c r="AV1062" s="3" t="s">
        <v>13829</v>
      </c>
      <c r="AW1062" s="3" t="s">
        <v>13830</v>
      </c>
      <c r="AX1062" s="3" t="s">
        <v>13830</v>
      </c>
      <c r="AY1062" s="3" t="s">
        <v>13831</v>
      </c>
      <c r="AZ1062" s="3" t="s">
        <v>74</v>
      </c>
      <c r="BB1062" s="3" t="s">
        <v>13832</v>
      </c>
      <c r="BC1062" s="3" t="s">
        <v>13833</v>
      </c>
      <c r="BD1062" s="3" t="s">
        <v>13834</v>
      </c>
    </row>
    <row r="1063" spans="1:56" ht="45.75" customHeight="1" x14ac:dyDescent="0.25">
      <c r="A1063" s="7" t="s">
        <v>58</v>
      </c>
      <c r="B1063" s="2" t="s">
        <v>13835</v>
      </c>
      <c r="C1063" s="2" t="s">
        <v>13836</v>
      </c>
      <c r="D1063" s="2" t="s">
        <v>13837</v>
      </c>
      <c r="F1063" s="3" t="s">
        <v>58</v>
      </c>
      <c r="G1063" s="3" t="s">
        <v>59</v>
      </c>
      <c r="H1063" s="3" t="s">
        <v>58</v>
      </c>
      <c r="I1063" s="3" t="s">
        <v>58</v>
      </c>
      <c r="J1063" s="3" t="s">
        <v>60</v>
      </c>
      <c r="L1063" s="2" t="s">
        <v>6037</v>
      </c>
      <c r="M1063" s="3" t="s">
        <v>1500</v>
      </c>
      <c r="O1063" s="3" t="s">
        <v>65</v>
      </c>
      <c r="P1063" s="3" t="s">
        <v>84</v>
      </c>
      <c r="R1063" s="3" t="s">
        <v>67</v>
      </c>
      <c r="S1063" s="4">
        <v>17</v>
      </c>
      <c r="T1063" s="4">
        <v>17</v>
      </c>
      <c r="U1063" s="5" t="s">
        <v>13838</v>
      </c>
      <c r="V1063" s="5" t="s">
        <v>13838</v>
      </c>
      <c r="W1063" s="5" t="s">
        <v>11348</v>
      </c>
      <c r="X1063" s="5" t="s">
        <v>11348</v>
      </c>
      <c r="Y1063" s="4">
        <v>400</v>
      </c>
      <c r="Z1063" s="4">
        <v>306</v>
      </c>
      <c r="AA1063" s="4">
        <v>307</v>
      </c>
      <c r="AB1063" s="4">
        <v>3</v>
      </c>
      <c r="AC1063" s="4">
        <v>3</v>
      </c>
      <c r="AD1063" s="4">
        <v>14</v>
      </c>
      <c r="AE1063" s="4">
        <v>14</v>
      </c>
      <c r="AF1063" s="4">
        <v>4</v>
      </c>
      <c r="AG1063" s="4">
        <v>4</v>
      </c>
      <c r="AH1063" s="4">
        <v>2</v>
      </c>
      <c r="AI1063" s="4">
        <v>2</v>
      </c>
      <c r="AJ1063" s="4">
        <v>6</v>
      </c>
      <c r="AK1063" s="4">
        <v>6</v>
      </c>
      <c r="AL1063" s="4">
        <v>2</v>
      </c>
      <c r="AM1063" s="4">
        <v>2</v>
      </c>
      <c r="AN1063" s="4">
        <v>2</v>
      </c>
      <c r="AO1063" s="4">
        <v>2</v>
      </c>
      <c r="AP1063" s="3" t="s">
        <v>58</v>
      </c>
      <c r="AQ1063" s="3" t="s">
        <v>58</v>
      </c>
      <c r="AS1063" s="6" t="str">
        <f>HYPERLINK("https://creighton-primo.hosted.exlibrisgroup.com/primo-explore/search?tab=default_tab&amp;search_scope=EVERYTHING&amp;vid=01CRU&amp;lang=en_US&amp;offset=0&amp;query=any,contains,991004798459702656","Catalog Record")</f>
        <v>Catalog Record</v>
      </c>
      <c r="AT1063" s="6" t="str">
        <f>HYPERLINK("http://www.worldcat.org/oclc/5196827","WorldCat Record")</f>
        <v>WorldCat Record</v>
      </c>
      <c r="AU1063" s="3" t="s">
        <v>13839</v>
      </c>
      <c r="AV1063" s="3" t="s">
        <v>13840</v>
      </c>
      <c r="AW1063" s="3" t="s">
        <v>13841</v>
      </c>
      <c r="AX1063" s="3" t="s">
        <v>13841</v>
      </c>
      <c r="AY1063" s="3" t="s">
        <v>13842</v>
      </c>
      <c r="AZ1063" s="3" t="s">
        <v>74</v>
      </c>
      <c r="BB1063" s="3" t="s">
        <v>13843</v>
      </c>
      <c r="BC1063" s="3" t="s">
        <v>13844</v>
      </c>
      <c r="BD1063" s="3" t="s">
        <v>13845</v>
      </c>
    </row>
    <row r="1064" spans="1:56" ht="45.75" customHeight="1" x14ac:dyDescent="0.25">
      <c r="A1064" s="7" t="s">
        <v>58</v>
      </c>
      <c r="B1064" s="2" t="s">
        <v>13846</v>
      </c>
      <c r="C1064" s="2" t="s">
        <v>13847</v>
      </c>
      <c r="D1064" s="2" t="s">
        <v>13848</v>
      </c>
      <c r="F1064" s="3" t="s">
        <v>58</v>
      </c>
      <c r="G1064" s="3" t="s">
        <v>59</v>
      </c>
      <c r="H1064" s="3" t="s">
        <v>58</v>
      </c>
      <c r="I1064" s="3" t="s">
        <v>58</v>
      </c>
      <c r="J1064" s="3" t="s">
        <v>60</v>
      </c>
      <c r="K1064" s="2" t="s">
        <v>13849</v>
      </c>
      <c r="L1064" s="2" t="s">
        <v>13850</v>
      </c>
      <c r="M1064" s="3" t="s">
        <v>1674</v>
      </c>
      <c r="O1064" s="3" t="s">
        <v>65</v>
      </c>
      <c r="P1064" s="3" t="s">
        <v>1224</v>
      </c>
      <c r="Q1064" s="2" t="s">
        <v>13851</v>
      </c>
      <c r="R1064" s="3" t="s">
        <v>67</v>
      </c>
      <c r="S1064" s="4">
        <v>1</v>
      </c>
      <c r="T1064" s="4">
        <v>1</v>
      </c>
      <c r="U1064" s="5" t="s">
        <v>3560</v>
      </c>
      <c r="V1064" s="5" t="s">
        <v>3560</v>
      </c>
      <c r="W1064" s="5" t="s">
        <v>9192</v>
      </c>
      <c r="X1064" s="5" t="s">
        <v>9192</v>
      </c>
      <c r="Y1064" s="4">
        <v>90</v>
      </c>
      <c r="Z1064" s="4">
        <v>72</v>
      </c>
      <c r="AA1064" s="4">
        <v>76</v>
      </c>
      <c r="AB1064" s="4">
        <v>1</v>
      </c>
      <c r="AC1064" s="4">
        <v>1</v>
      </c>
      <c r="AD1064" s="4">
        <v>3</v>
      </c>
      <c r="AE1064" s="4">
        <v>3</v>
      </c>
      <c r="AF1064" s="4">
        <v>0</v>
      </c>
      <c r="AG1064" s="4">
        <v>0</v>
      </c>
      <c r="AH1064" s="4">
        <v>0</v>
      </c>
      <c r="AI1064" s="4">
        <v>0</v>
      </c>
      <c r="AJ1064" s="4">
        <v>1</v>
      </c>
      <c r="AK1064" s="4">
        <v>1</v>
      </c>
      <c r="AL1064" s="4">
        <v>0</v>
      </c>
      <c r="AM1064" s="4">
        <v>0</v>
      </c>
      <c r="AN1064" s="4">
        <v>2</v>
      </c>
      <c r="AO1064" s="4">
        <v>2</v>
      </c>
      <c r="AP1064" s="3" t="s">
        <v>58</v>
      </c>
      <c r="AQ1064" s="3" t="s">
        <v>87</v>
      </c>
      <c r="AR1064" s="6" t="str">
        <f>HYPERLINK("http://catalog.hathitrust.org/Record/006751149","HathiTrust Record")</f>
        <v>HathiTrust Record</v>
      </c>
      <c r="AS1064" s="6" t="str">
        <f>HYPERLINK("https://creighton-primo.hosted.exlibrisgroup.com/primo-explore/search?tab=default_tab&amp;search_scope=EVERYTHING&amp;vid=01CRU&amp;lang=en_US&amp;offset=0&amp;query=any,contains,991000549369702656","Catalog Record")</f>
        <v>Catalog Record</v>
      </c>
      <c r="AT1064" s="6" t="str">
        <f>HYPERLINK("http://www.worldcat.org/oclc/92258","WorldCat Record")</f>
        <v>WorldCat Record</v>
      </c>
      <c r="AU1064" s="3" t="s">
        <v>13852</v>
      </c>
      <c r="AV1064" s="3" t="s">
        <v>13853</v>
      </c>
      <c r="AW1064" s="3" t="s">
        <v>13854</v>
      </c>
      <c r="AX1064" s="3" t="s">
        <v>13854</v>
      </c>
      <c r="AY1064" s="3" t="s">
        <v>13855</v>
      </c>
      <c r="AZ1064" s="3" t="s">
        <v>74</v>
      </c>
      <c r="BC1064" s="3" t="s">
        <v>13856</v>
      </c>
      <c r="BD1064" s="3" t="s">
        <v>13857</v>
      </c>
    </row>
    <row r="1065" spans="1:56" ht="45.75" customHeight="1" x14ac:dyDescent="0.25">
      <c r="A1065" s="7" t="s">
        <v>58</v>
      </c>
      <c r="B1065" s="2" t="s">
        <v>13858</v>
      </c>
      <c r="C1065" s="2" t="s">
        <v>13859</v>
      </c>
      <c r="D1065" s="2" t="s">
        <v>13860</v>
      </c>
      <c r="F1065" s="3" t="s">
        <v>58</v>
      </c>
      <c r="G1065" s="3" t="s">
        <v>59</v>
      </c>
      <c r="H1065" s="3" t="s">
        <v>58</v>
      </c>
      <c r="I1065" s="3" t="s">
        <v>58</v>
      </c>
      <c r="J1065" s="3" t="s">
        <v>60</v>
      </c>
      <c r="L1065" s="2" t="s">
        <v>13861</v>
      </c>
      <c r="M1065" s="3" t="s">
        <v>116</v>
      </c>
      <c r="N1065" s="2" t="s">
        <v>64</v>
      </c>
      <c r="O1065" s="3" t="s">
        <v>65</v>
      </c>
      <c r="P1065" s="3" t="s">
        <v>1224</v>
      </c>
      <c r="R1065" s="3" t="s">
        <v>67</v>
      </c>
      <c r="S1065" s="4">
        <v>9</v>
      </c>
      <c r="T1065" s="4">
        <v>9</v>
      </c>
      <c r="U1065" s="5" t="s">
        <v>13862</v>
      </c>
      <c r="V1065" s="5" t="s">
        <v>13862</v>
      </c>
      <c r="W1065" s="5" t="s">
        <v>5503</v>
      </c>
      <c r="X1065" s="5" t="s">
        <v>5503</v>
      </c>
      <c r="Y1065" s="4">
        <v>184</v>
      </c>
      <c r="Z1065" s="4">
        <v>156</v>
      </c>
      <c r="AA1065" s="4">
        <v>376</v>
      </c>
      <c r="AB1065" s="4">
        <v>1</v>
      </c>
      <c r="AC1065" s="4">
        <v>4</v>
      </c>
      <c r="AD1065" s="4">
        <v>4</v>
      </c>
      <c r="AE1065" s="4">
        <v>13</v>
      </c>
      <c r="AF1065" s="4">
        <v>2</v>
      </c>
      <c r="AG1065" s="4">
        <v>6</v>
      </c>
      <c r="AH1065" s="4">
        <v>1</v>
      </c>
      <c r="AI1065" s="4">
        <v>1</v>
      </c>
      <c r="AJ1065" s="4">
        <v>1</v>
      </c>
      <c r="AK1065" s="4">
        <v>2</v>
      </c>
      <c r="AL1065" s="4">
        <v>0</v>
      </c>
      <c r="AM1065" s="4">
        <v>3</v>
      </c>
      <c r="AN1065" s="4">
        <v>1</v>
      </c>
      <c r="AO1065" s="4">
        <v>2</v>
      </c>
      <c r="AP1065" s="3" t="s">
        <v>58</v>
      </c>
      <c r="AQ1065" s="3" t="s">
        <v>58</v>
      </c>
      <c r="AS1065" s="6" t="str">
        <f>HYPERLINK("https://creighton-primo.hosted.exlibrisgroup.com/primo-explore/search?tab=default_tab&amp;search_scope=EVERYTHING&amp;vid=01CRU&amp;lang=en_US&amp;offset=0&amp;query=any,contains,991002862429702656","Catalog Record")</f>
        <v>Catalog Record</v>
      </c>
      <c r="AT1065" s="6" t="str">
        <f>HYPERLINK("http://www.worldcat.org/oclc/37725503","WorldCat Record")</f>
        <v>WorldCat Record</v>
      </c>
      <c r="AU1065" s="3" t="s">
        <v>13863</v>
      </c>
      <c r="AV1065" s="3" t="s">
        <v>13864</v>
      </c>
      <c r="AW1065" s="3" t="s">
        <v>13865</v>
      </c>
      <c r="AX1065" s="3" t="s">
        <v>13865</v>
      </c>
      <c r="AY1065" s="3" t="s">
        <v>13866</v>
      </c>
      <c r="AZ1065" s="3" t="s">
        <v>74</v>
      </c>
      <c r="BB1065" s="3" t="s">
        <v>13867</v>
      </c>
      <c r="BC1065" s="3" t="s">
        <v>13868</v>
      </c>
      <c r="BD1065" s="3" t="s">
        <v>13869</v>
      </c>
    </row>
    <row r="1066" spans="1:56" ht="45.75" customHeight="1" x14ac:dyDescent="0.25">
      <c r="A1066" s="7" t="s">
        <v>58</v>
      </c>
      <c r="B1066" s="2" t="s">
        <v>13870</v>
      </c>
      <c r="C1066" s="2" t="s">
        <v>13871</v>
      </c>
      <c r="D1066" s="2" t="s">
        <v>13872</v>
      </c>
      <c r="F1066" s="3" t="s">
        <v>58</v>
      </c>
      <c r="G1066" s="3" t="s">
        <v>59</v>
      </c>
      <c r="H1066" s="3" t="s">
        <v>58</v>
      </c>
      <c r="I1066" s="3" t="s">
        <v>58</v>
      </c>
      <c r="J1066" s="3" t="s">
        <v>60</v>
      </c>
      <c r="K1066" s="2" t="s">
        <v>13873</v>
      </c>
      <c r="L1066" s="2" t="s">
        <v>13874</v>
      </c>
      <c r="M1066" s="3" t="s">
        <v>220</v>
      </c>
      <c r="O1066" s="3" t="s">
        <v>65</v>
      </c>
      <c r="P1066" s="3" t="s">
        <v>148</v>
      </c>
      <c r="Q1066" s="2" t="s">
        <v>13875</v>
      </c>
      <c r="R1066" s="3" t="s">
        <v>67</v>
      </c>
      <c r="S1066" s="4">
        <v>6</v>
      </c>
      <c r="T1066" s="4">
        <v>6</v>
      </c>
      <c r="U1066" s="5" t="s">
        <v>13876</v>
      </c>
      <c r="V1066" s="5" t="s">
        <v>13876</v>
      </c>
      <c r="W1066" s="5" t="s">
        <v>118</v>
      </c>
      <c r="X1066" s="5" t="s">
        <v>118</v>
      </c>
      <c r="Y1066" s="4">
        <v>641</v>
      </c>
      <c r="Z1066" s="4">
        <v>572</v>
      </c>
      <c r="AA1066" s="4">
        <v>585</v>
      </c>
      <c r="AB1066" s="4">
        <v>5</v>
      </c>
      <c r="AC1066" s="4">
        <v>5</v>
      </c>
      <c r="AD1066" s="4">
        <v>35</v>
      </c>
      <c r="AE1066" s="4">
        <v>35</v>
      </c>
      <c r="AF1066" s="4">
        <v>13</v>
      </c>
      <c r="AG1066" s="4">
        <v>13</v>
      </c>
      <c r="AH1066" s="4">
        <v>7</v>
      </c>
      <c r="AI1066" s="4">
        <v>7</v>
      </c>
      <c r="AJ1066" s="4">
        <v>15</v>
      </c>
      <c r="AK1066" s="4">
        <v>15</v>
      </c>
      <c r="AL1066" s="4">
        <v>4</v>
      </c>
      <c r="AM1066" s="4">
        <v>4</v>
      </c>
      <c r="AN1066" s="4">
        <v>2</v>
      </c>
      <c r="AO1066" s="4">
        <v>2</v>
      </c>
      <c r="AP1066" s="3" t="s">
        <v>58</v>
      </c>
      <c r="AQ1066" s="3" t="s">
        <v>58</v>
      </c>
      <c r="AS1066" s="6" t="str">
        <f>HYPERLINK("https://creighton-primo.hosted.exlibrisgroup.com/primo-explore/search?tab=default_tab&amp;search_scope=EVERYTHING&amp;vid=01CRU&amp;lang=en_US&amp;offset=0&amp;query=any,contains,991003283149702656","Catalog Record")</f>
        <v>Catalog Record</v>
      </c>
      <c r="AT1066" s="6" t="str">
        <f>HYPERLINK("http://www.worldcat.org/oclc/41017505","WorldCat Record")</f>
        <v>WorldCat Record</v>
      </c>
      <c r="AU1066" s="3" t="s">
        <v>13877</v>
      </c>
      <c r="AV1066" s="3" t="s">
        <v>13878</v>
      </c>
      <c r="AW1066" s="3" t="s">
        <v>13879</v>
      </c>
      <c r="AX1066" s="3" t="s">
        <v>13879</v>
      </c>
      <c r="AY1066" s="3" t="s">
        <v>13880</v>
      </c>
      <c r="AZ1066" s="3" t="s">
        <v>74</v>
      </c>
      <c r="BB1066" s="3" t="s">
        <v>13881</v>
      </c>
      <c r="BC1066" s="3" t="s">
        <v>13882</v>
      </c>
      <c r="BD1066" s="3" t="s">
        <v>13883</v>
      </c>
    </row>
    <row r="1067" spans="1:56" ht="45.75" customHeight="1" x14ac:dyDescent="0.25">
      <c r="A1067" s="7" t="s">
        <v>58</v>
      </c>
      <c r="B1067" s="2" t="s">
        <v>13884</v>
      </c>
      <c r="C1067" s="2" t="s">
        <v>13885</v>
      </c>
      <c r="D1067" s="2" t="s">
        <v>13886</v>
      </c>
      <c r="F1067" s="3" t="s">
        <v>58</v>
      </c>
      <c r="G1067" s="3" t="s">
        <v>59</v>
      </c>
      <c r="H1067" s="3" t="s">
        <v>58</v>
      </c>
      <c r="I1067" s="3" t="s">
        <v>58</v>
      </c>
      <c r="J1067" s="3" t="s">
        <v>60</v>
      </c>
      <c r="K1067" s="2" t="s">
        <v>13887</v>
      </c>
      <c r="L1067" s="2" t="s">
        <v>13888</v>
      </c>
      <c r="M1067" s="3" t="s">
        <v>629</v>
      </c>
      <c r="N1067" s="2" t="s">
        <v>390</v>
      </c>
      <c r="O1067" s="3" t="s">
        <v>65</v>
      </c>
      <c r="P1067" s="3" t="s">
        <v>1224</v>
      </c>
      <c r="R1067" s="3" t="s">
        <v>67</v>
      </c>
      <c r="S1067" s="4">
        <v>6</v>
      </c>
      <c r="T1067" s="4">
        <v>6</v>
      </c>
      <c r="U1067" s="5" t="s">
        <v>13889</v>
      </c>
      <c r="V1067" s="5" t="s">
        <v>13889</v>
      </c>
      <c r="W1067" s="5" t="s">
        <v>5503</v>
      </c>
      <c r="X1067" s="5" t="s">
        <v>5503</v>
      </c>
      <c r="Y1067" s="4">
        <v>181</v>
      </c>
      <c r="Z1067" s="4">
        <v>150</v>
      </c>
      <c r="AA1067" s="4">
        <v>375</v>
      </c>
      <c r="AB1067" s="4">
        <v>2</v>
      </c>
      <c r="AC1067" s="4">
        <v>5</v>
      </c>
      <c r="AD1067" s="4">
        <v>5</v>
      </c>
      <c r="AE1067" s="4">
        <v>19</v>
      </c>
      <c r="AF1067" s="4">
        <v>2</v>
      </c>
      <c r="AG1067" s="4">
        <v>9</v>
      </c>
      <c r="AH1067" s="4">
        <v>1</v>
      </c>
      <c r="AI1067" s="4">
        <v>3</v>
      </c>
      <c r="AJ1067" s="4">
        <v>2</v>
      </c>
      <c r="AK1067" s="4">
        <v>8</v>
      </c>
      <c r="AL1067" s="4">
        <v>1</v>
      </c>
      <c r="AM1067" s="4">
        <v>4</v>
      </c>
      <c r="AN1067" s="4">
        <v>0</v>
      </c>
      <c r="AO1067" s="4">
        <v>1</v>
      </c>
      <c r="AP1067" s="3" t="s">
        <v>58</v>
      </c>
      <c r="AQ1067" s="3" t="s">
        <v>58</v>
      </c>
      <c r="AS1067" s="6" t="str">
        <f>HYPERLINK("https://creighton-primo.hosted.exlibrisgroup.com/primo-explore/search?tab=default_tab&amp;search_scope=EVERYTHING&amp;vid=01CRU&amp;lang=en_US&amp;offset=0&amp;query=any,contains,991002292619702656","Catalog Record")</f>
        <v>Catalog Record</v>
      </c>
      <c r="AT1067" s="6" t="str">
        <f>HYPERLINK("http://www.worldcat.org/oclc/29704889","WorldCat Record")</f>
        <v>WorldCat Record</v>
      </c>
      <c r="AU1067" s="3" t="s">
        <v>13890</v>
      </c>
      <c r="AV1067" s="3" t="s">
        <v>13891</v>
      </c>
      <c r="AW1067" s="3" t="s">
        <v>13892</v>
      </c>
      <c r="AX1067" s="3" t="s">
        <v>13892</v>
      </c>
      <c r="AY1067" s="3" t="s">
        <v>13893</v>
      </c>
      <c r="AZ1067" s="3" t="s">
        <v>74</v>
      </c>
      <c r="BB1067" s="3" t="s">
        <v>13894</v>
      </c>
      <c r="BC1067" s="3" t="s">
        <v>13895</v>
      </c>
      <c r="BD1067" s="3" t="s">
        <v>13896</v>
      </c>
    </row>
    <row r="1068" spans="1:56" ht="45.75" customHeight="1" x14ac:dyDescent="0.25">
      <c r="A1068" s="7" t="s">
        <v>58</v>
      </c>
      <c r="B1068" s="2" t="s">
        <v>13897</v>
      </c>
      <c r="C1068" s="2" t="s">
        <v>13898</v>
      </c>
      <c r="D1068" s="2" t="s">
        <v>13899</v>
      </c>
      <c r="F1068" s="3" t="s">
        <v>58</v>
      </c>
      <c r="G1068" s="3" t="s">
        <v>59</v>
      </c>
      <c r="H1068" s="3" t="s">
        <v>58</v>
      </c>
      <c r="I1068" s="3" t="s">
        <v>58</v>
      </c>
      <c r="J1068" s="3" t="s">
        <v>60</v>
      </c>
      <c r="K1068" s="2" t="s">
        <v>13900</v>
      </c>
      <c r="L1068" s="2" t="s">
        <v>13901</v>
      </c>
      <c r="M1068" s="3" t="s">
        <v>1088</v>
      </c>
      <c r="O1068" s="3" t="s">
        <v>65</v>
      </c>
      <c r="P1068" s="3" t="s">
        <v>175</v>
      </c>
      <c r="Q1068" s="2" t="s">
        <v>13902</v>
      </c>
      <c r="R1068" s="3" t="s">
        <v>67</v>
      </c>
      <c r="S1068" s="4">
        <v>17</v>
      </c>
      <c r="T1068" s="4">
        <v>17</v>
      </c>
      <c r="U1068" s="5" t="s">
        <v>13889</v>
      </c>
      <c r="V1068" s="5" t="s">
        <v>13889</v>
      </c>
      <c r="W1068" s="5" t="s">
        <v>11348</v>
      </c>
      <c r="X1068" s="5" t="s">
        <v>11348</v>
      </c>
      <c r="Y1068" s="4">
        <v>455</v>
      </c>
      <c r="Z1068" s="4">
        <v>325</v>
      </c>
      <c r="AA1068" s="4">
        <v>329</v>
      </c>
      <c r="AB1068" s="4">
        <v>3</v>
      </c>
      <c r="AC1068" s="4">
        <v>3</v>
      </c>
      <c r="AD1068" s="4">
        <v>14</v>
      </c>
      <c r="AE1068" s="4">
        <v>14</v>
      </c>
      <c r="AF1068" s="4">
        <v>2</v>
      </c>
      <c r="AG1068" s="4">
        <v>2</v>
      </c>
      <c r="AH1068" s="4">
        <v>5</v>
      </c>
      <c r="AI1068" s="4">
        <v>5</v>
      </c>
      <c r="AJ1068" s="4">
        <v>7</v>
      </c>
      <c r="AK1068" s="4">
        <v>7</v>
      </c>
      <c r="AL1068" s="4">
        <v>2</v>
      </c>
      <c r="AM1068" s="4">
        <v>2</v>
      </c>
      <c r="AN1068" s="4">
        <v>1</v>
      </c>
      <c r="AO1068" s="4">
        <v>1</v>
      </c>
      <c r="AP1068" s="3" t="s">
        <v>58</v>
      </c>
      <c r="AQ1068" s="3" t="s">
        <v>58</v>
      </c>
      <c r="AS1068" s="6" t="str">
        <f>HYPERLINK("https://creighton-primo.hosted.exlibrisgroup.com/primo-explore/search?tab=default_tab&amp;search_scope=EVERYTHING&amp;vid=01CRU&amp;lang=en_US&amp;offset=0&amp;query=any,contains,991000636529702656","Catalog Record")</f>
        <v>Catalog Record</v>
      </c>
      <c r="AT1068" s="6" t="str">
        <f>HYPERLINK("http://www.worldcat.org/oclc/12081644","WorldCat Record")</f>
        <v>WorldCat Record</v>
      </c>
      <c r="AU1068" s="3" t="s">
        <v>13903</v>
      </c>
      <c r="AV1068" s="3" t="s">
        <v>13904</v>
      </c>
      <c r="AW1068" s="3" t="s">
        <v>13905</v>
      </c>
      <c r="AX1068" s="3" t="s">
        <v>13905</v>
      </c>
      <c r="AY1068" s="3" t="s">
        <v>13906</v>
      </c>
      <c r="AZ1068" s="3" t="s">
        <v>74</v>
      </c>
      <c r="BB1068" s="3" t="s">
        <v>13907</v>
      </c>
      <c r="BC1068" s="3" t="s">
        <v>13908</v>
      </c>
      <c r="BD1068" s="3" t="s">
        <v>13909</v>
      </c>
    </row>
    <row r="1069" spans="1:56" ht="45.75" customHeight="1" x14ac:dyDescent="0.25">
      <c r="A1069" s="7" t="s">
        <v>58</v>
      </c>
      <c r="B1069" s="2" t="s">
        <v>13910</v>
      </c>
      <c r="C1069" s="2" t="s">
        <v>13911</v>
      </c>
      <c r="D1069" s="2" t="s">
        <v>13912</v>
      </c>
      <c r="F1069" s="3" t="s">
        <v>58</v>
      </c>
      <c r="G1069" s="3" t="s">
        <v>59</v>
      </c>
      <c r="H1069" s="3" t="s">
        <v>58</v>
      </c>
      <c r="I1069" s="3" t="s">
        <v>58</v>
      </c>
      <c r="J1069" s="3" t="s">
        <v>60</v>
      </c>
      <c r="K1069" s="2" t="s">
        <v>13913</v>
      </c>
      <c r="L1069" s="2" t="s">
        <v>13914</v>
      </c>
      <c r="M1069" s="3" t="s">
        <v>1058</v>
      </c>
      <c r="O1069" s="3" t="s">
        <v>65</v>
      </c>
      <c r="P1069" s="3" t="s">
        <v>84</v>
      </c>
      <c r="R1069" s="3" t="s">
        <v>67</v>
      </c>
      <c r="S1069" s="4">
        <v>10</v>
      </c>
      <c r="T1069" s="4">
        <v>10</v>
      </c>
      <c r="U1069" s="5" t="s">
        <v>13915</v>
      </c>
      <c r="V1069" s="5" t="s">
        <v>13915</v>
      </c>
      <c r="W1069" s="5" t="s">
        <v>11348</v>
      </c>
      <c r="X1069" s="5" t="s">
        <v>11348</v>
      </c>
      <c r="Y1069" s="4">
        <v>162</v>
      </c>
      <c r="Z1069" s="4">
        <v>137</v>
      </c>
      <c r="AA1069" s="4">
        <v>723</v>
      </c>
      <c r="AB1069" s="4">
        <v>3</v>
      </c>
      <c r="AC1069" s="4">
        <v>5</v>
      </c>
      <c r="AD1069" s="4">
        <v>9</v>
      </c>
      <c r="AE1069" s="4">
        <v>36</v>
      </c>
      <c r="AF1069" s="4">
        <v>3</v>
      </c>
      <c r="AG1069" s="4">
        <v>17</v>
      </c>
      <c r="AH1069" s="4">
        <v>1</v>
      </c>
      <c r="AI1069" s="4">
        <v>6</v>
      </c>
      <c r="AJ1069" s="4">
        <v>2</v>
      </c>
      <c r="AK1069" s="4">
        <v>13</v>
      </c>
      <c r="AL1069" s="4">
        <v>2</v>
      </c>
      <c r="AM1069" s="4">
        <v>3</v>
      </c>
      <c r="AN1069" s="4">
        <v>2</v>
      </c>
      <c r="AO1069" s="4">
        <v>6</v>
      </c>
      <c r="AP1069" s="3" t="s">
        <v>58</v>
      </c>
      <c r="AQ1069" s="3" t="s">
        <v>58</v>
      </c>
      <c r="AS1069" s="6" t="str">
        <f>HYPERLINK("https://creighton-primo.hosted.exlibrisgroup.com/primo-explore/search?tab=default_tab&amp;search_scope=EVERYTHING&amp;vid=01CRU&amp;lang=en_US&amp;offset=0&amp;query=any,contains,991001314469702656","Catalog Record")</f>
        <v>Catalog Record</v>
      </c>
      <c r="AT1069" s="6" t="str">
        <f>HYPERLINK("http://www.worldcat.org/oclc/18165672","WorldCat Record")</f>
        <v>WorldCat Record</v>
      </c>
      <c r="AU1069" s="3" t="s">
        <v>13916</v>
      </c>
      <c r="AV1069" s="3" t="s">
        <v>13917</v>
      </c>
      <c r="AW1069" s="3" t="s">
        <v>13918</v>
      </c>
      <c r="AX1069" s="3" t="s">
        <v>13918</v>
      </c>
      <c r="AY1069" s="3" t="s">
        <v>13919</v>
      </c>
      <c r="AZ1069" s="3" t="s">
        <v>74</v>
      </c>
      <c r="BB1069" s="3" t="s">
        <v>13920</v>
      </c>
      <c r="BC1069" s="3" t="s">
        <v>13921</v>
      </c>
      <c r="BD1069" s="3" t="s">
        <v>13922</v>
      </c>
    </row>
    <row r="1070" spans="1:56" ht="45.75" customHeight="1" x14ac:dyDescent="0.25">
      <c r="A1070" s="7" t="s">
        <v>58</v>
      </c>
      <c r="B1070" s="2" t="s">
        <v>13923</v>
      </c>
      <c r="C1070" s="2" t="s">
        <v>13924</v>
      </c>
      <c r="D1070" s="2" t="s">
        <v>13925</v>
      </c>
      <c r="F1070" s="3" t="s">
        <v>58</v>
      </c>
      <c r="G1070" s="3" t="s">
        <v>59</v>
      </c>
      <c r="H1070" s="3" t="s">
        <v>58</v>
      </c>
      <c r="I1070" s="3" t="s">
        <v>58</v>
      </c>
      <c r="J1070" s="3" t="s">
        <v>60</v>
      </c>
      <c r="L1070" s="2" t="s">
        <v>13926</v>
      </c>
      <c r="M1070" s="3" t="s">
        <v>2324</v>
      </c>
      <c r="O1070" s="3" t="s">
        <v>65</v>
      </c>
      <c r="P1070" s="3" t="s">
        <v>175</v>
      </c>
      <c r="R1070" s="3" t="s">
        <v>67</v>
      </c>
      <c r="S1070" s="4">
        <v>18</v>
      </c>
      <c r="T1070" s="4">
        <v>18</v>
      </c>
      <c r="U1070" s="5" t="s">
        <v>13702</v>
      </c>
      <c r="V1070" s="5" t="s">
        <v>13702</v>
      </c>
      <c r="W1070" s="5" t="s">
        <v>11348</v>
      </c>
      <c r="X1070" s="5" t="s">
        <v>11348</v>
      </c>
      <c r="Y1070" s="4">
        <v>220</v>
      </c>
      <c r="Z1070" s="4">
        <v>163</v>
      </c>
      <c r="AA1070" s="4">
        <v>163</v>
      </c>
      <c r="AB1070" s="4">
        <v>2</v>
      </c>
      <c r="AC1070" s="4">
        <v>2</v>
      </c>
      <c r="AD1070" s="4">
        <v>5</v>
      </c>
      <c r="AE1070" s="4">
        <v>5</v>
      </c>
      <c r="AF1070" s="4">
        <v>2</v>
      </c>
      <c r="AG1070" s="4">
        <v>2</v>
      </c>
      <c r="AH1070" s="4">
        <v>2</v>
      </c>
      <c r="AI1070" s="4">
        <v>2</v>
      </c>
      <c r="AJ1070" s="4">
        <v>3</v>
      </c>
      <c r="AK1070" s="4">
        <v>3</v>
      </c>
      <c r="AL1070" s="4">
        <v>1</v>
      </c>
      <c r="AM1070" s="4">
        <v>1</v>
      </c>
      <c r="AN1070" s="4">
        <v>0</v>
      </c>
      <c r="AO1070" s="4">
        <v>0</v>
      </c>
      <c r="AP1070" s="3" t="s">
        <v>58</v>
      </c>
      <c r="AQ1070" s="3" t="s">
        <v>58</v>
      </c>
      <c r="AS1070" s="6" t="str">
        <f>HYPERLINK("https://creighton-primo.hosted.exlibrisgroup.com/primo-explore/search?tab=default_tab&amp;search_scope=EVERYTHING&amp;vid=01CRU&amp;lang=en_US&amp;offset=0&amp;query=any,contains,991000205119702656","Catalog Record")</f>
        <v>Catalog Record</v>
      </c>
      <c r="AT1070" s="6" t="str">
        <f>HYPERLINK("http://www.worldcat.org/oclc/9488675","WorldCat Record")</f>
        <v>WorldCat Record</v>
      </c>
      <c r="AU1070" s="3" t="s">
        <v>13927</v>
      </c>
      <c r="AV1070" s="3" t="s">
        <v>13928</v>
      </c>
      <c r="AW1070" s="3" t="s">
        <v>13929</v>
      </c>
      <c r="AX1070" s="3" t="s">
        <v>13929</v>
      </c>
      <c r="AY1070" s="3" t="s">
        <v>13930</v>
      </c>
      <c r="AZ1070" s="3" t="s">
        <v>74</v>
      </c>
      <c r="BB1070" s="3" t="s">
        <v>13931</v>
      </c>
      <c r="BC1070" s="3" t="s">
        <v>13932</v>
      </c>
      <c r="BD1070" s="3" t="s">
        <v>13933</v>
      </c>
    </row>
    <row r="1071" spans="1:56" ht="45.75" customHeight="1" x14ac:dyDescent="0.25">
      <c r="A1071" s="7" t="s">
        <v>58</v>
      </c>
      <c r="B1071" s="2" t="s">
        <v>13934</v>
      </c>
      <c r="C1071" s="2" t="s">
        <v>13935</v>
      </c>
      <c r="D1071" s="2" t="s">
        <v>13936</v>
      </c>
      <c r="F1071" s="3" t="s">
        <v>58</v>
      </c>
      <c r="G1071" s="3" t="s">
        <v>59</v>
      </c>
      <c r="H1071" s="3" t="s">
        <v>58</v>
      </c>
      <c r="I1071" s="3" t="s">
        <v>58</v>
      </c>
      <c r="J1071" s="3" t="s">
        <v>60</v>
      </c>
      <c r="K1071" s="2" t="s">
        <v>13937</v>
      </c>
      <c r="L1071" s="2" t="s">
        <v>13938</v>
      </c>
      <c r="M1071" s="3" t="s">
        <v>189</v>
      </c>
      <c r="O1071" s="3" t="s">
        <v>65</v>
      </c>
      <c r="P1071" s="3" t="s">
        <v>772</v>
      </c>
      <c r="Q1071" s="2" t="s">
        <v>13939</v>
      </c>
      <c r="R1071" s="3" t="s">
        <v>67</v>
      </c>
      <c r="S1071" s="4">
        <v>1</v>
      </c>
      <c r="T1071" s="4">
        <v>1</v>
      </c>
      <c r="U1071" s="5" t="s">
        <v>13940</v>
      </c>
      <c r="V1071" s="5" t="s">
        <v>13940</v>
      </c>
      <c r="W1071" s="5" t="s">
        <v>13940</v>
      </c>
      <c r="X1071" s="5" t="s">
        <v>13940</v>
      </c>
      <c r="Y1071" s="4">
        <v>743</v>
      </c>
      <c r="Z1071" s="4">
        <v>700</v>
      </c>
      <c r="AA1071" s="4">
        <v>794</v>
      </c>
      <c r="AB1071" s="4">
        <v>5</v>
      </c>
      <c r="AC1071" s="4">
        <v>5</v>
      </c>
      <c r="AD1071" s="4">
        <v>32</v>
      </c>
      <c r="AE1071" s="4">
        <v>34</v>
      </c>
      <c r="AF1071" s="4">
        <v>11</v>
      </c>
      <c r="AG1071" s="4">
        <v>12</v>
      </c>
      <c r="AH1071" s="4">
        <v>5</v>
      </c>
      <c r="AI1071" s="4">
        <v>6</v>
      </c>
      <c r="AJ1071" s="4">
        <v>16</v>
      </c>
      <c r="AK1071" s="4">
        <v>17</v>
      </c>
      <c r="AL1071" s="4">
        <v>4</v>
      </c>
      <c r="AM1071" s="4">
        <v>4</v>
      </c>
      <c r="AN1071" s="4">
        <v>3</v>
      </c>
      <c r="AO1071" s="4">
        <v>3</v>
      </c>
      <c r="AP1071" s="3" t="s">
        <v>58</v>
      </c>
      <c r="AQ1071" s="3" t="s">
        <v>58</v>
      </c>
      <c r="AS1071" s="6" t="str">
        <f>HYPERLINK("https://creighton-primo.hosted.exlibrisgroup.com/primo-explore/search?tab=default_tab&amp;search_scope=EVERYTHING&amp;vid=01CRU&amp;lang=en_US&amp;offset=0&amp;query=any,contains,991000044739702656","Catalog Record")</f>
        <v>Catalog Record</v>
      </c>
      <c r="AT1071" s="6" t="str">
        <f>HYPERLINK("http://www.worldcat.org/oclc/305419658","WorldCat Record")</f>
        <v>WorldCat Record</v>
      </c>
      <c r="AU1071" s="3" t="s">
        <v>13941</v>
      </c>
      <c r="AV1071" s="3" t="s">
        <v>13942</v>
      </c>
      <c r="AW1071" s="3" t="s">
        <v>13943</v>
      </c>
      <c r="AX1071" s="3" t="s">
        <v>13943</v>
      </c>
      <c r="AY1071" s="3" t="s">
        <v>13944</v>
      </c>
      <c r="AZ1071" s="3" t="s">
        <v>74</v>
      </c>
      <c r="BB1071" s="3" t="s">
        <v>13945</v>
      </c>
      <c r="BC1071" s="3" t="s">
        <v>13946</v>
      </c>
      <c r="BD1071" s="3" t="s">
        <v>13947</v>
      </c>
    </row>
    <row r="1072" spans="1:56" ht="45.75" customHeight="1" x14ac:dyDescent="0.25">
      <c r="A1072" s="7" t="s">
        <v>58</v>
      </c>
      <c r="B1072" s="2" t="s">
        <v>13948</v>
      </c>
      <c r="C1072" s="2" t="s">
        <v>13949</v>
      </c>
      <c r="D1072" s="2" t="s">
        <v>13950</v>
      </c>
      <c r="F1072" s="3" t="s">
        <v>58</v>
      </c>
      <c r="G1072" s="3" t="s">
        <v>59</v>
      </c>
      <c r="H1072" s="3" t="s">
        <v>58</v>
      </c>
      <c r="I1072" s="3" t="s">
        <v>58</v>
      </c>
      <c r="J1072" s="3" t="s">
        <v>60</v>
      </c>
      <c r="K1072" s="2" t="s">
        <v>13951</v>
      </c>
      <c r="L1072" s="2" t="s">
        <v>13952</v>
      </c>
      <c r="M1072" s="3" t="s">
        <v>147</v>
      </c>
      <c r="O1072" s="3" t="s">
        <v>65</v>
      </c>
      <c r="P1072" s="3" t="s">
        <v>132</v>
      </c>
      <c r="R1072" s="3" t="s">
        <v>67</v>
      </c>
      <c r="S1072" s="4">
        <v>4</v>
      </c>
      <c r="T1072" s="4">
        <v>4</v>
      </c>
      <c r="U1072" s="5" t="s">
        <v>8152</v>
      </c>
      <c r="V1072" s="5" t="s">
        <v>8152</v>
      </c>
      <c r="W1072" s="5" t="s">
        <v>13953</v>
      </c>
      <c r="X1072" s="5" t="s">
        <v>13953</v>
      </c>
      <c r="Y1072" s="4">
        <v>746</v>
      </c>
      <c r="Z1072" s="4">
        <v>721</v>
      </c>
      <c r="AA1072" s="4">
        <v>739</v>
      </c>
      <c r="AB1072" s="4">
        <v>5</v>
      </c>
      <c r="AC1072" s="4">
        <v>5</v>
      </c>
      <c r="AD1072" s="4">
        <v>20</v>
      </c>
      <c r="AE1072" s="4">
        <v>20</v>
      </c>
      <c r="AF1072" s="4">
        <v>7</v>
      </c>
      <c r="AG1072" s="4">
        <v>7</v>
      </c>
      <c r="AH1072" s="4">
        <v>5</v>
      </c>
      <c r="AI1072" s="4">
        <v>5</v>
      </c>
      <c r="AJ1072" s="4">
        <v>7</v>
      </c>
      <c r="AK1072" s="4">
        <v>7</v>
      </c>
      <c r="AL1072" s="4">
        <v>4</v>
      </c>
      <c r="AM1072" s="4">
        <v>4</v>
      </c>
      <c r="AN1072" s="4">
        <v>1</v>
      </c>
      <c r="AO1072" s="4">
        <v>1</v>
      </c>
      <c r="AP1072" s="3" t="s">
        <v>58</v>
      </c>
      <c r="AQ1072" s="3" t="s">
        <v>87</v>
      </c>
      <c r="AR1072" s="6" t="str">
        <f>HYPERLINK("http://catalog.hathitrust.org/Record/005080694","HathiTrust Record")</f>
        <v>HathiTrust Record</v>
      </c>
      <c r="AS1072" s="6" t="str">
        <f>HYPERLINK("https://creighton-primo.hosted.exlibrisgroup.com/primo-explore/search?tab=default_tab&amp;search_scope=EVERYTHING&amp;vid=01CRU&amp;lang=en_US&amp;offset=0&amp;query=any,contains,991004700599702656","Catalog Record")</f>
        <v>Catalog Record</v>
      </c>
      <c r="AT1072" s="6" t="str">
        <f>HYPERLINK("http://www.worldcat.org/oclc/56477728","WorldCat Record")</f>
        <v>WorldCat Record</v>
      </c>
      <c r="AU1072" s="3" t="s">
        <v>13954</v>
      </c>
      <c r="AV1072" s="3" t="s">
        <v>13955</v>
      </c>
      <c r="AW1072" s="3" t="s">
        <v>13956</v>
      </c>
      <c r="AX1072" s="3" t="s">
        <v>13956</v>
      </c>
      <c r="AY1072" s="3" t="s">
        <v>13957</v>
      </c>
      <c r="AZ1072" s="3" t="s">
        <v>74</v>
      </c>
      <c r="BB1072" s="3" t="s">
        <v>13958</v>
      </c>
      <c r="BC1072" s="3" t="s">
        <v>13959</v>
      </c>
      <c r="BD1072" s="3" t="s">
        <v>13960</v>
      </c>
    </row>
    <row r="1073" spans="1:56" ht="45.75" customHeight="1" x14ac:dyDescent="0.25">
      <c r="A1073" s="7" t="s">
        <v>58</v>
      </c>
      <c r="B1073" s="2" t="s">
        <v>13961</v>
      </c>
      <c r="C1073" s="2" t="s">
        <v>13962</v>
      </c>
      <c r="D1073" s="2" t="s">
        <v>13963</v>
      </c>
      <c r="F1073" s="3" t="s">
        <v>58</v>
      </c>
      <c r="G1073" s="3" t="s">
        <v>59</v>
      </c>
      <c r="H1073" s="3" t="s">
        <v>58</v>
      </c>
      <c r="I1073" s="3" t="s">
        <v>58</v>
      </c>
      <c r="J1073" s="3" t="s">
        <v>60</v>
      </c>
      <c r="L1073" s="2" t="s">
        <v>13964</v>
      </c>
      <c r="M1073" s="3" t="s">
        <v>131</v>
      </c>
      <c r="O1073" s="3" t="s">
        <v>65</v>
      </c>
      <c r="P1073" s="3" t="s">
        <v>8794</v>
      </c>
      <c r="Q1073" s="2" t="s">
        <v>13965</v>
      </c>
      <c r="R1073" s="3" t="s">
        <v>67</v>
      </c>
      <c r="S1073" s="4">
        <v>1</v>
      </c>
      <c r="T1073" s="4">
        <v>1</v>
      </c>
      <c r="U1073" s="5" t="s">
        <v>13966</v>
      </c>
      <c r="V1073" s="5" t="s">
        <v>13966</v>
      </c>
      <c r="W1073" s="5" t="s">
        <v>13966</v>
      </c>
      <c r="X1073" s="5" t="s">
        <v>13966</v>
      </c>
      <c r="Y1073" s="4">
        <v>479</v>
      </c>
      <c r="Z1073" s="4">
        <v>458</v>
      </c>
      <c r="AA1073" s="4">
        <v>705</v>
      </c>
      <c r="AB1073" s="4">
        <v>3</v>
      </c>
      <c r="AC1073" s="4">
        <v>5</v>
      </c>
      <c r="AD1073" s="4">
        <v>8</v>
      </c>
      <c r="AE1073" s="4">
        <v>18</v>
      </c>
      <c r="AF1073" s="4">
        <v>1</v>
      </c>
      <c r="AG1073" s="4">
        <v>6</v>
      </c>
      <c r="AH1073" s="4">
        <v>2</v>
      </c>
      <c r="AI1073" s="4">
        <v>4</v>
      </c>
      <c r="AJ1073" s="4">
        <v>4</v>
      </c>
      <c r="AK1073" s="4">
        <v>6</v>
      </c>
      <c r="AL1073" s="4">
        <v>2</v>
      </c>
      <c r="AM1073" s="4">
        <v>4</v>
      </c>
      <c r="AN1073" s="4">
        <v>1</v>
      </c>
      <c r="AO1073" s="4">
        <v>1</v>
      </c>
      <c r="AP1073" s="3" t="s">
        <v>58</v>
      </c>
      <c r="AQ1073" s="3" t="s">
        <v>58</v>
      </c>
      <c r="AS1073" s="6" t="str">
        <f>HYPERLINK("https://creighton-primo.hosted.exlibrisgroup.com/primo-explore/search?tab=default_tab&amp;search_scope=EVERYTHING&amp;vid=01CRU&amp;lang=en_US&amp;offset=0&amp;query=any,contains,991005173329702656","Catalog Record")</f>
        <v>Catalog Record</v>
      </c>
      <c r="AT1073" s="6" t="str">
        <f>HYPERLINK("http://www.worldcat.org/oclc/64596025","WorldCat Record")</f>
        <v>WorldCat Record</v>
      </c>
      <c r="AU1073" s="3" t="s">
        <v>13967</v>
      </c>
      <c r="AV1073" s="3" t="s">
        <v>13968</v>
      </c>
      <c r="AW1073" s="3" t="s">
        <v>13969</v>
      </c>
      <c r="AX1073" s="3" t="s">
        <v>13969</v>
      </c>
      <c r="AY1073" s="3" t="s">
        <v>13970</v>
      </c>
      <c r="AZ1073" s="3" t="s">
        <v>74</v>
      </c>
      <c r="BB1073" s="3" t="s">
        <v>13971</v>
      </c>
      <c r="BC1073" s="3" t="s">
        <v>13972</v>
      </c>
      <c r="BD1073" s="3" t="s">
        <v>13973</v>
      </c>
    </row>
    <row r="1074" spans="1:56" ht="45.75" customHeight="1" x14ac:dyDescent="0.25">
      <c r="A1074" s="7" t="s">
        <v>58</v>
      </c>
      <c r="B1074" s="2" t="s">
        <v>13974</v>
      </c>
      <c r="C1074" s="2" t="s">
        <v>13975</v>
      </c>
      <c r="D1074" s="2" t="s">
        <v>13976</v>
      </c>
      <c r="F1074" s="3" t="s">
        <v>58</v>
      </c>
      <c r="G1074" s="3" t="s">
        <v>59</v>
      </c>
      <c r="H1074" s="3" t="s">
        <v>58</v>
      </c>
      <c r="I1074" s="3" t="s">
        <v>58</v>
      </c>
      <c r="J1074" s="3" t="s">
        <v>60</v>
      </c>
      <c r="K1074" s="2" t="s">
        <v>13977</v>
      </c>
      <c r="L1074" s="2" t="s">
        <v>13978</v>
      </c>
      <c r="M1074" s="3" t="s">
        <v>1674</v>
      </c>
      <c r="O1074" s="3" t="s">
        <v>65</v>
      </c>
      <c r="P1074" s="3" t="s">
        <v>8794</v>
      </c>
      <c r="R1074" s="3" t="s">
        <v>67</v>
      </c>
      <c r="S1074" s="4">
        <v>2</v>
      </c>
      <c r="T1074" s="4">
        <v>2</v>
      </c>
      <c r="U1074" s="5" t="s">
        <v>13979</v>
      </c>
      <c r="V1074" s="5" t="s">
        <v>13979</v>
      </c>
      <c r="W1074" s="5" t="s">
        <v>9192</v>
      </c>
      <c r="X1074" s="5" t="s">
        <v>9192</v>
      </c>
      <c r="Y1074" s="4">
        <v>566</v>
      </c>
      <c r="Z1074" s="4">
        <v>528</v>
      </c>
      <c r="AA1074" s="4">
        <v>534</v>
      </c>
      <c r="AB1074" s="4">
        <v>6</v>
      </c>
      <c r="AC1074" s="4">
        <v>6</v>
      </c>
      <c r="AD1074" s="4">
        <v>21</v>
      </c>
      <c r="AE1074" s="4">
        <v>21</v>
      </c>
      <c r="AF1074" s="4">
        <v>4</v>
      </c>
      <c r="AG1074" s="4">
        <v>4</v>
      </c>
      <c r="AH1074" s="4">
        <v>2</v>
      </c>
      <c r="AI1074" s="4">
        <v>2</v>
      </c>
      <c r="AJ1074" s="4">
        <v>10</v>
      </c>
      <c r="AK1074" s="4">
        <v>10</v>
      </c>
      <c r="AL1074" s="4">
        <v>5</v>
      </c>
      <c r="AM1074" s="4">
        <v>5</v>
      </c>
      <c r="AN1074" s="4">
        <v>2</v>
      </c>
      <c r="AO1074" s="4">
        <v>2</v>
      </c>
      <c r="AP1074" s="3" t="s">
        <v>58</v>
      </c>
      <c r="AQ1074" s="3" t="s">
        <v>58</v>
      </c>
      <c r="AS1074" s="6" t="str">
        <f>HYPERLINK("https://creighton-primo.hosted.exlibrisgroup.com/primo-explore/search?tab=default_tab&amp;search_scope=EVERYTHING&amp;vid=01CRU&amp;lang=en_US&amp;offset=0&amp;query=any,contains,991000101719702656","Catalog Record")</f>
        <v>Catalog Record</v>
      </c>
      <c r="AT1074" s="6" t="str">
        <f>HYPERLINK("http://www.worldcat.org/oclc/44829","WorldCat Record")</f>
        <v>WorldCat Record</v>
      </c>
      <c r="AU1074" s="3" t="s">
        <v>13980</v>
      </c>
      <c r="AV1074" s="3" t="s">
        <v>13981</v>
      </c>
      <c r="AW1074" s="3" t="s">
        <v>13982</v>
      </c>
      <c r="AX1074" s="3" t="s">
        <v>13982</v>
      </c>
      <c r="AY1074" s="3" t="s">
        <v>13983</v>
      </c>
      <c r="AZ1074" s="3" t="s">
        <v>74</v>
      </c>
      <c r="BC1074" s="3" t="s">
        <v>13984</v>
      </c>
      <c r="BD1074" s="3" t="s">
        <v>13985</v>
      </c>
    </row>
    <row r="1075" spans="1:56" ht="45.75" customHeight="1" x14ac:dyDescent="0.25">
      <c r="A1075" s="7" t="s">
        <v>58</v>
      </c>
      <c r="B1075" s="2" t="s">
        <v>13986</v>
      </c>
      <c r="C1075" s="2" t="s">
        <v>13987</v>
      </c>
      <c r="D1075" s="2" t="s">
        <v>13988</v>
      </c>
      <c r="F1075" s="3" t="s">
        <v>58</v>
      </c>
      <c r="G1075" s="3" t="s">
        <v>59</v>
      </c>
      <c r="H1075" s="3" t="s">
        <v>58</v>
      </c>
      <c r="I1075" s="3" t="s">
        <v>58</v>
      </c>
      <c r="J1075" s="3" t="s">
        <v>60</v>
      </c>
      <c r="K1075" s="2" t="s">
        <v>13989</v>
      </c>
      <c r="L1075" s="2" t="s">
        <v>13990</v>
      </c>
      <c r="M1075" s="3" t="s">
        <v>1544</v>
      </c>
      <c r="O1075" s="3" t="s">
        <v>65</v>
      </c>
      <c r="P1075" s="3" t="s">
        <v>336</v>
      </c>
      <c r="R1075" s="3" t="s">
        <v>67</v>
      </c>
      <c r="S1075" s="4">
        <v>3</v>
      </c>
      <c r="T1075" s="4">
        <v>3</v>
      </c>
      <c r="U1075" s="5" t="s">
        <v>1486</v>
      </c>
      <c r="V1075" s="5" t="s">
        <v>1486</v>
      </c>
      <c r="W1075" s="5" t="s">
        <v>13991</v>
      </c>
      <c r="X1075" s="5" t="s">
        <v>13991</v>
      </c>
      <c r="Y1075" s="4">
        <v>287</v>
      </c>
      <c r="Z1075" s="4">
        <v>246</v>
      </c>
      <c r="AA1075" s="4">
        <v>370</v>
      </c>
      <c r="AB1075" s="4">
        <v>5</v>
      </c>
      <c r="AC1075" s="4">
        <v>6</v>
      </c>
      <c r="AD1075" s="4">
        <v>10</v>
      </c>
      <c r="AE1075" s="4">
        <v>14</v>
      </c>
      <c r="AF1075" s="4">
        <v>1</v>
      </c>
      <c r="AG1075" s="4">
        <v>3</v>
      </c>
      <c r="AH1075" s="4">
        <v>2</v>
      </c>
      <c r="AI1075" s="4">
        <v>3</v>
      </c>
      <c r="AJ1075" s="4">
        <v>3</v>
      </c>
      <c r="AK1075" s="4">
        <v>3</v>
      </c>
      <c r="AL1075" s="4">
        <v>3</v>
      </c>
      <c r="AM1075" s="4">
        <v>4</v>
      </c>
      <c r="AN1075" s="4">
        <v>2</v>
      </c>
      <c r="AO1075" s="4">
        <v>2</v>
      </c>
      <c r="AP1075" s="3" t="s">
        <v>58</v>
      </c>
      <c r="AQ1075" s="3" t="s">
        <v>87</v>
      </c>
      <c r="AR1075" s="6" t="str">
        <f>HYPERLINK("http://catalog.hathitrust.org/Record/006750621","HathiTrust Record")</f>
        <v>HathiTrust Record</v>
      </c>
      <c r="AS1075" s="6" t="str">
        <f>HYPERLINK("https://creighton-primo.hosted.exlibrisgroup.com/primo-explore/search?tab=default_tab&amp;search_scope=EVERYTHING&amp;vid=01CRU&amp;lang=en_US&amp;offset=0&amp;query=any,contains,991000842769702656","Catalog Record")</f>
        <v>Catalog Record</v>
      </c>
      <c r="AT1075" s="6" t="str">
        <f>HYPERLINK("http://www.worldcat.org/oclc/148820","WorldCat Record")</f>
        <v>WorldCat Record</v>
      </c>
      <c r="AU1075" s="3" t="s">
        <v>13992</v>
      </c>
      <c r="AV1075" s="3" t="s">
        <v>13993</v>
      </c>
      <c r="AW1075" s="3" t="s">
        <v>13994</v>
      </c>
      <c r="AX1075" s="3" t="s">
        <v>13994</v>
      </c>
      <c r="AY1075" s="3" t="s">
        <v>13995</v>
      </c>
      <c r="AZ1075" s="3" t="s">
        <v>74</v>
      </c>
      <c r="BB1075" s="3" t="s">
        <v>13996</v>
      </c>
      <c r="BC1075" s="3" t="s">
        <v>13997</v>
      </c>
      <c r="BD1075" s="3" t="s">
        <v>13998</v>
      </c>
    </row>
    <row r="1076" spans="1:56" ht="45.75" customHeight="1" x14ac:dyDescent="0.25">
      <c r="A1076" s="7" t="s">
        <v>58</v>
      </c>
      <c r="B1076" s="2" t="s">
        <v>13999</v>
      </c>
      <c r="C1076" s="2" t="s">
        <v>14000</v>
      </c>
      <c r="D1076" s="2" t="s">
        <v>14001</v>
      </c>
      <c r="F1076" s="3" t="s">
        <v>58</v>
      </c>
      <c r="G1076" s="3" t="s">
        <v>59</v>
      </c>
      <c r="H1076" s="3" t="s">
        <v>58</v>
      </c>
      <c r="I1076" s="3" t="s">
        <v>58</v>
      </c>
      <c r="J1076" s="3" t="s">
        <v>60</v>
      </c>
      <c r="K1076" s="2" t="s">
        <v>14002</v>
      </c>
      <c r="L1076" s="2" t="s">
        <v>14003</v>
      </c>
      <c r="M1076" s="3" t="s">
        <v>290</v>
      </c>
      <c r="O1076" s="3" t="s">
        <v>65</v>
      </c>
      <c r="P1076" s="3" t="s">
        <v>587</v>
      </c>
      <c r="R1076" s="3" t="s">
        <v>67</v>
      </c>
      <c r="S1076" s="4">
        <v>2</v>
      </c>
      <c r="T1076" s="4">
        <v>2</v>
      </c>
      <c r="U1076" s="5" t="s">
        <v>14004</v>
      </c>
      <c r="V1076" s="5" t="s">
        <v>14004</v>
      </c>
      <c r="W1076" s="5" t="s">
        <v>14005</v>
      </c>
      <c r="X1076" s="5" t="s">
        <v>14005</v>
      </c>
      <c r="Y1076" s="4">
        <v>387</v>
      </c>
      <c r="Z1076" s="4">
        <v>339</v>
      </c>
      <c r="AA1076" s="4">
        <v>351</v>
      </c>
      <c r="AB1076" s="4">
        <v>2</v>
      </c>
      <c r="AC1076" s="4">
        <v>2</v>
      </c>
      <c r="AD1076" s="4">
        <v>16</v>
      </c>
      <c r="AE1076" s="4">
        <v>16</v>
      </c>
      <c r="AF1076" s="4">
        <v>6</v>
      </c>
      <c r="AG1076" s="4">
        <v>6</v>
      </c>
      <c r="AH1076" s="4">
        <v>4</v>
      </c>
      <c r="AI1076" s="4">
        <v>4</v>
      </c>
      <c r="AJ1076" s="4">
        <v>8</v>
      </c>
      <c r="AK1076" s="4">
        <v>8</v>
      </c>
      <c r="AL1076" s="4">
        <v>1</v>
      </c>
      <c r="AM1076" s="4">
        <v>1</v>
      </c>
      <c r="AN1076" s="4">
        <v>1</v>
      </c>
      <c r="AO1076" s="4">
        <v>1</v>
      </c>
      <c r="AP1076" s="3" t="s">
        <v>58</v>
      </c>
      <c r="AQ1076" s="3" t="s">
        <v>58</v>
      </c>
      <c r="AS1076" s="6" t="str">
        <f>HYPERLINK("https://creighton-primo.hosted.exlibrisgroup.com/primo-explore/search?tab=default_tab&amp;search_scope=EVERYTHING&amp;vid=01CRU&amp;lang=en_US&amp;offset=0&amp;query=any,contains,991003653219702656","Catalog Record")</f>
        <v>Catalog Record</v>
      </c>
      <c r="AT1076" s="6" t="str">
        <f>HYPERLINK("http://www.worldcat.org/oclc/45100317","WorldCat Record")</f>
        <v>WorldCat Record</v>
      </c>
      <c r="AU1076" s="3" t="s">
        <v>14006</v>
      </c>
      <c r="AV1076" s="3" t="s">
        <v>14007</v>
      </c>
      <c r="AW1076" s="3" t="s">
        <v>14008</v>
      </c>
      <c r="AX1076" s="3" t="s">
        <v>14008</v>
      </c>
      <c r="AY1076" s="3" t="s">
        <v>14009</v>
      </c>
      <c r="AZ1076" s="3" t="s">
        <v>74</v>
      </c>
      <c r="BB1076" s="3" t="s">
        <v>14010</v>
      </c>
      <c r="BC1076" s="3" t="s">
        <v>14011</v>
      </c>
      <c r="BD1076" s="3" t="s">
        <v>14012</v>
      </c>
    </row>
    <row r="1077" spans="1:56" ht="45.75" customHeight="1" x14ac:dyDescent="0.25">
      <c r="A1077" s="7" t="s">
        <v>58</v>
      </c>
      <c r="B1077" s="2" t="s">
        <v>14013</v>
      </c>
      <c r="C1077" s="2" t="s">
        <v>14014</v>
      </c>
      <c r="D1077" s="2" t="s">
        <v>14015</v>
      </c>
      <c r="F1077" s="3" t="s">
        <v>58</v>
      </c>
      <c r="G1077" s="3" t="s">
        <v>59</v>
      </c>
      <c r="H1077" s="3" t="s">
        <v>58</v>
      </c>
      <c r="I1077" s="3" t="s">
        <v>58</v>
      </c>
      <c r="J1077" s="3" t="s">
        <v>60</v>
      </c>
      <c r="K1077" s="2" t="s">
        <v>14016</v>
      </c>
      <c r="L1077" s="2" t="s">
        <v>14017</v>
      </c>
      <c r="M1077" s="3" t="s">
        <v>131</v>
      </c>
      <c r="O1077" s="3" t="s">
        <v>65</v>
      </c>
      <c r="P1077" s="3" t="s">
        <v>1282</v>
      </c>
      <c r="Q1077" s="2" t="s">
        <v>14018</v>
      </c>
      <c r="R1077" s="3" t="s">
        <v>67</v>
      </c>
      <c r="S1077" s="4">
        <v>1</v>
      </c>
      <c r="T1077" s="4">
        <v>1</v>
      </c>
      <c r="U1077" s="5" t="s">
        <v>14019</v>
      </c>
      <c r="V1077" s="5" t="s">
        <v>14019</v>
      </c>
      <c r="W1077" s="5" t="s">
        <v>14019</v>
      </c>
      <c r="X1077" s="5" t="s">
        <v>14019</v>
      </c>
      <c r="Y1077" s="4">
        <v>162</v>
      </c>
      <c r="Z1077" s="4">
        <v>154</v>
      </c>
      <c r="AA1077" s="4">
        <v>159</v>
      </c>
      <c r="AB1077" s="4">
        <v>1</v>
      </c>
      <c r="AC1077" s="4">
        <v>1</v>
      </c>
      <c r="AD1077" s="4">
        <v>3</v>
      </c>
      <c r="AE1077" s="4">
        <v>3</v>
      </c>
      <c r="AF1077" s="4">
        <v>1</v>
      </c>
      <c r="AG1077" s="4">
        <v>1</v>
      </c>
      <c r="AH1077" s="4">
        <v>0</v>
      </c>
      <c r="AI1077" s="4">
        <v>0</v>
      </c>
      <c r="AJ1077" s="4">
        <v>3</v>
      </c>
      <c r="AK1077" s="4">
        <v>3</v>
      </c>
      <c r="AL1077" s="4">
        <v>0</v>
      </c>
      <c r="AM1077" s="4">
        <v>0</v>
      </c>
      <c r="AN1077" s="4">
        <v>0</v>
      </c>
      <c r="AO1077" s="4">
        <v>0</v>
      </c>
      <c r="AP1077" s="3" t="s">
        <v>58</v>
      </c>
      <c r="AQ1077" s="3" t="s">
        <v>58</v>
      </c>
      <c r="AS1077" s="6" t="str">
        <f>HYPERLINK("https://creighton-primo.hosted.exlibrisgroup.com/primo-explore/search?tab=default_tab&amp;search_scope=EVERYTHING&amp;vid=01CRU&amp;lang=en_US&amp;offset=0&amp;query=any,contains,991004993949702656","Catalog Record")</f>
        <v>Catalog Record</v>
      </c>
      <c r="AT1077" s="6" t="str">
        <f>HYPERLINK("http://www.worldcat.org/oclc/68694022","WorldCat Record")</f>
        <v>WorldCat Record</v>
      </c>
      <c r="AU1077" s="3" t="s">
        <v>14020</v>
      </c>
      <c r="AV1077" s="3" t="s">
        <v>14021</v>
      </c>
      <c r="AW1077" s="3" t="s">
        <v>14022</v>
      </c>
      <c r="AX1077" s="3" t="s">
        <v>14022</v>
      </c>
      <c r="AY1077" s="3" t="s">
        <v>14023</v>
      </c>
      <c r="AZ1077" s="3" t="s">
        <v>74</v>
      </c>
      <c r="BB1077" s="3" t="s">
        <v>14024</v>
      </c>
      <c r="BC1077" s="3" t="s">
        <v>14025</v>
      </c>
      <c r="BD1077" s="3" t="s">
        <v>14026</v>
      </c>
    </row>
    <row r="1078" spans="1:56" ht="45.75" customHeight="1" x14ac:dyDescent="0.25">
      <c r="A1078" s="7" t="s">
        <v>58</v>
      </c>
      <c r="B1078" s="2" t="s">
        <v>14027</v>
      </c>
      <c r="C1078" s="2" t="s">
        <v>14028</v>
      </c>
      <c r="D1078" s="2" t="s">
        <v>14029</v>
      </c>
      <c r="F1078" s="3" t="s">
        <v>58</v>
      </c>
      <c r="G1078" s="3" t="s">
        <v>59</v>
      </c>
      <c r="H1078" s="3" t="s">
        <v>58</v>
      </c>
      <c r="I1078" s="3" t="s">
        <v>58</v>
      </c>
      <c r="J1078" s="3" t="s">
        <v>60</v>
      </c>
      <c r="K1078" s="2" t="s">
        <v>14030</v>
      </c>
      <c r="L1078" s="2" t="s">
        <v>14031</v>
      </c>
      <c r="M1078" s="3" t="s">
        <v>100</v>
      </c>
      <c r="O1078" s="3" t="s">
        <v>65</v>
      </c>
      <c r="P1078" s="3" t="s">
        <v>587</v>
      </c>
      <c r="Q1078" s="2" t="s">
        <v>14032</v>
      </c>
      <c r="R1078" s="3" t="s">
        <v>67</v>
      </c>
      <c r="S1078" s="4">
        <v>18</v>
      </c>
      <c r="T1078" s="4">
        <v>18</v>
      </c>
      <c r="U1078" s="5" t="s">
        <v>9986</v>
      </c>
      <c r="V1078" s="5" t="s">
        <v>9986</v>
      </c>
      <c r="W1078" s="5" t="s">
        <v>4176</v>
      </c>
      <c r="X1078" s="5" t="s">
        <v>4176</v>
      </c>
      <c r="Y1078" s="4">
        <v>1040</v>
      </c>
      <c r="Z1078" s="4">
        <v>947</v>
      </c>
      <c r="AA1078" s="4">
        <v>949</v>
      </c>
      <c r="AB1078" s="4">
        <v>7</v>
      </c>
      <c r="AC1078" s="4">
        <v>7</v>
      </c>
      <c r="AD1078" s="4">
        <v>33</v>
      </c>
      <c r="AE1078" s="4">
        <v>33</v>
      </c>
      <c r="AF1078" s="4">
        <v>10</v>
      </c>
      <c r="AG1078" s="4">
        <v>10</v>
      </c>
      <c r="AH1078" s="4">
        <v>5</v>
      </c>
      <c r="AI1078" s="4">
        <v>5</v>
      </c>
      <c r="AJ1078" s="4">
        <v>14</v>
      </c>
      <c r="AK1078" s="4">
        <v>14</v>
      </c>
      <c r="AL1078" s="4">
        <v>4</v>
      </c>
      <c r="AM1078" s="4">
        <v>4</v>
      </c>
      <c r="AN1078" s="4">
        <v>6</v>
      </c>
      <c r="AO1078" s="4">
        <v>6</v>
      </c>
      <c r="AP1078" s="3" t="s">
        <v>58</v>
      </c>
      <c r="AQ1078" s="3" t="s">
        <v>58</v>
      </c>
      <c r="AS1078" s="6" t="str">
        <f>HYPERLINK("https://creighton-primo.hosted.exlibrisgroup.com/primo-explore/search?tab=default_tab&amp;search_scope=EVERYTHING&amp;vid=01CRU&amp;lang=en_US&amp;offset=0&amp;query=any,contains,991003527709702656","Catalog Record")</f>
        <v>Catalog Record</v>
      </c>
      <c r="AT1078" s="6" t="str">
        <f>HYPERLINK("http://www.worldcat.org/oclc/1091610","WorldCat Record")</f>
        <v>WorldCat Record</v>
      </c>
      <c r="AU1078" s="3" t="s">
        <v>14033</v>
      </c>
      <c r="AV1078" s="3" t="s">
        <v>14034</v>
      </c>
      <c r="AW1078" s="3" t="s">
        <v>14035</v>
      </c>
      <c r="AX1078" s="3" t="s">
        <v>14035</v>
      </c>
      <c r="AY1078" s="3" t="s">
        <v>14036</v>
      </c>
      <c r="AZ1078" s="3" t="s">
        <v>74</v>
      </c>
      <c r="BB1078" s="3" t="s">
        <v>14037</v>
      </c>
      <c r="BC1078" s="3" t="s">
        <v>14038</v>
      </c>
      <c r="BD1078" s="3" t="s">
        <v>14039</v>
      </c>
    </row>
    <row r="1079" spans="1:56" ht="45.75" customHeight="1" x14ac:dyDescent="0.25">
      <c r="A1079" s="7" t="s">
        <v>58</v>
      </c>
      <c r="B1079" s="2" t="s">
        <v>14040</v>
      </c>
      <c r="C1079" s="2" t="s">
        <v>14041</v>
      </c>
      <c r="D1079" s="2" t="s">
        <v>14042</v>
      </c>
      <c r="F1079" s="3" t="s">
        <v>58</v>
      </c>
      <c r="G1079" s="3" t="s">
        <v>59</v>
      </c>
      <c r="H1079" s="3" t="s">
        <v>58</v>
      </c>
      <c r="I1079" s="3" t="s">
        <v>58</v>
      </c>
      <c r="J1079" s="3" t="s">
        <v>60</v>
      </c>
      <c r="K1079" s="2" t="s">
        <v>14043</v>
      </c>
      <c r="L1079" s="2" t="s">
        <v>14044</v>
      </c>
      <c r="M1079" s="3" t="s">
        <v>147</v>
      </c>
      <c r="O1079" s="3" t="s">
        <v>65</v>
      </c>
      <c r="P1079" s="3" t="s">
        <v>84</v>
      </c>
      <c r="R1079" s="3" t="s">
        <v>67</v>
      </c>
      <c r="S1079" s="4">
        <v>1</v>
      </c>
      <c r="T1079" s="4">
        <v>1</v>
      </c>
      <c r="U1079" s="5" t="s">
        <v>5570</v>
      </c>
      <c r="V1079" s="5" t="s">
        <v>5570</v>
      </c>
      <c r="W1079" s="5" t="s">
        <v>5570</v>
      </c>
      <c r="X1079" s="5" t="s">
        <v>5570</v>
      </c>
      <c r="Y1079" s="4">
        <v>803</v>
      </c>
      <c r="Z1079" s="4">
        <v>741</v>
      </c>
      <c r="AA1079" s="4">
        <v>1152</v>
      </c>
      <c r="AB1079" s="4">
        <v>3</v>
      </c>
      <c r="AC1079" s="4">
        <v>32</v>
      </c>
      <c r="AD1079" s="4">
        <v>33</v>
      </c>
      <c r="AE1079" s="4">
        <v>49</v>
      </c>
      <c r="AF1079" s="4">
        <v>13</v>
      </c>
      <c r="AG1079" s="4">
        <v>16</v>
      </c>
      <c r="AH1079" s="4">
        <v>9</v>
      </c>
      <c r="AI1079" s="4">
        <v>9</v>
      </c>
      <c r="AJ1079" s="4">
        <v>16</v>
      </c>
      <c r="AK1079" s="4">
        <v>18</v>
      </c>
      <c r="AL1079" s="4">
        <v>2</v>
      </c>
      <c r="AM1079" s="4">
        <v>13</v>
      </c>
      <c r="AN1079" s="4">
        <v>1</v>
      </c>
      <c r="AO1079" s="4">
        <v>1</v>
      </c>
      <c r="AP1079" s="3" t="s">
        <v>58</v>
      </c>
      <c r="AQ1079" s="3" t="s">
        <v>58</v>
      </c>
      <c r="AS1079" s="6" t="str">
        <f>HYPERLINK("https://creighton-primo.hosted.exlibrisgroup.com/primo-explore/search?tab=default_tab&amp;search_scope=EVERYTHING&amp;vid=01CRU&amp;lang=en_US&amp;offset=0&amp;query=any,contains,991004788689702656","Catalog Record")</f>
        <v>Catalog Record</v>
      </c>
      <c r="AT1079" s="6" t="str">
        <f>HYPERLINK("http://www.worldcat.org/oclc/52838709","WorldCat Record")</f>
        <v>WorldCat Record</v>
      </c>
      <c r="AU1079" s="3" t="s">
        <v>14045</v>
      </c>
      <c r="AV1079" s="3" t="s">
        <v>14046</v>
      </c>
      <c r="AW1079" s="3" t="s">
        <v>14047</v>
      </c>
      <c r="AX1079" s="3" t="s">
        <v>14047</v>
      </c>
      <c r="AY1079" s="3" t="s">
        <v>14048</v>
      </c>
      <c r="AZ1079" s="3" t="s">
        <v>74</v>
      </c>
      <c r="BB1079" s="3" t="s">
        <v>14049</v>
      </c>
      <c r="BC1079" s="3" t="s">
        <v>14050</v>
      </c>
      <c r="BD1079" s="3" t="s">
        <v>14051</v>
      </c>
    </row>
    <row r="1080" spans="1:56" ht="45.75" customHeight="1" x14ac:dyDescent="0.25">
      <c r="A1080" s="7" t="s">
        <v>58</v>
      </c>
      <c r="B1080" s="2" t="s">
        <v>14052</v>
      </c>
      <c r="C1080" s="2" t="s">
        <v>14053</v>
      </c>
      <c r="D1080" s="2" t="s">
        <v>14054</v>
      </c>
      <c r="F1080" s="3" t="s">
        <v>58</v>
      </c>
      <c r="G1080" s="3" t="s">
        <v>59</v>
      </c>
      <c r="H1080" s="3" t="s">
        <v>58</v>
      </c>
      <c r="I1080" s="3" t="s">
        <v>58</v>
      </c>
      <c r="J1080" s="3" t="s">
        <v>60</v>
      </c>
      <c r="K1080" s="2" t="s">
        <v>14055</v>
      </c>
      <c r="L1080" s="2" t="s">
        <v>14056</v>
      </c>
      <c r="M1080" s="3" t="s">
        <v>3601</v>
      </c>
      <c r="O1080" s="3" t="s">
        <v>65</v>
      </c>
      <c r="P1080" s="3" t="s">
        <v>204</v>
      </c>
      <c r="R1080" s="3" t="s">
        <v>67</v>
      </c>
      <c r="S1080" s="4">
        <v>24</v>
      </c>
      <c r="T1080" s="4">
        <v>24</v>
      </c>
      <c r="U1080" s="5" t="s">
        <v>14057</v>
      </c>
      <c r="V1080" s="5" t="s">
        <v>14057</v>
      </c>
      <c r="W1080" s="5" t="s">
        <v>12392</v>
      </c>
      <c r="X1080" s="5" t="s">
        <v>12392</v>
      </c>
      <c r="Y1080" s="4">
        <v>704</v>
      </c>
      <c r="Z1080" s="4">
        <v>662</v>
      </c>
      <c r="AA1080" s="4">
        <v>670</v>
      </c>
      <c r="AB1080" s="4">
        <v>4</v>
      </c>
      <c r="AC1080" s="4">
        <v>4</v>
      </c>
      <c r="AD1080" s="4">
        <v>19</v>
      </c>
      <c r="AE1080" s="4">
        <v>19</v>
      </c>
      <c r="AF1080" s="4">
        <v>7</v>
      </c>
      <c r="AG1080" s="4">
        <v>7</v>
      </c>
      <c r="AH1080" s="4">
        <v>3</v>
      </c>
      <c r="AI1080" s="4">
        <v>3</v>
      </c>
      <c r="AJ1080" s="4">
        <v>7</v>
      </c>
      <c r="AK1080" s="4">
        <v>7</v>
      </c>
      <c r="AL1080" s="4">
        <v>2</v>
      </c>
      <c r="AM1080" s="4">
        <v>2</v>
      </c>
      <c r="AN1080" s="4">
        <v>3</v>
      </c>
      <c r="AO1080" s="4">
        <v>3</v>
      </c>
      <c r="AP1080" s="3" t="s">
        <v>58</v>
      </c>
      <c r="AQ1080" s="3" t="s">
        <v>87</v>
      </c>
      <c r="AR1080" s="6" t="str">
        <f>HYPERLINK("http://catalog.hathitrust.org/Record/001120465","HathiTrust Record")</f>
        <v>HathiTrust Record</v>
      </c>
      <c r="AS1080" s="6" t="str">
        <f>HYPERLINK("https://creighton-primo.hosted.exlibrisgroup.com/primo-explore/search?tab=default_tab&amp;search_scope=EVERYTHING&amp;vid=01CRU&amp;lang=en_US&amp;offset=0&amp;query=any,contains,991003101979702656","Catalog Record")</f>
        <v>Catalog Record</v>
      </c>
      <c r="AT1080" s="6" t="str">
        <f>HYPERLINK("http://www.worldcat.org/oclc/650673","WorldCat Record")</f>
        <v>WorldCat Record</v>
      </c>
      <c r="AU1080" s="3" t="s">
        <v>14058</v>
      </c>
      <c r="AV1080" s="3" t="s">
        <v>14059</v>
      </c>
      <c r="AW1080" s="3" t="s">
        <v>14060</v>
      </c>
      <c r="AX1080" s="3" t="s">
        <v>14060</v>
      </c>
      <c r="AY1080" s="3" t="s">
        <v>14061</v>
      </c>
      <c r="AZ1080" s="3" t="s">
        <v>74</v>
      </c>
      <c r="BB1080" s="3" t="s">
        <v>14062</v>
      </c>
      <c r="BC1080" s="3" t="s">
        <v>14063</v>
      </c>
      <c r="BD1080" s="3" t="s">
        <v>14064</v>
      </c>
    </row>
    <row r="1081" spans="1:56" ht="45.75" customHeight="1" x14ac:dyDescent="0.25">
      <c r="A1081" s="7" t="s">
        <v>58</v>
      </c>
      <c r="B1081" s="2" t="s">
        <v>14065</v>
      </c>
      <c r="C1081" s="2" t="s">
        <v>14066</v>
      </c>
      <c r="D1081" s="2" t="s">
        <v>14067</v>
      </c>
      <c r="F1081" s="3" t="s">
        <v>58</v>
      </c>
      <c r="G1081" s="3" t="s">
        <v>59</v>
      </c>
      <c r="H1081" s="3" t="s">
        <v>58</v>
      </c>
      <c r="I1081" s="3" t="s">
        <v>58</v>
      </c>
      <c r="J1081" s="3" t="s">
        <v>60</v>
      </c>
      <c r="K1081" s="2" t="s">
        <v>14068</v>
      </c>
      <c r="L1081" s="2" t="s">
        <v>14069</v>
      </c>
      <c r="M1081" s="3" t="s">
        <v>3601</v>
      </c>
      <c r="O1081" s="3" t="s">
        <v>65</v>
      </c>
      <c r="P1081" s="3" t="s">
        <v>84</v>
      </c>
      <c r="R1081" s="3" t="s">
        <v>67</v>
      </c>
      <c r="S1081" s="4">
        <v>13</v>
      </c>
      <c r="T1081" s="4">
        <v>13</v>
      </c>
      <c r="U1081" s="5" t="s">
        <v>6452</v>
      </c>
      <c r="V1081" s="5" t="s">
        <v>6452</v>
      </c>
      <c r="W1081" s="5" t="s">
        <v>12392</v>
      </c>
      <c r="X1081" s="5" t="s">
        <v>12392</v>
      </c>
      <c r="Y1081" s="4">
        <v>908</v>
      </c>
      <c r="Z1081" s="4">
        <v>867</v>
      </c>
      <c r="AA1081" s="4">
        <v>911</v>
      </c>
      <c r="AB1081" s="4">
        <v>7</v>
      </c>
      <c r="AC1081" s="4">
        <v>7</v>
      </c>
      <c r="AD1081" s="4">
        <v>28</v>
      </c>
      <c r="AE1081" s="4">
        <v>30</v>
      </c>
      <c r="AF1081" s="4">
        <v>9</v>
      </c>
      <c r="AG1081" s="4">
        <v>10</v>
      </c>
      <c r="AH1081" s="4">
        <v>4</v>
      </c>
      <c r="AI1081" s="4">
        <v>4</v>
      </c>
      <c r="AJ1081" s="4">
        <v>12</v>
      </c>
      <c r="AK1081" s="4">
        <v>14</v>
      </c>
      <c r="AL1081" s="4">
        <v>4</v>
      </c>
      <c r="AM1081" s="4">
        <v>4</v>
      </c>
      <c r="AN1081" s="4">
        <v>6</v>
      </c>
      <c r="AO1081" s="4">
        <v>6</v>
      </c>
      <c r="AP1081" s="3" t="s">
        <v>58</v>
      </c>
      <c r="AQ1081" s="3" t="s">
        <v>87</v>
      </c>
      <c r="AR1081" s="6" t="str">
        <f>HYPERLINK("http://catalog.hathitrust.org/Record/000013050","HathiTrust Record")</f>
        <v>HathiTrust Record</v>
      </c>
      <c r="AS1081" s="6" t="str">
        <f>HYPERLINK("https://creighton-primo.hosted.exlibrisgroup.com/primo-explore/search?tab=default_tab&amp;search_scope=EVERYTHING&amp;vid=01CRU&amp;lang=en_US&amp;offset=0&amp;query=any,contains,991003243879702656","Catalog Record")</f>
        <v>Catalog Record</v>
      </c>
      <c r="AT1081" s="6" t="str">
        <f>HYPERLINK("http://www.worldcat.org/oclc/766954","WorldCat Record")</f>
        <v>WorldCat Record</v>
      </c>
      <c r="AU1081" s="3" t="s">
        <v>14070</v>
      </c>
      <c r="AV1081" s="3" t="s">
        <v>14071</v>
      </c>
      <c r="AW1081" s="3" t="s">
        <v>14072</v>
      </c>
      <c r="AX1081" s="3" t="s">
        <v>14072</v>
      </c>
      <c r="AY1081" s="3" t="s">
        <v>14073</v>
      </c>
      <c r="AZ1081" s="3" t="s">
        <v>74</v>
      </c>
      <c r="BB1081" s="3" t="s">
        <v>14074</v>
      </c>
      <c r="BC1081" s="3" t="s">
        <v>14075</v>
      </c>
      <c r="BD1081" s="3" t="s">
        <v>14076</v>
      </c>
    </row>
    <row r="1082" spans="1:56" ht="45.75" customHeight="1" x14ac:dyDescent="0.25">
      <c r="A1082" s="7" t="s">
        <v>58</v>
      </c>
      <c r="B1082" s="2" t="s">
        <v>14077</v>
      </c>
      <c r="C1082" s="2" t="s">
        <v>14078</v>
      </c>
      <c r="D1082" s="2" t="s">
        <v>14079</v>
      </c>
      <c r="F1082" s="3" t="s">
        <v>58</v>
      </c>
      <c r="G1082" s="3" t="s">
        <v>59</v>
      </c>
      <c r="H1082" s="3" t="s">
        <v>58</v>
      </c>
      <c r="I1082" s="3" t="s">
        <v>58</v>
      </c>
      <c r="J1082" s="3" t="s">
        <v>60</v>
      </c>
      <c r="K1082" s="2" t="s">
        <v>14080</v>
      </c>
      <c r="L1082" s="2" t="s">
        <v>14081</v>
      </c>
      <c r="M1082" s="3" t="s">
        <v>4710</v>
      </c>
      <c r="O1082" s="3" t="s">
        <v>65</v>
      </c>
      <c r="P1082" s="3" t="s">
        <v>190</v>
      </c>
      <c r="Q1082" s="2" t="s">
        <v>14082</v>
      </c>
      <c r="R1082" s="3" t="s">
        <v>67</v>
      </c>
      <c r="S1082" s="4">
        <v>4</v>
      </c>
      <c r="T1082" s="4">
        <v>4</v>
      </c>
      <c r="U1082" s="5" t="s">
        <v>14083</v>
      </c>
      <c r="V1082" s="5" t="s">
        <v>14083</v>
      </c>
      <c r="W1082" s="5" t="s">
        <v>14084</v>
      </c>
      <c r="X1082" s="5" t="s">
        <v>14084</v>
      </c>
      <c r="Y1082" s="4">
        <v>385</v>
      </c>
      <c r="Z1082" s="4">
        <v>352</v>
      </c>
      <c r="AA1082" s="4">
        <v>366</v>
      </c>
      <c r="AB1082" s="4">
        <v>1</v>
      </c>
      <c r="AC1082" s="4">
        <v>1</v>
      </c>
      <c r="AD1082" s="4">
        <v>15</v>
      </c>
      <c r="AE1082" s="4">
        <v>15</v>
      </c>
      <c r="AF1082" s="4">
        <v>5</v>
      </c>
      <c r="AG1082" s="4">
        <v>5</v>
      </c>
      <c r="AH1082" s="4">
        <v>2</v>
      </c>
      <c r="AI1082" s="4">
        <v>2</v>
      </c>
      <c r="AJ1082" s="4">
        <v>9</v>
      </c>
      <c r="AK1082" s="4">
        <v>9</v>
      </c>
      <c r="AL1082" s="4">
        <v>0</v>
      </c>
      <c r="AM1082" s="4">
        <v>0</v>
      </c>
      <c r="AN1082" s="4">
        <v>3</v>
      </c>
      <c r="AO1082" s="4">
        <v>3</v>
      </c>
      <c r="AP1082" s="3" t="s">
        <v>87</v>
      </c>
      <c r="AQ1082" s="3" t="s">
        <v>58</v>
      </c>
      <c r="AR1082" s="6" t="str">
        <f>HYPERLINK("http://catalog.hathitrust.org/Record/001135019","HathiTrust Record")</f>
        <v>HathiTrust Record</v>
      </c>
      <c r="AS1082" s="6" t="str">
        <f>HYPERLINK("https://creighton-primo.hosted.exlibrisgroup.com/primo-explore/search?tab=default_tab&amp;search_scope=EVERYTHING&amp;vid=01CRU&amp;lang=en_US&amp;offset=0&amp;query=any,contains,991002599559702656","Catalog Record")</f>
        <v>Catalog Record</v>
      </c>
      <c r="AT1082" s="6" t="str">
        <f>HYPERLINK("http://www.worldcat.org/oclc/377019","WorldCat Record")</f>
        <v>WorldCat Record</v>
      </c>
      <c r="AU1082" s="3" t="s">
        <v>14085</v>
      </c>
      <c r="AV1082" s="3" t="s">
        <v>14086</v>
      </c>
      <c r="AW1082" s="3" t="s">
        <v>14087</v>
      </c>
      <c r="AX1082" s="3" t="s">
        <v>14087</v>
      </c>
      <c r="AY1082" s="3" t="s">
        <v>14088</v>
      </c>
      <c r="AZ1082" s="3" t="s">
        <v>74</v>
      </c>
      <c r="BC1082" s="3" t="s">
        <v>14089</v>
      </c>
      <c r="BD1082" s="3" t="s">
        <v>14090</v>
      </c>
    </row>
    <row r="1083" spans="1:56" ht="45.75" customHeight="1" x14ac:dyDescent="0.25">
      <c r="A1083" s="7" t="s">
        <v>58</v>
      </c>
      <c r="B1083" s="2" t="s">
        <v>14091</v>
      </c>
      <c r="C1083" s="2" t="s">
        <v>14092</v>
      </c>
      <c r="D1083" s="2" t="s">
        <v>14093</v>
      </c>
      <c r="F1083" s="3" t="s">
        <v>58</v>
      </c>
      <c r="G1083" s="3" t="s">
        <v>59</v>
      </c>
      <c r="H1083" s="3" t="s">
        <v>58</v>
      </c>
      <c r="I1083" s="3" t="s">
        <v>58</v>
      </c>
      <c r="J1083" s="3" t="s">
        <v>60</v>
      </c>
      <c r="L1083" s="2" t="s">
        <v>14094</v>
      </c>
      <c r="M1083" s="3" t="s">
        <v>335</v>
      </c>
      <c r="O1083" s="3" t="s">
        <v>65</v>
      </c>
      <c r="P1083" s="3" t="s">
        <v>132</v>
      </c>
      <c r="Q1083" s="2" t="s">
        <v>14095</v>
      </c>
      <c r="R1083" s="3" t="s">
        <v>67</v>
      </c>
      <c r="S1083" s="4">
        <v>1</v>
      </c>
      <c r="T1083" s="4">
        <v>1</v>
      </c>
      <c r="U1083" s="5" t="s">
        <v>4816</v>
      </c>
      <c r="V1083" s="5" t="s">
        <v>4816</v>
      </c>
      <c r="W1083" s="5" t="s">
        <v>4816</v>
      </c>
      <c r="X1083" s="5" t="s">
        <v>4816</v>
      </c>
      <c r="Y1083" s="4">
        <v>604</v>
      </c>
      <c r="Z1083" s="4">
        <v>538</v>
      </c>
      <c r="AA1083" s="4">
        <v>1317</v>
      </c>
      <c r="AB1083" s="4">
        <v>4</v>
      </c>
      <c r="AC1083" s="4">
        <v>19</v>
      </c>
      <c r="AD1083" s="4">
        <v>20</v>
      </c>
      <c r="AE1083" s="4">
        <v>38</v>
      </c>
      <c r="AF1083" s="4">
        <v>6</v>
      </c>
      <c r="AG1083" s="4">
        <v>15</v>
      </c>
      <c r="AH1083" s="4">
        <v>5</v>
      </c>
      <c r="AI1083" s="4">
        <v>6</v>
      </c>
      <c r="AJ1083" s="4">
        <v>13</v>
      </c>
      <c r="AK1083" s="4">
        <v>15</v>
      </c>
      <c r="AL1083" s="4">
        <v>3</v>
      </c>
      <c r="AM1083" s="4">
        <v>11</v>
      </c>
      <c r="AN1083" s="4">
        <v>0</v>
      </c>
      <c r="AO1083" s="4">
        <v>0</v>
      </c>
      <c r="AP1083" s="3" t="s">
        <v>58</v>
      </c>
      <c r="AQ1083" s="3" t="s">
        <v>87</v>
      </c>
      <c r="AR1083" s="6" t="str">
        <f>HYPERLINK("http://catalog.hathitrust.org/Record/007996556","HathiTrust Record")</f>
        <v>HathiTrust Record</v>
      </c>
      <c r="AS1083" s="6" t="str">
        <f>HYPERLINK("https://creighton-primo.hosted.exlibrisgroup.com/primo-explore/search?tab=default_tab&amp;search_scope=EVERYTHING&amp;vid=01CRU&amp;lang=en_US&amp;offset=0&amp;query=any,contains,991000224649702656","Catalog Record")</f>
        <v>Catalog Record</v>
      </c>
      <c r="AT1083" s="6" t="str">
        <f>HYPERLINK("http://www.worldcat.org/oclc/502158365","WorldCat Record")</f>
        <v>WorldCat Record</v>
      </c>
      <c r="AU1083" s="3" t="s">
        <v>14096</v>
      </c>
      <c r="AV1083" s="3" t="s">
        <v>14097</v>
      </c>
      <c r="AW1083" s="3" t="s">
        <v>14098</v>
      </c>
      <c r="AX1083" s="3" t="s">
        <v>14098</v>
      </c>
      <c r="AY1083" s="3" t="s">
        <v>14099</v>
      </c>
      <c r="AZ1083" s="3" t="s">
        <v>74</v>
      </c>
      <c r="BB1083" s="3" t="s">
        <v>14100</v>
      </c>
      <c r="BC1083" s="3" t="s">
        <v>14101</v>
      </c>
      <c r="BD1083" s="3" t="s">
        <v>14102</v>
      </c>
    </row>
    <row r="1084" spans="1:56" ht="45.75" customHeight="1" x14ac:dyDescent="0.25">
      <c r="A1084" s="7" t="s">
        <v>58</v>
      </c>
      <c r="B1084" s="2" t="s">
        <v>14103</v>
      </c>
      <c r="C1084" s="2" t="s">
        <v>14104</v>
      </c>
      <c r="D1084" s="2" t="s">
        <v>14105</v>
      </c>
      <c r="F1084" s="3" t="s">
        <v>58</v>
      </c>
      <c r="G1084" s="3" t="s">
        <v>59</v>
      </c>
      <c r="H1084" s="3" t="s">
        <v>58</v>
      </c>
      <c r="I1084" s="3" t="s">
        <v>58</v>
      </c>
      <c r="J1084" s="3" t="s">
        <v>60</v>
      </c>
      <c r="L1084" s="2" t="s">
        <v>14106</v>
      </c>
      <c r="M1084" s="3" t="s">
        <v>100</v>
      </c>
      <c r="O1084" s="3" t="s">
        <v>65</v>
      </c>
      <c r="P1084" s="3" t="s">
        <v>66</v>
      </c>
      <c r="Q1084" s="2" t="s">
        <v>14107</v>
      </c>
      <c r="R1084" s="3" t="s">
        <v>67</v>
      </c>
      <c r="S1084" s="4">
        <v>5</v>
      </c>
      <c r="T1084" s="4">
        <v>5</v>
      </c>
      <c r="U1084" s="5" t="s">
        <v>14108</v>
      </c>
      <c r="V1084" s="5" t="s">
        <v>14108</v>
      </c>
      <c r="W1084" s="5" t="s">
        <v>14109</v>
      </c>
      <c r="X1084" s="5" t="s">
        <v>14109</v>
      </c>
      <c r="Y1084" s="4">
        <v>431</v>
      </c>
      <c r="Z1084" s="4">
        <v>361</v>
      </c>
      <c r="AA1084" s="4">
        <v>411</v>
      </c>
      <c r="AB1084" s="4">
        <v>5</v>
      </c>
      <c r="AC1084" s="4">
        <v>5</v>
      </c>
      <c r="AD1084" s="4">
        <v>17</v>
      </c>
      <c r="AE1084" s="4">
        <v>17</v>
      </c>
      <c r="AF1084" s="4">
        <v>7</v>
      </c>
      <c r="AG1084" s="4">
        <v>7</v>
      </c>
      <c r="AH1084" s="4">
        <v>3</v>
      </c>
      <c r="AI1084" s="4">
        <v>3</v>
      </c>
      <c r="AJ1084" s="4">
        <v>7</v>
      </c>
      <c r="AK1084" s="4">
        <v>7</v>
      </c>
      <c r="AL1084" s="4">
        <v>4</v>
      </c>
      <c r="AM1084" s="4">
        <v>4</v>
      </c>
      <c r="AN1084" s="4">
        <v>0</v>
      </c>
      <c r="AO1084" s="4">
        <v>0</v>
      </c>
      <c r="AP1084" s="3" t="s">
        <v>58</v>
      </c>
      <c r="AQ1084" s="3" t="s">
        <v>87</v>
      </c>
      <c r="AR1084" s="6" t="str">
        <f>HYPERLINK("http://catalog.hathitrust.org/Record/001135025","HathiTrust Record")</f>
        <v>HathiTrust Record</v>
      </c>
      <c r="AS1084" s="6" t="str">
        <f>HYPERLINK("https://creighton-primo.hosted.exlibrisgroup.com/primo-explore/search?tab=default_tab&amp;search_scope=EVERYTHING&amp;vid=01CRU&amp;lang=en_US&amp;offset=0&amp;query=any,contains,991003778959702656","Catalog Record")</f>
        <v>Catalog Record</v>
      </c>
      <c r="AT1084" s="6" t="str">
        <f>HYPERLINK("http://www.worldcat.org/oclc/1490115","WorldCat Record")</f>
        <v>WorldCat Record</v>
      </c>
      <c r="AU1084" s="3" t="s">
        <v>14110</v>
      </c>
      <c r="AV1084" s="3" t="s">
        <v>14111</v>
      </c>
      <c r="AW1084" s="3" t="s">
        <v>14112</v>
      </c>
      <c r="AX1084" s="3" t="s">
        <v>14112</v>
      </c>
      <c r="AY1084" s="3" t="s">
        <v>14113</v>
      </c>
      <c r="AZ1084" s="3" t="s">
        <v>74</v>
      </c>
      <c r="BB1084" s="3" t="s">
        <v>14114</v>
      </c>
      <c r="BC1084" s="3" t="s">
        <v>14115</v>
      </c>
      <c r="BD1084" s="3" t="s">
        <v>14116</v>
      </c>
    </row>
    <row r="1085" spans="1:56" ht="45.75" customHeight="1" x14ac:dyDescent="0.25">
      <c r="A1085" s="7" t="s">
        <v>58</v>
      </c>
      <c r="B1085" s="2" t="s">
        <v>14117</v>
      </c>
      <c r="C1085" s="2" t="s">
        <v>14118</v>
      </c>
      <c r="D1085" s="2" t="s">
        <v>14119</v>
      </c>
      <c r="F1085" s="3" t="s">
        <v>58</v>
      </c>
      <c r="G1085" s="3" t="s">
        <v>59</v>
      </c>
      <c r="H1085" s="3" t="s">
        <v>58</v>
      </c>
      <c r="I1085" s="3" t="s">
        <v>58</v>
      </c>
      <c r="J1085" s="3" t="s">
        <v>60</v>
      </c>
      <c r="K1085" s="2" t="s">
        <v>14120</v>
      </c>
      <c r="L1085" s="2" t="s">
        <v>14121</v>
      </c>
      <c r="M1085" s="3" t="s">
        <v>557</v>
      </c>
      <c r="N1085" s="2" t="s">
        <v>390</v>
      </c>
      <c r="O1085" s="3" t="s">
        <v>65</v>
      </c>
      <c r="P1085" s="3" t="s">
        <v>84</v>
      </c>
      <c r="R1085" s="3" t="s">
        <v>67</v>
      </c>
      <c r="S1085" s="4">
        <v>11</v>
      </c>
      <c r="T1085" s="4">
        <v>11</v>
      </c>
      <c r="U1085" s="5" t="s">
        <v>10814</v>
      </c>
      <c r="V1085" s="5" t="s">
        <v>10814</v>
      </c>
      <c r="W1085" s="5" t="s">
        <v>1973</v>
      </c>
      <c r="X1085" s="5" t="s">
        <v>1973</v>
      </c>
      <c r="Y1085" s="4">
        <v>68</v>
      </c>
      <c r="Z1085" s="4">
        <v>60</v>
      </c>
      <c r="AA1085" s="4">
        <v>410</v>
      </c>
      <c r="AB1085" s="4">
        <v>4</v>
      </c>
      <c r="AC1085" s="4">
        <v>6</v>
      </c>
      <c r="AD1085" s="4">
        <v>4</v>
      </c>
      <c r="AE1085" s="4">
        <v>14</v>
      </c>
      <c r="AF1085" s="4">
        <v>0</v>
      </c>
      <c r="AG1085" s="4">
        <v>2</v>
      </c>
      <c r="AH1085" s="4">
        <v>0</v>
      </c>
      <c r="AI1085" s="4">
        <v>1</v>
      </c>
      <c r="AJ1085" s="4">
        <v>1</v>
      </c>
      <c r="AK1085" s="4">
        <v>6</v>
      </c>
      <c r="AL1085" s="4">
        <v>3</v>
      </c>
      <c r="AM1085" s="4">
        <v>4</v>
      </c>
      <c r="AN1085" s="4">
        <v>0</v>
      </c>
      <c r="AO1085" s="4">
        <v>4</v>
      </c>
      <c r="AP1085" s="3" t="s">
        <v>58</v>
      </c>
      <c r="AQ1085" s="3" t="s">
        <v>87</v>
      </c>
      <c r="AR1085" s="6" t="str">
        <f>HYPERLINK("http://catalog.hathitrust.org/Record/009807904","HathiTrust Record")</f>
        <v>HathiTrust Record</v>
      </c>
      <c r="AS1085" s="6" t="str">
        <f>HYPERLINK("https://creighton-primo.hosted.exlibrisgroup.com/primo-explore/search?tab=default_tab&amp;search_scope=EVERYTHING&amp;vid=01CRU&amp;lang=en_US&amp;offset=0&amp;query=any,contains,991002032819702656","Catalog Record")</f>
        <v>Catalog Record</v>
      </c>
      <c r="AT1085" s="6" t="str">
        <f>HYPERLINK("http://www.worldcat.org/oclc/25874241","WorldCat Record")</f>
        <v>WorldCat Record</v>
      </c>
      <c r="AU1085" s="3" t="s">
        <v>14122</v>
      </c>
      <c r="AV1085" s="3" t="s">
        <v>14123</v>
      </c>
      <c r="AW1085" s="3" t="s">
        <v>14124</v>
      </c>
      <c r="AX1085" s="3" t="s">
        <v>14124</v>
      </c>
      <c r="AY1085" s="3" t="s">
        <v>14125</v>
      </c>
      <c r="AZ1085" s="3" t="s">
        <v>74</v>
      </c>
      <c r="BB1085" s="3" t="s">
        <v>14126</v>
      </c>
      <c r="BC1085" s="3" t="s">
        <v>14127</v>
      </c>
      <c r="BD1085" s="3" t="s">
        <v>14128</v>
      </c>
    </row>
    <row r="1086" spans="1:56" ht="45.75" customHeight="1" x14ac:dyDescent="0.25">
      <c r="A1086" s="7" t="s">
        <v>58</v>
      </c>
      <c r="B1086" s="2" t="s">
        <v>14129</v>
      </c>
      <c r="C1086" s="2" t="s">
        <v>14130</v>
      </c>
      <c r="D1086" s="2" t="s">
        <v>14131</v>
      </c>
      <c r="F1086" s="3" t="s">
        <v>58</v>
      </c>
      <c r="G1086" s="3" t="s">
        <v>59</v>
      </c>
      <c r="H1086" s="3" t="s">
        <v>58</v>
      </c>
      <c r="I1086" s="3" t="s">
        <v>58</v>
      </c>
      <c r="J1086" s="3" t="s">
        <v>60</v>
      </c>
      <c r="K1086" s="2" t="s">
        <v>14132</v>
      </c>
      <c r="L1086" s="2" t="s">
        <v>14133</v>
      </c>
      <c r="M1086" s="3" t="s">
        <v>937</v>
      </c>
      <c r="O1086" s="3" t="s">
        <v>65</v>
      </c>
      <c r="P1086" s="3" t="s">
        <v>148</v>
      </c>
      <c r="R1086" s="3" t="s">
        <v>67</v>
      </c>
      <c r="S1086" s="4">
        <v>3</v>
      </c>
      <c r="T1086" s="4">
        <v>3</v>
      </c>
      <c r="U1086" s="5" t="s">
        <v>14108</v>
      </c>
      <c r="V1086" s="5" t="s">
        <v>14108</v>
      </c>
      <c r="W1086" s="5" t="s">
        <v>13729</v>
      </c>
      <c r="X1086" s="5" t="s">
        <v>13729</v>
      </c>
      <c r="Y1086" s="4">
        <v>440</v>
      </c>
      <c r="Z1086" s="4">
        <v>375</v>
      </c>
      <c r="AA1086" s="4">
        <v>409</v>
      </c>
      <c r="AB1086" s="4">
        <v>3</v>
      </c>
      <c r="AC1086" s="4">
        <v>3</v>
      </c>
      <c r="AD1086" s="4">
        <v>9</v>
      </c>
      <c r="AE1086" s="4">
        <v>10</v>
      </c>
      <c r="AF1086" s="4">
        <v>2</v>
      </c>
      <c r="AG1086" s="4">
        <v>2</v>
      </c>
      <c r="AH1086" s="4">
        <v>2</v>
      </c>
      <c r="AI1086" s="4">
        <v>2</v>
      </c>
      <c r="AJ1086" s="4">
        <v>4</v>
      </c>
      <c r="AK1086" s="4">
        <v>5</v>
      </c>
      <c r="AL1086" s="4">
        <v>2</v>
      </c>
      <c r="AM1086" s="4">
        <v>2</v>
      </c>
      <c r="AN1086" s="4">
        <v>1</v>
      </c>
      <c r="AO1086" s="4">
        <v>1</v>
      </c>
      <c r="AP1086" s="3" t="s">
        <v>58</v>
      </c>
      <c r="AQ1086" s="3" t="s">
        <v>87</v>
      </c>
      <c r="AR1086" s="6" t="str">
        <f>HYPERLINK("http://catalog.hathitrust.org/Record/009049799","HathiTrust Record")</f>
        <v>HathiTrust Record</v>
      </c>
      <c r="AS1086" s="6" t="str">
        <f>HYPERLINK("https://creighton-primo.hosted.exlibrisgroup.com/primo-explore/search?tab=default_tab&amp;search_scope=EVERYTHING&amp;vid=01CRU&amp;lang=en_US&amp;offset=0&amp;query=any,contains,991004177949702656","Catalog Record")</f>
        <v>Catalog Record</v>
      </c>
      <c r="AT1086" s="6" t="str">
        <f>HYPERLINK("http://www.worldcat.org/oclc/2598062","WorldCat Record")</f>
        <v>WorldCat Record</v>
      </c>
      <c r="AU1086" s="3" t="s">
        <v>14134</v>
      </c>
      <c r="AV1086" s="3" t="s">
        <v>14135</v>
      </c>
      <c r="AW1086" s="3" t="s">
        <v>14136</v>
      </c>
      <c r="AX1086" s="3" t="s">
        <v>14136</v>
      </c>
      <c r="AY1086" s="3" t="s">
        <v>14137</v>
      </c>
      <c r="AZ1086" s="3" t="s">
        <v>74</v>
      </c>
      <c r="BB1086" s="3" t="s">
        <v>14138</v>
      </c>
      <c r="BC1086" s="3" t="s">
        <v>14139</v>
      </c>
      <c r="BD1086" s="3" t="s">
        <v>14140</v>
      </c>
    </row>
    <row r="1087" spans="1:56" ht="45.75" customHeight="1" x14ac:dyDescent="0.25">
      <c r="A1087" s="7" t="s">
        <v>58</v>
      </c>
      <c r="B1087" s="2" t="s">
        <v>14141</v>
      </c>
      <c r="C1087" s="2" t="s">
        <v>14142</v>
      </c>
      <c r="D1087" s="2" t="s">
        <v>14143</v>
      </c>
      <c r="F1087" s="3" t="s">
        <v>58</v>
      </c>
      <c r="G1087" s="3" t="s">
        <v>59</v>
      </c>
      <c r="H1087" s="3" t="s">
        <v>58</v>
      </c>
      <c r="I1087" s="3" t="s">
        <v>58</v>
      </c>
      <c r="J1087" s="3" t="s">
        <v>60</v>
      </c>
      <c r="K1087" s="2" t="s">
        <v>14144</v>
      </c>
      <c r="L1087" s="2" t="s">
        <v>14145</v>
      </c>
      <c r="M1087" s="3" t="s">
        <v>528</v>
      </c>
      <c r="O1087" s="3" t="s">
        <v>65</v>
      </c>
      <c r="P1087" s="3" t="s">
        <v>84</v>
      </c>
      <c r="Q1087" s="2" t="s">
        <v>14146</v>
      </c>
      <c r="R1087" s="3" t="s">
        <v>67</v>
      </c>
      <c r="S1087" s="4">
        <v>3</v>
      </c>
      <c r="T1087" s="4">
        <v>3</v>
      </c>
      <c r="U1087" s="5" t="s">
        <v>14108</v>
      </c>
      <c r="V1087" s="5" t="s">
        <v>14108</v>
      </c>
      <c r="W1087" s="5" t="s">
        <v>14147</v>
      </c>
      <c r="X1087" s="5" t="s">
        <v>14147</v>
      </c>
      <c r="Y1087" s="4">
        <v>337</v>
      </c>
      <c r="Z1087" s="4">
        <v>249</v>
      </c>
      <c r="AA1087" s="4">
        <v>270</v>
      </c>
      <c r="AB1087" s="4">
        <v>3</v>
      </c>
      <c r="AC1087" s="4">
        <v>3</v>
      </c>
      <c r="AD1087" s="4">
        <v>12</v>
      </c>
      <c r="AE1087" s="4">
        <v>15</v>
      </c>
      <c r="AF1087" s="4">
        <v>2</v>
      </c>
      <c r="AG1087" s="4">
        <v>5</v>
      </c>
      <c r="AH1087" s="4">
        <v>3</v>
      </c>
      <c r="AI1087" s="4">
        <v>4</v>
      </c>
      <c r="AJ1087" s="4">
        <v>6</v>
      </c>
      <c r="AK1087" s="4">
        <v>7</v>
      </c>
      <c r="AL1087" s="4">
        <v>2</v>
      </c>
      <c r="AM1087" s="4">
        <v>2</v>
      </c>
      <c r="AN1087" s="4">
        <v>2</v>
      </c>
      <c r="AO1087" s="4">
        <v>2</v>
      </c>
      <c r="AP1087" s="3" t="s">
        <v>58</v>
      </c>
      <c r="AQ1087" s="3" t="s">
        <v>58</v>
      </c>
      <c r="AS1087" s="6" t="str">
        <f>HYPERLINK("https://creighton-primo.hosted.exlibrisgroup.com/primo-explore/search?tab=default_tab&amp;search_scope=EVERYTHING&amp;vid=01CRU&amp;lang=en_US&amp;offset=0&amp;query=any,contains,991001704539702656","Catalog Record")</f>
        <v>Catalog Record</v>
      </c>
      <c r="AT1087" s="6" t="str">
        <f>HYPERLINK("http://www.worldcat.org/oclc/21559691","WorldCat Record")</f>
        <v>WorldCat Record</v>
      </c>
      <c r="AU1087" s="3" t="s">
        <v>14148</v>
      </c>
      <c r="AV1087" s="3" t="s">
        <v>14149</v>
      </c>
      <c r="AW1087" s="3" t="s">
        <v>14150</v>
      </c>
      <c r="AX1087" s="3" t="s">
        <v>14150</v>
      </c>
      <c r="AY1087" s="3" t="s">
        <v>14151</v>
      </c>
      <c r="AZ1087" s="3" t="s">
        <v>74</v>
      </c>
      <c r="BB1087" s="3" t="s">
        <v>14152</v>
      </c>
      <c r="BC1087" s="3" t="s">
        <v>14153</v>
      </c>
      <c r="BD1087" s="3" t="s">
        <v>14154</v>
      </c>
    </row>
    <row r="1088" spans="1:56" ht="45.75" customHeight="1" x14ac:dyDescent="0.25">
      <c r="A1088" s="7" t="s">
        <v>58</v>
      </c>
      <c r="B1088" s="2" t="s">
        <v>14155</v>
      </c>
      <c r="C1088" s="2" t="s">
        <v>14156</v>
      </c>
      <c r="D1088" s="2" t="s">
        <v>14157</v>
      </c>
      <c r="F1088" s="3" t="s">
        <v>58</v>
      </c>
      <c r="G1088" s="3" t="s">
        <v>59</v>
      </c>
      <c r="H1088" s="3" t="s">
        <v>58</v>
      </c>
      <c r="I1088" s="3" t="s">
        <v>87</v>
      </c>
      <c r="J1088" s="3" t="s">
        <v>60</v>
      </c>
      <c r="K1088" s="2" t="s">
        <v>14158</v>
      </c>
      <c r="L1088" s="2" t="s">
        <v>14159</v>
      </c>
      <c r="M1088" s="3" t="s">
        <v>3601</v>
      </c>
      <c r="O1088" s="3" t="s">
        <v>65</v>
      </c>
      <c r="P1088" s="3" t="s">
        <v>84</v>
      </c>
      <c r="R1088" s="3" t="s">
        <v>67</v>
      </c>
      <c r="S1088" s="4">
        <v>8</v>
      </c>
      <c r="T1088" s="4">
        <v>8</v>
      </c>
      <c r="U1088" s="5" t="s">
        <v>14108</v>
      </c>
      <c r="V1088" s="5" t="s">
        <v>14108</v>
      </c>
      <c r="W1088" s="5" t="s">
        <v>2107</v>
      </c>
      <c r="X1088" s="5" t="s">
        <v>2107</v>
      </c>
      <c r="Y1088" s="4">
        <v>194</v>
      </c>
      <c r="Z1088" s="4">
        <v>165</v>
      </c>
      <c r="AA1088" s="4">
        <v>257</v>
      </c>
      <c r="AB1088" s="4">
        <v>2</v>
      </c>
      <c r="AC1088" s="4">
        <v>5</v>
      </c>
      <c r="AD1088" s="4">
        <v>5</v>
      </c>
      <c r="AE1088" s="4">
        <v>9</v>
      </c>
      <c r="AF1088" s="4">
        <v>1</v>
      </c>
      <c r="AG1088" s="4">
        <v>2</v>
      </c>
      <c r="AH1088" s="4">
        <v>0</v>
      </c>
      <c r="AI1088" s="4">
        <v>0</v>
      </c>
      <c r="AJ1088" s="4">
        <v>2</v>
      </c>
      <c r="AK1088" s="4">
        <v>2</v>
      </c>
      <c r="AL1088" s="4">
        <v>1</v>
      </c>
      <c r="AM1088" s="4">
        <v>3</v>
      </c>
      <c r="AN1088" s="4">
        <v>1</v>
      </c>
      <c r="AO1088" s="4">
        <v>2</v>
      </c>
      <c r="AP1088" s="3" t="s">
        <v>58</v>
      </c>
      <c r="AQ1088" s="3" t="s">
        <v>87</v>
      </c>
      <c r="AR1088" s="6" t="str">
        <f>HYPERLINK("http://catalog.hathitrust.org/Record/004402468","HathiTrust Record")</f>
        <v>HathiTrust Record</v>
      </c>
      <c r="AS1088" s="6" t="str">
        <f>HYPERLINK("https://creighton-primo.hosted.exlibrisgroup.com/primo-explore/search?tab=default_tab&amp;search_scope=EVERYTHING&amp;vid=01CRU&amp;lang=en_US&amp;offset=0&amp;query=any,contains,991002900139702656","Catalog Record")</f>
        <v>Catalog Record</v>
      </c>
      <c r="AT1088" s="6" t="str">
        <f>HYPERLINK("http://www.worldcat.org/oclc/516364","WorldCat Record")</f>
        <v>WorldCat Record</v>
      </c>
      <c r="AU1088" s="3" t="s">
        <v>14160</v>
      </c>
      <c r="AV1088" s="3" t="s">
        <v>14161</v>
      </c>
      <c r="AW1088" s="3" t="s">
        <v>14162</v>
      </c>
      <c r="AX1088" s="3" t="s">
        <v>14162</v>
      </c>
      <c r="AY1088" s="3" t="s">
        <v>14163</v>
      </c>
      <c r="AZ1088" s="3" t="s">
        <v>74</v>
      </c>
      <c r="BB1088" s="3" t="s">
        <v>14164</v>
      </c>
      <c r="BC1088" s="3" t="s">
        <v>14165</v>
      </c>
      <c r="BD1088" s="3" t="s">
        <v>14166</v>
      </c>
    </row>
    <row r="1089" spans="1:56" ht="45.75" customHeight="1" x14ac:dyDescent="0.25">
      <c r="A1089" s="7" t="s">
        <v>58</v>
      </c>
      <c r="B1089" s="2" t="s">
        <v>14167</v>
      </c>
      <c r="C1089" s="2" t="s">
        <v>14168</v>
      </c>
      <c r="D1089" s="2" t="s">
        <v>14169</v>
      </c>
      <c r="F1089" s="3" t="s">
        <v>58</v>
      </c>
      <c r="G1089" s="3" t="s">
        <v>59</v>
      </c>
      <c r="H1089" s="3" t="s">
        <v>87</v>
      </c>
      <c r="I1089" s="3" t="s">
        <v>58</v>
      </c>
      <c r="J1089" s="3" t="s">
        <v>60</v>
      </c>
      <c r="K1089" s="2" t="s">
        <v>14170</v>
      </c>
      <c r="L1089" s="2" t="s">
        <v>14171</v>
      </c>
      <c r="M1089" s="3" t="s">
        <v>2146</v>
      </c>
      <c r="O1089" s="3" t="s">
        <v>65</v>
      </c>
      <c r="P1089" s="3" t="s">
        <v>529</v>
      </c>
      <c r="R1089" s="3" t="s">
        <v>67</v>
      </c>
      <c r="S1089" s="4">
        <v>6</v>
      </c>
      <c r="T1089" s="4">
        <v>6</v>
      </c>
      <c r="U1089" s="5" t="s">
        <v>14108</v>
      </c>
      <c r="V1089" s="5" t="s">
        <v>14108</v>
      </c>
      <c r="W1089" s="5" t="s">
        <v>9192</v>
      </c>
      <c r="X1089" s="5" t="s">
        <v>9192</v>
      </c>
      <c r="Y1089" s="4">
        <v>383</v>
      </c>
      <c r="Z1089" s="4">
        <v>345</v>
      </c>
      <c r="AA1089" s="4">
        <v>423</v>
      </c>
      <c r="AB1089" s="4">
        <v>5</v>
      </c>
      <c r="AC1089" s="4">
        <v>6</v>
      </c>
      <c r="AD1089" s="4">
        <v>15</v>
      </c>
      <c r="AE1089" s="4">
        <v>18</v>
      </c>
      <c r="AF1089" s="4">
        <v>3</v>
      </c>
      <c r="AG1089" s="4">
        <v>4</v>
      </c>
      <c r="AH1089" s="4">
        <v>1</v>
      </c>
      <c r="AI1089" s="4">
        <v>1</v>
      </c>
      <c r="AJ1089" s="4">
        <v>5</v>
      </c>
      <c r="AK1089" s="4">
        <v>6</v>
      </c>
      <c r="AL1089" s="4">
        <v>2</v>
      </c>
      <c r="AM1089" s="4">
        <v>2</v>
      </c>
      <c r="AN1089" s="4">
        <v>7</v>
      </c>
      <c r="AO1089" s="4">
        <v>9</v>
      </c>
      <c r="AP1089" s="3" t="s">
        <v>58</v>
      </c>
      <c r="AQ1089" s="3" t="s">
        <v>58</v>
      </c>
      <c r="AS1089" s="6" t="str">
        <f>HYPERLINK("https://creighton-primo.hosted.exlibrisgroup.com/primo-explore/search?tab=default_tab&amp;search_scope=EVERYTHING&amp;vid=01CRU&amp;lang=en_US&amp;offset=0&amp;query=any,contains,991001632719702656","Catalog Record")</f>
        <v>Catalog Record</v>
      </c>
      <c r="AT1089" s="6" t="str">
        <f>HYPERLINK("http://www.worldcat.org/oclc/376964","WorldCat Record")</f>
        <v>WorldCat Record</v>
      </c>
      <c r="AU1089" s="3" t="s">
        <v>14172</v>
      </c>
      <c r="AV1089" s="3" t="s">
        <v>14173</v>
      </c>
      <c r="AW1089" s="3" t="s">
        <v>14174</v>
      </c>
      <c r="AX1089" s="3" t="s">
        <v>14174</v>
      </c>
      <c r="AY1089" s="3" t="s">
        <v>14175</v>
      </c>
      <c r="AZ1089" s="3" t="s">
        <v>74</v>
      </c>
      <c r="BC1089" s="3" t="s">
        <v>14176</v>
      </c>
      <c r="BD1089" s="3" t="s">
        <v>14177</v>
      </c>
    </row>
    <row r="1090" spans="1:56" ht="45.75" customHeight="1" x14ac:dyDescent="0.25">
      <c r="A1090" s="7" t="s">
        <v>58</v>
      </c>
      <c r="B1090" s="2" t="s">
        <v>14178</v>
      </c>
      <c r="C1090" s="2" t="s">
        <v>14179</v>
      </c>
      <c r="D1090" s="2" t="s">
        <v>14180</v>
      </c>
      <c r="F1090" s="3" t="s">
        <v>58</v>
      </c>
      <c r="G1090" s="3" t="s">
        <v>59</v>
      </c>
      <c r="H1090" s="3" t="s">
        <v>58</v>
      </c>
      <c r="I1090" s="3" t="s">
        <v>58</v>
      </c>
      <c r="J1090" s="3" t="s">
        <v>60</v>
      </c>
      <c r="K1090" s="2" t="s">
        <v>14181</v>
      </c>
      <c r="L1090" s="2" t="s">
        <v>14182</v>
      </c>
      <c r="M1090" s="3" t="s">
        <v>1254</v>
      </c>
      <c r="N1090" s="2" t="s">
        <v>543</v>
      </c>
      <c r="O1090" s="3" t="s">
        <v>65</v>
      </c>
      <c r="P1090" s="3" t="s">
        <v>84</v>
      </c>
      <c r="R1090" s="3" t="s">
        <v>67</v>
      </c>
      <c r="S1090" s="4">
        <v>2</v>
      </c>
      <c r="T1090" s="4">
        <v>2</v>
      </c>
      <c r="U1090" s="5" t="s">
        <v>14183</v>
      </c>
      <c r="V1090" s="5" t="s">
        <v>14183</v>
      </c>
      <c r="W1090" s="5" t="s">
        <v>11348</v>
      </c>
      <c r="X1090" s="5" t="s">
        <v>11348</v>
      </c>
      <c r="Y1090" s="4">
        <v>715</v>
      </c>
      <c r="Z1090" s="4">
        <v>678</v>
      </c>
      <c r="AA1090" s="4">
        <v>716</v>
      </c>
      <c r="AB1090" s="4">
        <v>5</v>
      </c>
      <c r="AC1090" s="4">
        <v>5</v>
      </c>
      <c r="AD1090" s="4">
        <v>18</v>
      </c>
      <c r="AE1090" s="4">
        <v>22</v>
      </c>
      <c r="AF1090" s="4">
        <v>6</v>
      </c>
      <c r="AG1090" s="4">
        <v>7</v>
      </c>
      <c r="AH1090" s="4">
        <v>7</v>
      </c>
      <c r="AI1090" s="4">
        <v>8</v>
      </c>
      <c r="AJ1090" s="4">
        <v>15</v>
      </c>
      <c r="AK1090" s="4">
        <v>17</v>
      </c>
      <c r="AL1090" s="4">
        <v>0</v>
      </c>
      <c r="AM1090" s="4">
        <v>0</v>
      </c>
      <c r="AN1090" s="4">
        <v>0</v>
      </c>
      <c r="AO1090" s="4">
        <v>1</v>
      </c>
      <c r="AP1090" s="3" t="s">
        <v>58</v>
      </c>
      <c r="AQ1090" s="3" t="s">
        <v>87</v>
      </c>
      <c r="AR1090" s="6" t="str">
        <f>HYPERLINK("http://catalog.hathitrust.org/Record/000160108","HathiTrust Record")</f>
        <v>HathiTrust Record</v>
      </c>
      <c r="AS1090" s="6" t="str">
        <f>HYPERLINK("https://creighton-primo.hosted.exlibrisgroup.com/primo-explore/search?tab=default_tab&amp;search_scope=EVERYTHING&amp;vid=01CRU&amp;lang=en_US&amp;offset=0&amp;query=any,contains,991000274879702656","Catalog Record")</f>
        <v>Catalog Record</v>
      </c>
      <c r="AT1090" s="6" t="str">
        <f>HYPERLINK("http://www.worldcat.org/oclc/9894274","WorldCat Record")</f>
        <v>WorldCat Record</v>
      </c>
      <c r="AU1090" s="3" t="s">
        <v>14184</v>
      </c>
      <c r="AV1090" s="3" t="s">
        <v>14185</v>
      </c>
      <c r="AW1090" s="3" t="s">
        <v>14186</v>
      </c>
      <c r="AX1090" s="3" t="s">
        <v>14186</v>
      </c>
      <c r="AY1090" s="3" t="s">
        <v>14187</v>
      </c>
      <c r="AZ1090" s="3" t="s">
        <v>74</v>
      </c>
      <c r="BB1090" s="3" t="s">
        <v>14188</v>
      </c>
      <c r="BC1090" s="3" t="s">
        <v>14189</v>
      </c>
      <c r="BD1090" s="3" t="s">
        <v>14190</v>
      </c>
    </row>
    <row r="1091" spans="1:56" ht="45.75" customHeight="1" x14ac:dyDescent="0.25">
      <c r="A1091" s="7" t="s">
        <v>58</v>
      </c>
      <c r="B1091" s="2" t="s">
        <v>14191</v>
      </c>
      <c r="C1091" s="2" t="s">
        <v>14192</v>
      </c>
      <c r="D1091" s="2" t="s">
        <v>14193</v>
      </c>
      <c r="F1091" s="3" t="s">
        <v>58</v>
      </c>
      <c r="G1091" s="3" t="s">
        <v>59</v>
      </c>
      <c r="H1091" s="3" t="s">
        <v>58</v>
      </c>
      <c r="I1091" s="3" t="s">
        <v>58</v>
      </c>
      <c r="J1091" s="3" t="s">
        <v>60</v>
      </c>
      <c r="K1091" s="2" t="s">
        <v>14194</v>
      </c>
      <c r="L1091" s="2" t="s">
        <v>5777</v>
      </c>
      <c r="M1091" s="3" t="s">
        <v>742</v>
      </c>
      <c r="O1091" s="3" t="s">
        <v>65</v>
      </c>
      <c r="P1091" s="3" t="s">
        <v>132</v>
      </c>
      <c r="R1091" s="3" t="s">
        <v>67</v>
      </c>
      <c r="S1091" s="4">
        <v>20</v>
      </c>
      <c r="T1091" s="4">
        <v>20</v>
      </c>
      <c r="U1091" s="5" t="s">
        <v>14195</v>
      </c>
      <c r="V1091" s="5" t="s">
        <v>14195</v>
      </c>
      <c r="W1091" s="5" t="s">
        <v>5780</v>
      </c>
      <c r="X1091" s="5" t="s">
        <v>5780</v>
      </c>
      <c r="Y1091" s="4">
        <v>447</v>
      </c>
      <c r="Z1091" s="4">
        <v>370</v>
      </c>
      <c r="AA1091" s="4">
        <v>886</v>
      </c>
      <c r="AB1091" s="4">
        <v>3</v>
      </c>
      <c r="AC1091" s="4">
        <v>9</v>
      </c>
      <c r="AD1091" s="4">
        <v>16</v>
      </c>
      <c r="AE1091" s="4">
        <v>40</v>
      </c>
      <c r="AF1091" s="4">
        <v>5</v>
      </c>
      <c r="AG1091" s="4">
        <v>13</v>
      </c>
      <c r="AH1091" s="4">
        <v>6</v>
      </c>
      <c r="AI1091" s="4">
        <v>10</v>
      </c>
      <c r="AJ1091" s="4">
        <v>7</v>
      </c>
      <c r="AK1091" s="4">
        <v>15</v>
      </c>
      <c r="AL1091" s="4">
        <v>2</v>
      </c>
      <c r="AM1091" s="4">
        <v>7</v>
      </c>
      <c r="AN1091" s="4">
        <v>1</v>
      </c>
      <c r="AO1091" s="4">
        <v>4</v>
      </c>
      <c r="AP1091" s="3" t="s">
        <v>58</v>
      </c>
      <c r="AQ1091" s="3" t="s">
        <v>87</v>
      </c>
      <c r="AR1091" s="6" t="str">
        <f>HYPERLINK("http://catalog.hathitrust.org/Record/001830683","HathiTrust Record")</f>
        <v>HathiTrust Record</v>
      </c>
      <c r="AS1091" s="6" t="str">
        <f>HYPERLINK("https://creighton-primo.hosted.exlibrisgroup.com/primo-explore/search?tab=default_tab&amp;search_scope=EVERYTHING&amp;vid=01CRU&amp;lang=en_US&amp;offset=0&amp;query=any,contains,991001548389702656","Catalog Record")</f>
        <v>Catalog Record</v>
      </c>
      <c r="AT1091" s="6" t="str">
        <f>HYPERLINK("http://www.worldcat.org/oclc/20172007","WorldCat Record")</f>
        <v>WorldCat Record</v>
      </c>
      <c r="AU1091" s="3" t="s">
        <v>14196</v>
      </c>
      <c r="AV1091" s="3" t="s">
        <v>14197</v>
      </c>
      <c r="AW1091" s="3" t="s">
        <v>14198</v>
      </c>
      <c r="AX1091" s="3" t="s">
        <v>14198</v>
      </c>
      <c r="AY1091" s="3" t="s">
        <v>14199</v>
      </c>
      <c r="AZ1091" s="3" t="s">
        <v>74</v>
      </c>
      <c r="BB1091" s="3" t="s">
        <v>14200</v>
      </c>
      <c r="BC1091" s="3" t="s">
        <v>14201</v>
      </c>
      <c r="BD1091" s="3" t="s">
        <v>14202</v>
      </c>
    </row>
    <row r="1092" spans="1:56" ht="45.75" customHeight="1" x14ac:dyDescent="0.25">
      <c r="A1092" s="7" t="s">
        <v>58</v>
      </c>
      <c r="B1092" s="2" t="s">
        <v>14203</v>
      </c>
      <c r="C1092" s="2" t="s">
        <v>14204</v>
      </c>
      <c r="D1092" s="2" t="s">
        <v>14205</v>
      </c>
      <c r="F1092" s="3" t="s">
        <v>58</v>
      </c>
      <c r="G1092" s="3" t="s">
        <v>59</v>
      </c>
      <c r="H1092" s="3" t="s">
        <v>58</v>
      </c>
      <c r="I1092" s="3" t="s">
        <v>58</v>
      </c>
      <c r="J1092" s="3" t="s">
        <v>60</v>
      </c>
      <c r="K1092" s="2" t="s">
        <v>14206</v>
      </c>
      <c r="L1092" s="2" t="s">
        <v>14207</v>
      </c>
      <c r="M1092" s="3" t="s">
        <v>263</v>
      </c>
      <c r="O1092" s="3" t="s">
        <v>65</v>
      </c>
      <c r="P1092" s="3" t="s">
        <v>84</v>
      </c>
      <c r="R1092" s="3" t="s">
        <v>67</v>
      </c>
      <c r="S1092" s="4">
        <v>20</v>
      </c>
      <c r="T1092" s="4">
        <v>20</v>
      </c>
      <c r="U1092" s="5" t="s">
        <v>14208</v>
      </c>
      <c r="V1092" s="5" t="s">
        <v>14208</v>
      </c>
      <c r="W1092" s="5" t="s">
        <v>2763</v>
      </c>
      <c r="X1092" s="5" t="s">
        <v>2763</v>
      </c>
      <c r="Y1092" s="4">
        <v>200</v>
      </c>
      <c r="Z1092" s="4">
        <v>183</v>
      </c>
      <c r="AA1092" s="4">
        <v>207</v>
      </c>
      <c r="AB1092" s="4">
        <v>2</v>
      </c>
      <c r="AC1092" s="4">
        <v>2</v>
      </c>
      <c r="AD1092" s="4">
        <v>7</v>
      </c>
      <c r="AE1092" s="4">
        <v>7</v>
      </c>
      <c r="AF1092" s="4">
        <v>2</v>
      </c>
      <c r="AG1092" s="4">
        <v>2</v>
      </c>
      <c r="AH1092" s="4">
        <v>2</v>
      </c>
      <c r="AI1092" s="4">
        <v>2</v>
      </c>
      <c r="AJ1092" s="4">
        <v>3</v>
      </c>
      <c r="AK1092" s="4">
        <v>3</v>
      </c>
      <c r="AL1092" s="4">
        <v>1</v>
      </c>
      <c r="AM1092" s="4">
        <v>1</v>
      </c>
      <c r="AN1092" s="4">
        <v>1</v>
      </c>
      <c r="AO1092" s="4">
        <v>1</v>
      </c>
      <c r="AP1092" s="3" t="s">
        <v>58</v>
      </c>
      <c r="AQ1092" s="3" t="s">
        <v>58</v>
      </c>
      <c r="AS1092" s="6" t="str">
        <f>HYPERLINK("https://creighton-primo.hosted.exlibrisgroup.com/primo-explore/search?tab=default_tab&amp;search_scope=EVERYTHING&amp;vid=01CRU&amp;lang=en_US&amp;offset=0&amp;query=any,contains,991002764839702656","Catalog Record")</f>
        <v>Catalog Record</v>
      </c>
      <c r="AT1092" s="6" t="str">
        <f>HYPERLINK("http://www.worldcat.org/oclc/36283551","WorldCat Record")</f>
        <v>WorldCat Record</v>
      </c>
      <c r="AU1092" s="3" t="s">
        <v>14209</v>
      </c>
      <c r="AV1092" s="3" t="s">
        <v>14210</v>
      </c>
      <c r="AW1092" s="3" t="s">
        <v>14211</v>
      </c>
      <c r="AX1092" s="3" t="s">
        <v>14211</v>
      </c>
      <c r="AY1092" s="3" t="s">
        <v>14212</v>
      </c>
      <c r="AZ1092" s="3" t="s">
        <v>74</v>
      </c>
      <c r="BB1092" s="3" t="s">
        <v>14213</v>
      </c>
      <c r="BC1092" s="3" t="s">
        <v>14214</v>
      </c>
      <c r="BD1092" s="3" t="s">
        <v>14215</v>
      </c>
    </row>
    <row r="1093" spans="1:56" ht="45.75" customHeight="1" x14ac:dyDescent="0.25">
      <c r="A1093" s="7" t="s">
        <v>58</v>
      </c>
      <c r="B1093" s="2" t="s">
        <v>14216</v>
      </c>
      <c r="C1093" s="2" t="s">
        <v>14217</v>
      </c>
      <c r="D1093" s="2" t="s">
        <v>14218</v>
      </c>
      <c r="F1093" s="3" t="s">
        <v>58</v>
      </c>
      <c r="G1093" s="3" t="s">
        <v>59</v>
      </c>
      <c r="H1093" s="3" t="s">
        <v>58</v>
      </c>
      <c r="I1093" s="3" t="s">
        <v>58</v>
      </c>
      <c r="J1093" s="3" t="s">
        <v>60</v>
      </c>
      <c r="K1093" s="2" t="s">
        <v>14219</v>
      </c>
      <c r="L1093" s="2" t="s">
        <v>14220</v>
      </c>
      <c r="M1093" s="3" t="s">
        <v>908</v>
      </c>
      <c r="O1093" s="3" t="s">
        <v>65</v>
      </c>
      <c r="P1093" s="3" t="s">
        <v>132</v>
      </c>
      <c r="R1093" s="3" t="s">
        <v>67</v>
      </c>
      <c r="S1093" s="4">
        <v>28</v>
      </c>
      <c r="T1093" s="4">
        <v>28</v>
      </c>
      <c r="U1093" s="5" t="s">
        <v>14208</v>
      </c>
      <c r="V1093" s="5" t="s">
        <v>14208</v>
      </c>
      <c r="W1093" s="5" t="s">
        <v>14221</v>
      </c>
      <c r="X1093" s="5" t="s">
        <v>14221</v>
      </c>
      <c r="Y1093" s="4">
        <v>96</v>
      </c>
      <c r="Z1093" s="4">
        <v>96</v>
      </c>
      <c r="AA1093" s="4">
        <v>98</v>
      </c>
      <c r="AB1093" s="4">
        <v>1</v>
      </c>
      <c r="AC1093" s="4">
        <v>1</v>
      </c>
      <c r="AD1093" s="4">
        <v>4</v>
      </c>
      <c r="AE1093" s="4">
        <v>4</v>
      </c>
      <c r="AF1093" s="4">
        <v>0</v>
      </c>
      <c r="AG1093" s="4">
        <v>0</v>
      </c>
      <c r="AH1093" s="4">
        <v>0</v>
      </c>
      <c r="AI1093" s="4">
        <v>0</v>
      </c>
      <c r="AJ1093" s="4">
        <v>4</v>
      </c>
      <c r="AK1093" s="4">
        <v>4</v>
      </c>
      <c r="AL1093" s="4">
        <v>0</v>
      </c>
      <c r="AM1093" s="4">
        <v>0</v>
      </c>
      <c r="AN1093" s="4">
        <v>0</v>
      </c>
      <c r="AO1093" s="4">
        <v>0</v>
      </c>
      <c r="AP1093" s="3" t="s">
        <v>58</v>
      </c>
      <c r="AQ1093" s="3" t="s">
        <v>87</v>
      </c>
      <c r="AR1093" s="6" t="str">
        <f>HYPERLINK("http://catalog.hathitrust.org/Record/000024501","HathiTrust Record")</f>
        <v>HathiTrust Record</v>
      </c>
      <c r="AS1093" s="6" t="str">
        <f>HYPERLINK("https://creighton-primo.hosted.exlibrisgroup.com/primo-explore/search?tab=default_tab&amp;search_scope=EVERYTHING&amp;vid=01CRU&amp;lang=en_US&amp;offset=0&amp;query=any,contains,991004802979702656","Catalog Record")</f>
        <v>Catalog Record</v>
      </c>
      <c r="AT1093" s="6" t="str">
        <f>HYPERLINK("http://www.worldcat.org/oclc/5220773","WorldCat Record")</f>
        <v>WorldCat Record</v>
      </c>
      <c r="AU1093" s="3" t="s">
        <v>14222</v>
      </c>
      <c r="AV1093" s="3" t="s">
        <v>14223</v>
      </c>
      <c r="AW1093" s="3" t="s">
        <v>14224</v>
      </c>
      <c r="AX1093" s="3" t="s">
        <v>14224</v>
      </c>
      <c r="AY1093" s="3" t="s">
        <v>14225</v>
      </c>
      <c r="AZ1093" s="3" t="s">
        <v>74</v>
      </c>
      <c r="BB1093" s="3" t="s">
        <v>14226</v>
      </c>
      <c r="BC1093" s="3" t="s">
        <v>14227</v>
      </c>
      <c r="BD1093" s="3" t="s">
        <v>14228</v>
      </c>
    </row>
    <row r="1094" spans="1:56" ht="45.75" customHeight="1" x14ac:dyDescent="0.25">
      <c r="A1094" s="7" t="s">
        <v>58</v>
      </c>
      <c r="B1094" s="2" t="s">
        <v>14229</v>
      </c>
      <c r="C1094" s="2" t="s">
        <v>14230</v>
      </c>
      <c r="D1094" s="2" t="s">
        <v>14231</v>
      </c>
      <c r="F1094" s="3" t="s">
        <v>58</v>
      </c>
      <c r="G1094" s="3" t="s">
        <v>59</v>
      </c>
      <c r="H1094" s="3" t="s">
        <v>58</v>
      </c>
      <c r="I1094" s="3" t="s">
        <v>58</v>
      </c>
      <c r="J1094" s="3" t="s">
        <v>60</v>
      </c>
      <c r="L1094" s="2" t="s">
        <v>14232</v>
      </c>
      <c r="M1094" s="3" t="s">
        <v>1058</v>
      </c>
      <c r="O1094" s="3" t="s">
        <v>65</v>
      </c>
      <c r="P1094" s="3" t="s">
        <v>175</v>
      </c>
      <c r="R1094" s="3" t="s">
        <v>67</v>
      </c>
      <c r="S1094" s="4">
        <v>36</v>
      </c>
      <c r="T1094" s="4">
        <v>36</v>
      </c>
      <c r="U1094" s="5" t="s">
        <v>14208</v>
      </c>
      <c r="V1094" s="5" t="s">
        <v>14208</v>
      </c>
      <c r="W1094" s="5" t="s">
        <v>14233</v>
      </c>
      <c r="X1094" s="5" t="s">
        <v>14233</v>
      </c>
      <c r="Y1094" s="4">
        <v>371</v>
      </c>
      <c r="Z1094" s="4">
        <v>237</v>
      </c>
      <c r="AA1094" s="4">
        <v>244</v>
      </c>
      <c r="AB1094" s="4">
        <v>1</v>
      </c>
      <c r="AC1094" s="4">
        <v>1</v>
      </c>
      <c r="AD1094" s="4">
        <v>13</v>
      </c>
      <c r="AE1094" s="4">
        <v>13</v>
      </c>
      <c r="AF1094" s="4">
        <v>3</v>
      </c>
      <c r="AG1094" s="4">
        <v>3</v>
      </c>
      <c r="AH1094" s="4">
        <v>4</v>
      </c>
      <c r="AI1094" s="4">
        <v>4</v>
      </c>
      <c r="AJ1094" s="4">
        <v>7</v>
      </c>
      <c r="AK1094" s="4">
        <v>7</v>
      </c>
      <c r="AL1094" s="4">
        <v>0</v>
      </c>
      <c r="AM1094" s="4">
        <v>0</v>
      </c>
      <c r="AN1094" s="4">
        <v>2</v>
      </c>
      <c r="AO1094" s="4">
        <v>2</v>
      </c>
      <c r="AP1094" s="3" t="s">
        <v>58</v>
      </c>
      <c r="AQ1094" s="3" t="s">
        <v>87</v>
      </c>
      <c r="AR1094" s="6" t="str">
        <f>HYPERLINK("http://catalog.hathitrust.org/Record/000911256","HathiTrust Record")</f>
        <v>HathiTrust Record</v>
      </c>
      <c r="AS1094" s="6" t="str">
        <f>HYPERLINK("https://creighton-primo.hosted.exlibrisgroup.com/primo-explore/search?tab=default_tab&amp;search_scope=EVERYTHING&amp;vid=01CRU&amp;lang=en_US&amp;offset=0&amp;query=any,contains,991001311199702656","Catalog Record")</f>
        <v>Catalog Record</v>
      </c>
      <c r="AT1094" s="6" t="str">
        <f>HYPERLINK("http://www.worldcat.org/oclc/18140503","WorldCat Record")</f>
        <v>WorldCat Record</v>
      </c>
      <c r="AU1094" s="3" t="s">
        <v>14234</v>
      </c>
      <c r="AV1094" s="3" t="s">
        <v>14235</v>
      </c>
      <c r="AW1094" s="3" t="s">
        <v>14236</v>
      </c>
      <c r="AX1094" s="3" t="s">
        <v>14236</v>
      </c>
      <c r="AY1094" s="3" t="s">
        <v>14237</v>
      </c>
      <c r="AZ1094" s="3" t="s">
        <v>74</v>
      </c>
      <c r="BB1094" s="3" t="s">
        <v>14238</v>
      </c>
      <c r="BC1094" s="3" t="s">
        <v>14239</v>
      </c>
      <c r="BD1094" s="3" t="s">
        <v>14240</v>
      </c>
    </row>
    <row r="1095" spans="1:56" ht="45.75" customHeight="1" x14ac:dyDescent="0.25">
      <c r="A1095" s="7" t="s">
        <v>58</v>
      </c>
      <c r="B1095" s="2" t="s">
        <v>14241</v>
      </c>
      <c r="C1095" s="2" t="s">
        <v>14242</v>
      </c>
      <c r="D1095" s="2" t="s">
        <v>14243</v>
      </c>
      <c r="F1095" s="3" t="s">
        <v>58</v>
      </c>
      <c r="G1095" s="3" t="s">
        <v>59</v>
      </c>
      <c r="H1095" s="3" t="s">
        <v>58</v>
      </c>
      <c r="I1095" s="3" t="s">
        <v>58</v>
      </c>
      <c r="J1095" s="3" t="s">
        <v>60</v>
      </c>
      <c r="K1095" s="2" t="s">
        <v>14244</v>
      </c>
      <c r="L1095" s="2" t="s">
        <v>14245</v>
      </c>
      <c r="M1095" s="3" t="s">
        <v>1209</v>
      </c>
      <c r="O1095" s="3" t="s">
        <v>65</v>
      </c>
      <c r="P1095" s="3" t="s">
        <v>66</v>
      </c>
      <c r="R1095" s="3" t="s">
        <v>67</v>
      </c>
      <c r="S1095" s="4">
        <v>5</v>
      </c>
      <c r="T1095" s="4">
        <v>5</v>
      </c>
      <c r="U1095" s="5" t="s">
        <v>4083</v>
      </c>
      <c r="V1095" s="5" t="s">
        <v>4083</v>
      </c>
      <c r="W1095" s="5" t="s">
        <v>14246</v>
      </c>
      <c r="X1095" s="5" t="s">
        <v>14246</v>
      </c>
      <c r="Y1095" s="4">
        <v>126</v>
      </c>
      <c r="Z1095" s="4">
        <v>117</v>
      </c>
      <c r="AA1095" s="4">
        <v>135</v>
      </c>
      <c r="AB1095" s="4">
        <v>1</v>
      </c>
      <c r="AC1095" s="4">
        <v>1</v>
      </c>
      <c r="AD1095" s="4">
        <v>11</v>
      </c>
      <c r="AE1095" s="4">
        <v>12</v>
      </c>
      <c r="AF1095" s="4">
        <v>0</v>
      </c>
      <c r="AG1095" s="4">
        <v>0</v>
      </c>
      <c r="AH1095" s="4">
        <v>0</v>
      </c>
      <c r="AI1095" s="4">
        <v>0</v>
      </c>
      <c r="AJ1095" s="4">
        <v>0</v>
      </c>
      <c r="AK1095" s="4">
        <v>0</v>
      </c>
      <c r="AL1095" s="4">
        <v>0</v>
      </c>
      <c r="AM1095" s="4">
        <v>0</v>
      </c>
      <c r="AN1095" s="4">
        <v>11</v>
      </c>
      <c r="AO1095" s="4">
        <v>12</v>
      </c>
      <c r="AP1095" s="3" t="s">
        <v>58</v>
      </c>
      <c r="AQ1095" s="3" t="s">
        <v>58</v>
      </c>
      <c r="AS1095" s="6" t="str">
        <f>HYPERLINK("https://creighton-primo.hosted.exlibrisgroup.com/primo-explore/search?tab=default_tab&amp;search_scope=EVERYTHING&amp;vid=01CRU&amp;lang=en_US&amp;offset=0&amp;query=any,contains,991001125479702656","Catalog Record")</f>
        <v>Catalog Record</v>
      </c>
      <c r="AT1095" s="6" t="str">
        <f>HYPERLINK("http://www.worldcat.org/oclc/16648143","WorldCat Record")</f>
        <v>WorldCat Record</v>
      </c>
      <c r="AU1095" s="3" t="s">
        <v>14247</v>
      </c>
      <c r="AV1095" s="3" t="s">
        <v>14248</v>
      </c>
      <c r="AW1095" s="3" t="s">
        <v>14249</v>
      </c>
      <c r="AX1095" s="3" t="s">
        <v>14249</v>
      </c>
      <c r="AY1095" s="3" t="s">
        <v>14250</v>
      </c>
      <c r="AZ1095" s="3" t="s">
        <v>74</v>
      </c>
      <c r="BB1095" s="3" t="s">
        <v>14251</v>
      </c>
      <c r="BC1095" s="3" t="s">
        <v>14252</v>
      </c>
      <c r="BD1095" s="3" t="s">
        <v>14253</v>
      </c>
    </row>
    <row r="1096" spans="1:56" ht="45.75" customHeight="1" x14ac:dyDescent="0.25">
      <c r="A1096" s="7" t="s">
        <v>58</v>
      </c>
      <c r="B1096" s="2" t="s">
        <v>14254</v>
      </c>
      <c r="C1096" s="2" t="s">
        <v>14255</v>
      </c>
      <c r="D1096" s="2" t="s">
        <v>14256</v>
      </c>
      <c r="F1096" s="3" t="s">
        <v>58</v>
      </c>
      <c r="G1096" s="3" t="s">
        <v>59</v>
      </c>
      <c r="H1096" s="3" t="s">
        <v>58</v>
      </c>
      <c r="I1096" s="3" t="s">
        <v>58</v>
      </c>
      <c r="J1096" s="3" t="s">
        <v>60</v>
      </c>
      <c r="K1096" s="2" t="s">
        <v>14244</v>
      </c>
      <c r="L1096" s="2" t="s">
        <v>14257</v>
      </c>
      <c r="M1096" s="3" t="s">
        <v>528</v>
      </c>
      <c r="O1096" s="3" t="s">
        <v>65</v>
      </c>
      <c r="P1096" s="3" t="s">
        <v>84</v>
      </c>
      <c r="R1096" s="3" t="s">
        <v>67</v>
      </c>
      <c r="S1096" s="4">
        <v>18</v>
      </c>
      <c r="T1096" s="4">
        <v>18</v>
      </c>
      <c r="U1096" s="5" t="s">
        <v>14258</v>
      </c>
      <c r="V1096" s="5" t="s">
        <v>14258</v>
      </c>
      <c r="W1096" s="5" t="s">
        <v>14259</v>
      </c>
      <c r="X1096" s="5" t="s">
        <v>14259</v>
      </c>
      <c r="Y1096" s="4">
        <v>1131</v>
      </c>
      <c r="Z1096" s="4">
        <v>1029</v>
      </c>
      <c r="AA1096" s="4">
        <v>1038</v>
      </c>
      <c r="AB1096" s="4">
        <v>7</v>
      </c>
      <c r="AC1096" s="4">
        <v>7</v>
      </c>
      <c r="AD1096" s="4">
        <v>31</v>
      </c>
      <c r="AE1096" s="4">
        <v>31</v>
      </c>
      <c r="AF1096" s="4">
        <v>8</v>
      </c>
      <c r="AG1096" s="4">
        <v>8</v>
      </c>
      <c r="AH1096" s="4">
        <v>4</v>
      </c>
      <c r="AI1096" s="4">
        <v>4</v>
      </c>
      <c r="AJ1096" s="4">
        <v>10</v>
      </c>
      <c r="AK1096" s="4">
        <v>10</v>
      </c>
      <c r="AL1096" s="4">
        <v>4</v>
      </c>
      <c r="AM1096" s="4">
        <v>4</v>
      </c>
      <c r="AN1096" s="4">
        <v>9</v>
      </c>
      <c r="AO1096" s="4">
        <v>9</v>
      </c>
      <c r="AP1096" s="3" t="s">
        <v>58</v>
      </c>
      <c r="AQ1096" s="3" t="s">
        <v>87</v>
      </c>
      <c r="AR1096" s="6" t="str">
        <f>HYPERLINK("http://catalog.hathitrust.org/Record/002228066","HathiTrust Record")</f>
        <v>HathiTrust Record</v>
      </c>
      <c r="AS1096" s="6" t="str">
        <f>HYPERLINK("https://creighton-primo.hosted.exlibrisgroup.com/primo-explore/search?tab=default_tab&amp;search_scope=EVERYTHING&amp;vid=01CRU&amp;lang=en_US&amp;offset=0&amp;query=any,contains,991001602379702656","Catalog Record")</f>
        <v>Catalog Record</v>
      </c>
      <c r="AT1096" s="6" t="str">
        <f>HYPERLINK("http://www.worldcat.org/oclc/20671624","WorldCat Record")</f>
        <v>WorldCat Record</v>
      </c>
      <c r="AU1096" s="3" t="s">
        <v>14260</v>
      </c>
      <c r="AV1096" s="3" t="s">
        <v>14261</v>
      </c>
      <c r="AW1096" s="3" t="s">
        <v>14262</v>
      </c>
      <c r="AX1096" s="3" t="s">
        <v>14262</v>
      </c>
      <c r="AY1096" s="3" t="s">
        <v>14263</v>
      </c>
      <c r="AZ1096" s="3" t="s">
        <v>74</v>
      </c>
      <c r="BB1096" s="3" t="s">
        <v>14264</v>
      </c>
      <c r="BC1096" s="3" t="s">
        <v>14265</v>
      </c>
      <c r="BD1096" s="3" t="s">
        <v>14266</v>
      </c>
    </row>
    <row r="1097" spans="1:56" ht="45.75" customHeight="1" x14ac:dyDescent="0.25">
      <c r="A1097" s="7" t="s">
        <v>58</v>
      </c>
      <c r="B1097" s="2" t="s">
        <v>14267</v>
      </c>
      <c r="C1097" s="2" t="s">
        <v>14268</v>
      </c>
      <c r="D1097" s="2" t="s">
        <v>14269</v>
      </c>
      <c r="F1097" s="3" t="s">
        <v>58</v>
      </c>
      <c r="G1097" s="3" t="s">
        <v>59</v>
      </c>
      <c r="H1097" s="3" t="s">
        <v>87</v>
      </c>
      <c r="I1097" s="3" t="s">
        <v>87</v>
      </c>
      <c r="J1097" s="3" t="s">
        <v>60</v>
      </c>
      <c r="K1097" s="2" t="s">
        <v>14270</v>
      </c>
      <c r="L1097" s="2" t="s">
        <v>14271</v>
      </c>
      <c r="M1097" s="3" t="s">
        <v>528</v>
      </c>
      <c r="O1097" s="3" t="s">
        <v>65</v>
      </c>
      <c r="P1097" s="3" t="s">
        <v>84</v>
      </c>
      <c r="R1097" s="3" t="s">
        <v>67</v>
      </c>
      <c r="S1097" s="4">
        <v>6</v>
      </c>
      <c r="T1097" s="4">
        <v>13</v>
      </c>
      <c r="U1097" s="5" t="s">
        <v>14258</v>
      </c>
      <c r="V1097" s="5" t="s">
        <v>14272</v>
      </c>
      <c r="W1097" s="5" t="s">
        <v>895</v>
      </c>
      <c r="X1097" s="5" t="s">
        <v>9404</v>
      </c>
      <c r="Y1097" s="4">
        <v>903</v>
      </c>
      <c r="Z1097" s="4">
        <v>844</v>
      </c>
      <c r="AA1097" s="4">
        <v>1047</v>
      </c>
      <c r="AB1097" s="4">
        <v>8</v>
      </c>
      <c r="AC1097" s="4">
        <v>12</v>
      </c>
      <c r="AD1097" s="4">
        <v>28</v>
      </c>
      <c r="AE1097" s="4">
        <v>34</v>
      </c>
      <c r="AF1097" s="4">
        <v>4</v>
      </c>
      <c r="AG1097" s="4">
        <v>6</v>
      </c>
      <c r="AH1097" s="4">
        <v>6</v>
      </c>
      <c r="AI1097" s="4">
        <v>7</v>
      </c>
      <c r="AJ1097" s="4">
        <v>8</v>
      </c>
      <c r="AK1097" s="4">
        <v>11</v>
      </c>
      <c r="AL1097" s="4">
        <v>5</v>
      </c>
      <c r="AM1097" s="4">
        <v>7</v>
      </c>
      <c r="AN1097" s="4">
        <v>8</v>
      </c>
      <c r="AO1097" s="4">
        <v>8</v>
      </c>
      <c r="AP1097" s="3" t="s">
        <v>58</v>
      </c>
      <c r="AQ1097" s="3" t="s">
        <v>87</v>
      </c>
      <c r="AR1097" s="6" t="str">
        <f>HYPERLINK("http://catalog.hathitrust.org/Record/002235343","HathiTrust Record")</f>
        <v>HathiTrust Record</v>
      </c>
      <c r="AS1097" s="6" t="str">
        <f>HYPERLINK("https://creighton-primo.hosted.exlibrisgroup.com/primo-explore/search?tab=default_tab&amp;search_scope=EVERYTHING&amp;vid=01CRU&amp;lang=en_US&amp;offset=0&amp;query=any,contains,991001681379702656","Catalog Record")</f>
        <v>Catalog Record</v>
      </c>
      <c r="AT1097" s="6" t="str">
        <f>HYPERLINK("http://www.worldcat.org/oclc/21870351","WorldCat Record")</f>
        <v>WorldCat Record</v>
      </c>
      <c r="AU1097" s="3" t="s">
        <v>14273</v>
      </c>
      <c r="AV1097" s="3" t="s">
        <v>14274</v>
      </c>
      <c r="AW1097" s="3" t="s">
        <v>14275</v>
      </c>
      <c r="AX1097" s="3" t="s">
        <v>14275</v>
      </c>
      <c r="AY1097" s="3" t="s">
        <v>14276</v>
      </c>
      <c r="AZ1097" s="3" t="s">
        <v>74</v>
      </c>
      <c r="BB1097" s="3" t="s">
        <v>14277</v>
      </c>
      <c r="BC1097" s="3" t="s">
        <v>14278</v>
      </c>
      <c r="BD1097" s="3" t="s">
        <v>14279</v>
      </c>
    </row>
    <row r="1098" spans="1:56" ht="45.75" customHeight="1" x14ac:dyDescent="0.25">
      <c r="A1098" s="7" t="s">
        <v>58</v>
      </c>
      <c r="B1098" s="2" t="s">
        <v>14280</v>
      </c>
      <c r="C1098" s="2" t="s">
        <v>14281</v>
      </c>
      <c r="D1098" s="2" t="s">
        <v>14282</v>
      </c>
      <c r="F1098" s="3" t="s">
        <v>58</v>
      </c>
      <c r="G1098" s="3" t="s">
        <v>59</v>
      </c>
      <c r="H1098" s="3" t="s">
        <v>58</v>
      </c>
      <c r="I1098" s="3" t="s">
        <v>58</v>
      </c>
      <c r="J1098" s="3" t="s">
        <v>60</v>
      </c>
      <c r="K1098" s="2" t="s">
        <v>14283</v>
      </c>
      <c r="L1098" s="2" t="s">
        <v>14284</v>
      </c>
      <c r="M1098" s="3" t="s">
        <v>116</v>
      </c>
      <c r="O1098" s="3" t="s">
        <v>65</v>
      </c>
      <c r="P1098" s="3" t="s">
        <v>175</v>
      </c>
      <c r="Q1098" s="2" t="s">
        <v>10516</v>
      </c>
      <c r="R1098" s="3" t="s">
        <v>67</v>
      </c>
      <c r="S1098" s="4">
        <v>2</v>
      </c>
      <c r="T1098" s="4">
        <v>2</v>
      </c>
      <c r="U1098" s="5" t="s">
        <v>14208</v>
      </c>
      <c r="V1098" s="5" t="s">
        <v>14208</v>
      </c>
      <c r="W1098" s="5" t="s">
        <v>14285</v>
      </c>
      <c r="X1098" s="5" t="s">
        <v>14285</v>
      </c>
      <c r="Y1098" s="4">
        <v>279</v>
      </c>
      <c r="Z1098" s="4">
        <v>145</v>
      </c>
      <c r="AA1098" s="4">
        <v>991</v>
      </c>
      <c r="AB1098" s="4">
        <v>2</v>
      </c>
      <c r="AC1098" s="4">
        <v>4</v>
      </c>
      <c r="AD1098" s="4">
        <v>4</v>
      </c>
      <c r="AE1098" s="4">
        <v>19</v>
      </c>
      <c r="AF1098" s="4">
        <v>2</v>
      </c>
      <c r="AG1098" s="4">
        <v>12</v>
      </c>
      <c r="AH1098" s="4">
        <v>0</v>
      </c>
      <c r="AI1098" s="4">
        <v>2</v>
      </c>
      <c r="AJ1098" s="4">
        <v>2</v>
      </c>
      <c r="AK1098" s="4">
        <v>8</v>
      </c>
      <c r="AL1098" s="4">
        <v>1</v>
      </c>
      <c r="AM1098" s="4">
        <v>2</v>
      </c>
      <c r="AN1098" s="4">
        <v>0</v>
      </c>
      <c r="AO1098" s="4">
        <v>0</v>
      </c>
      <c r="AP1098" s="3" t="s">
        <v>58</v>
      </c>
      <c r="AQ1098" s="3" t="s">
        <v>87</v>
      </c>
      <c r="AR1098" s="6" t="str">
        <f>HYPERLINK("http://catalog.hathitrust.org/Record/004028173","HathiTrust Record")</f>
        <v>HathiTrust Record</v>
      </c>
      <c r="AS1098" s="6" t="str">
        <f>HYPERLINK("https://creighton-primo.hosted.exlibrisgroup.com/primo-explore/search?tab=default_tab&amp;search_scope=EVERYTHING&amp;vid=01CRU&amp;lang=en_US&amp;offset=0&amp;query=any,contains,991004265579702656","Catalog Record")</f>
        <v>Catalog Record</v>
      </c>
      <c r="AT1098" s="6" t="str">
        <f>HYPERLINK("http://www.worldcat.org/oclc/39354290","WorldCat Record")</f>
        <v>WorldCat Record</v>
      </c>
      <c r="AU1098" s="3" t="s">
        <v>14286</v>
      </c>
      <c r="AV1098" s="3" t="s">
        <v>14287</v>
      </c>
      <c r="AW1098" s="3" t="s">
        <v>14288</v>
      </c>
      <c r="AX1098" s="3" t="s">
        <v>14288</v>
      </c>
      <c r="AY1098" s="3" t="s">
        <v>14289</v>
      </c>
      <c r="AZ1098" s="3" t="s">
        <v>74</v>
      </c>
      <c r="BB1098" s="3" t="s">
        <v>14290</v>
      </c>
      <c r="BC1098" s="3" t="s">
        <v>14291</v>
      </c>
      <c r="BD1098" s="3" t="s">
        <v>14292</v>
      </c>
    </row>
    <row r="1099" spans="1:56" ht="45.75" customHeight="1" x14ac:dyDescent="0.25">
      <c r="A1099" s="7" t="s">
        <v>58</v>
      </c>
      <c r="B1099" s="2" t="s">
        <v>14293</v>
      </c>
      <c r="C1099" s="2" t="s">
        <v>14294</v>
      </c>
      <c r="D1099" s="2" t="s">
        <v>14295</v>
      </c>
      <c r="F1099" s="3" t="s">
        <v>58</v>
      </c>
      <c r="G1099" s="3" t="s">
        <v>59</v>
      </c>
      <c r="H1099" s="3" t="s">
        <v>58</v>
      </c>
      <c r="I1099" s="3" t="s">
        <v>58</v>
      </c>
      <c r="J1099" s="3" t="s">
        <v>60</v>
      </c>
      <c r="K1099" s="2" t="s">
        <v>14296</v>
      </c>
      <c r="L1099" s="2" t="s">
        <v>14297</v>
      </c>
      <c r="M1099" s="3" t="s">
        <v>307</v>
      </c>
      <c r="O1099" s="3" t="s">
        <v>65</v>
      </c>
      <c r="P1099" s="3" t="s">
        <v>14298</v>
      </c>
      <c r="R1099" s="3" t="s">
        <v>67</v>
      </c>
      <c r="S1099" s="4">
        <v>9</v>
      </c>
      <c r="T1099" s="4">
        <v>9</v>
      </c>
      <c r="U1099" s="5" t="s">
        <v>14299</v>
      </c>
      <c r="V1099" s="5" t="s">
        <v>14299</v>
      </c>
      <c r="W1099" s="5" t="s">
        <v>3538</v>
      </c>
      <c r="X1099" s="5" t="s">
        <v>3538</v>
      </c>
      <c r="Y1099" s="4">
        <v>211</v>
      </c>
      <c r="Z1099" s="4">
        <v>153</v>
      </c>
      <c r="AA1099" s="4">
        <v>159</v>
      </c>
      <c r="AB1099" s="4">
        <v>1</v>
      </c>
      <c r="AC1099" s="4">
        <v>1</v>
      </c>
      <c r="AD1099" s="4">
        <v>7</v>
      </c>
      <c r="AE1099" s="4">
        <v>7</v>
      </c>
      <c r="AF1099" s="4">
        <v>5</v>
      </c>
      <c r="AG1099" s="4">
        <v>5</v>
      </c>
      <c r="AH1099" s="4">
        <v>1</v>
      </c>
      <c r="AI1099" s="4">
        <v>1</v>
      </c>
      <c r="AJ1099" s="4">
        <v>4</v>
      </c>
      <c r="AK1099" s="4">
        <v>4</v>
      </c>
      <c r="AL1099" s="4">
        <v>0</v>
      </c>
      <c r="AM1099" s="4">
        <v>0</v>
      </c>
      <c r="AN1099" s="4">
        <v>1</v>
      </c>
      <c r="AO1099" s="4">
        <v>1</v>
      </c>
      <c r="AP1099" s="3" t="s">
        <v>58</v>
      </c>
      <c r="AQ1099" s="3" t="s">
        <v>87</v>
      </c>
      <c r="AR1099" s="6" t="str">
        <f>HYPERLINK("http://catalog.hathitrust.org/Record/003085352","HathiTrust Record")</f>
        <v>HathiTrust Record</v>
      </c>
      <c r="AS1099" s="6" t="str">
        <f>HYPERLINK("https://creighton-primo.hosted.exlibrisgroup.com/primo-explore/search?tab=default_tab&amp;search_scope=EVERYTHING&amp;vid=01CRU&amp;lang=en_US&amp;offset=0&amp;query=any,contains,991002422399702656","Catalog Record")</f>
        <v>Catalog Record</v>
      </c>
      <c r="AT1099" s="6" t="str">
        <f>HYPERLINK("http://www.worldcat.org/oclc/31604608","WorldCat Record")</f>
        <v>WorldCat Record</v>
      </c>
      <c r="AU1099" s="3" t="s">
        <v>14300</v>
      </c>
      <c r="AV1099" s="3" t="s">
        <v>14301</v>
      </c>
      <c r="AW1099" s="3" t="s">
        <v>14302</v>
      </c>
      <c r="AX1099" s="3" t="s">
        <v>14302</v>
      </c>
      <c r="AY1099" s="3" t="s">
        <v>14303</v>
      </c>
      <c r="AZ1099" s="3" t="s">
        <v>74</v>
      </c>
      <c r="BB1099" s="3" t="s">
        <v>14304</v>
      </c>
      <c r="BC1099" s="3" t="s">
        <v>14305</v>
      </c>
      <c r="BD1099" s="3" t="s">
        <v>14306</v>
      </c>
    </row>
    <row r="1100" spans="1:56" ht="45.75" customHeight="1" x14ac:dyDescent="0.25">
      <c r="A1100" s="7" t="s">
        <v>58</v>
      </c>
      <c r="B1100" s="2" t="s">
        <v>14307</v>
      </c>
      <c r="C1100" s="2" t="s">
        <v>14308</v>
      </c>
      <c r="D1100" s="2" t="s">
        <v>14309</v>
      </c>
      <c r="F1100" s="3" t="s">
        <v>58</v>
      </c>
      <c r="G1100" s="3" t="s">
        <v>59</v>
      </c>
      <c r="H1100" s="3" t="s">
        <v>58</v>
      </c>
      <c r="I1100" s="3" t="s">
        <v>58</v>
      </c>
      <c r="J1100" s="3" t="s">
        <v>60</v>
      </c>
      <c r="K1100" s="2" t="s">
        <v>14310</v>
      </c>
      <c r="L1100" s="2" t="s">
        <v>14311</v>
      </c>
      <c r="M1100" s="3" t="s">
        <v>1058</v>
      </c>
      <c r="O1100" s="3" t="s">
        <v>65</v>
      </c>
      <c r="P1100" s="3" t="s">
        <v>190</v>
      </c>
      <c r="R1100" s="3" t="s">
        <v>67</v>
      </c>
      <c r="S1100" s="4">
        <v>12</v>
      </c>
      <c r="T1100" s="4">
        <v>12</v>
      </c>
      <c r="U1100" s="5" t="s">
        <v>14312</v>
      </c>
      <c r="V1100" s="5" t="s">
        <v>14312</v>
      </c>
      <c r="W1100" s="5" t="s">
        <v>10609</v>
      </c>
      <c r="X1100" s="5" t="s">
        <v>10609</v>
      </c>
      <c r="Y1100" s="4">
        <v>395</v>
      </c>
      <c r="Z1100" s="4">
        <v>338</v>
      </c>
      <c r="AA1100" s="4">
        <v>496</v>
      </c>
      <c r="AB1100" s="4">
        <v>3</v>
      </c>
      <c r="AC1100" s="4">
        <v>3</v>
      </c>
      <c r="AD1100" s="4">
        <v>13</v>
      </c>
      <c r="AE1100" s="4">
        <v>19</v>
      </c>
      <c r="AF1100" s="4">
        <v>4</v>
      </c>
      <c r="AG1100" s="4">
        <v>6</v>
      </c>
      <c r="AH1100" s="4">
        <v>3</v>
      </c>
      <c r="AI1100" s="4">
        <v>7</v>
      </c>
      <c r="AJ1100" s="4">
        <v>7</v>
      </c>
      <c r="AK1100" s="4">
        <v>9</v>
      </c>
      <c r="AL1100" s="4">
        <v>2</v>
      </c>
      <c r="AM1100" s="4">
        <v>2</v>
      </c>
      <c r="AN1100" s="4">
        <v>1</v>
      </c>
      <c r="AO1100" s="4">
        <v>1</v>
      </c>
      <c r="AP1100" s="3" t="s">
        <v>58</v>
      </c>
      <c r="AQ1100" s="3" t="s">
        <v>87</v>
      </c>
      <c r="AR1100" s="6" t="str">
        <f>HYPERLINK("http://catalog.hathitrust.org/Record/000914110","HathiTrust Record")</f>
        <v>HathiTrust Record</v>
      </c>
      <c r="AS1100" s="6" t="str">
        <f>HYPERLINK("https://creighton-primo.hosted.exlibrisgroup.com/primo-explore/search?tab=default_tab&amp;search_scope=EVERYTHING&amp;vid=01CRU&amp;lang=en_US&amp;offset=0&amp;query=any,contains,991001161539702656","Catalog Record")</f>
        <v>Catalog Record</v>
      </c>
      <c r="AT1100" s="6" t="str">
        <f>HYPERLINK("http://www.worldcat.org/oclc/16900688","WorldCat Record")</f>
        <v>WorldCat Record</v>
      </c>
      <c r="AU1100" s="3" t="s">
        <v>14313</v>
      </c>
      <c r="AV1100" s="3" t="s">
        <v>14314</v>
      </c>
      <c r="AW1100" s="3" t="s">
        <v>14315</v>
      </c>
      <c r="AX1100" s="3" t="s">
        <v>14315</v>
      </c>
      <c r="AY1100" s="3" t="s">
        <v>14316</v>
      </c>
      <c r="AZ1100" s="3" t="s">
        <v>74</v>
      </c>
      <c r="BB1100" s="3" t="s">
        <v>14317</v>
      </c>
      <c r="BC1100" s="3" t="s">
        <v>14318</v>
      </c>
      <c r="BD1100" s="3" t="s">
        <v>14319</v>
      </c>
    </row>
    <row r="1101" spans="1:56" ht="45.75" customHeight="1" x14ac:dyDescent="0.25">
      <c r="A1101" s="7" t="s">
        <v>58</v>
      </c>
      <c r="B1101" s="2" t="s">
        <v>14320</v>
      </c>
      <c r="C1101" s="2" t="s">
        <v>14321</v>
      </c>
      <c r="D1101" s="2" t="s">
        <v>14322</v>
      </c>
      <c r="F1101" s="3" t="s">
        <v>58</v>
      </c>
      <c r="G1101" s="3" t="s">
        <v>59</v>
      </c>
      <c r="H1101" s="3" t="s">
        <v>58</v>
      </c>
      <c r="I1101" s="3" t="s">
        <v>58</v>
      </c>
      <c r="J1101" s="3" t="s">
        <v>60</v>
      </c>
      <c r="K1101" s="2" t="s">
        <v>14323</v>
      </c>
      <c r="L1101" s="2" t="s">
        <v>14324</v>
      </c>
      <c r="M1101" s="3" t="s">
        <v>63</v>
      </c>
      <c r="N1101" s="2" t="s">
        <v>14325</v>
      </c>
      <c r="O1101" s="3" t="s">
        <v>65</v>
      </c>
      <c r="P1101" s="3" t="s">
        <v>84</v>
      </c>
      <c r="R1101" s="3" t="s">
        <v>67</v>
      </c>
      <c r="S1101" s="4">
        <v>1</v>
      </c>
      <c r="T1101" s="4">
        <v>1</v>
      </c>
      <c r="U1101" s="5" t="s">
        <v>14326</v>
      </c>
      <c r="V1101" s="5" t="s">
        <v>14326</v>
      </c>
      <c r="W1101" s="5" t="s">
        <v>14326</v>
      </c>
      <c r="X1101" s="5" t="s">
        <v>14326</v>
      </c>
      <c r="Y1101" s="4">
        <v>756</v>
      </c>
      <c r="Z1101" s="4">
        <v>689</v>
      </c>
      <c r="AA1101" s="4">
        <v>718</v>
      </c>
      <c r="AB1101" s="4">
        <v>7</v>
      </c>
      <c r="AC1101" s="4">
        <v>7</v>
      </c>
      <c r="AD1101" s="4">
        <v>22</v>
      </c>
      <c r="AE1101" s="4">
        <v>22</v>
      </c>
      <c r="AF1101" s="4">
        <v>4</v>
      </c>
      <c r="AG1101" s="4">
        <v>4</v>
      </c>
      <c r="AH1101" s="4">
        <v>4</v>
      </c>
      <c r="AI1101" s="4">
        <v>4</v>
      </c>
      <c r="AJ1101" s="4">
        <v>11</v>
      </c>
      <c r="AK1101" s="4">
        <v>11</v>
      </c>
      <c r="AL1101" s="4">
        <v>6</v>
      </c>
      <c r="AM1101" s="4">
        <v>6</v>
      </c>
      <c r="AN1101" s="4">
        <v>1</v>
      </c>
      <c r="AO1101" s="4">
        <v>1</v>
      </c>
      <c r="AP1101" s="3" t="s">
        <v>58</v>
      </c>
      <c r="AQ1101" s="3" t="s">
        <v>58</v>
      </c>
      <c r="AS1101" s="6" t="str">
        <f>HYPERLINK("https://creighton-primo.hosted.exlibrisgroup.com/primo-explore/search?tab=default_tab&amp;search_scope=EVERYTHING&amp;vid=01CRU&amp;lang=en_US&amp;offset=0&amp;query=any,contains,991004693359702656","Catalog Record")</f>
        <v>Catalog Record</v>
      </c>
      <c r="AT1101" s="6" t="str">
        <f>HYPERLINK("http://www.worldcat.org/oclc/58599750","WorldCat Record")</f>
        <v>WorldCat Record</v>
      </c>
      <c r="AU1101" s="3" t="s">
        <v>14327</v>
      </c>
      <c r="AV1101" s="3" t="s">
        <v>14328</v>
      </c>
      <c r="AW1101" s="3" t="s">
        <v>14329</v>
      </c>
      <c r="AX1101" s="3" t="s">
        <v>14329</v>
      </c>
      <c r="AY1101" s="3" t="s">
        <v>14330</v>
      </c>
      <c r="AZ1101" s="3" t="s">
        <v>74</v>
      </c>
      <c r="BB1101" s="3" t="s">
        <v>14331</v>
      </c>
      <c r="BC1101" s="3" t="s">
        <v>14332</v>
      </c>
      <c r="BD1101" s="3" t="s">
        <v>14333</v>
      </c>
    </row>
    <row r="1102" spans="1:56" ht="45.75" customHeight="1" x14ac:dyDescent="0.25">
      <c r="A1102" s="7" t="s">
        <v>58</v>
      </c>
      <c r="B1102" s="2" t="s">
        <v>14334</v>
      </c>
      <c r="C1102" s="2" t="s">
        <v>14335</v>
      </c>
      <c r="D1102" s="2" t="s">
        <v>14336</v>
      </c>
      <c r="F1102" s="3" t="s">
        <v>58</v>
      </c>
      <c r="G1102" s="3" t="s">
        <v>59</v>
      </c>
      <c r="H1102" s="3" t="s">
        <v>58</v>
      </c>
      <c r="I1102" s="3" t="s">
        <v>58</v>
      </c>
      <c r="J1102" s="3" t="s">
        <v>60</v>
      </c>
      <c r="K1102" s="2" t="s">
        <v>14337</v>
      </c>
      <c r="L1102" s="2" t="s">
        <v>14338</v>
      </c>
      <c r="M1102" s="3" t="s">
        <v>147</v>
      </c>
      <c r="O1102" s="3" t="s">
        <v>65</v>
      </c>
      <c r="P1102" s="3" t="s">
        <v>336</v>
      </c>
      <c r="R1102" s="3" t="s">
        <v>67</v>
      </c>
      <c r="S1102" s="4">
        <v>3</v>
      </c>
      <c r="T1102" s="4">
        <v>3</v>
      </c>
      <c r="U1102" s="5" t="s">
        <v>14339</v>
      </c>
      <c r="V1102" s="5" t="s">
        <v>14339</v>
      </c>
      <c r="W1102" s="5" t="s">
        <v>7221</v>
      </c>
      <c r="X1102" s="5" t="s">
        <v>7221</v>
      </c>
      <c r="Y1102" s="4">
        <v>742</v>
      </c>
      <c r="Z1102" s="4">
        <v>648</v>
      </c>
      <c r="AA1102" s="4">
        <v>1056</v>
      </c>
      <c r="AB1102" s="4">
        <v>7</v>
      </c>
      <c r="AC1102" s="4">
        <v>34</v>
      </c>
      <c r="AD1102" s="4">
        <v>23</v>
      </c>
      <c r="AE1102" s="4">
        <v>37</v>
      </c>
      <c r="AF1102" s="4">
        <v>13</v>
      </c>
      <c r="AG1102" s="4">
        <v>16</v>
      </c>
      <c r="AH1102" s="4">
        <v>3</v>
      </c>
      <c r="AI1102" s="4">
        <v>3</v>
      </c>
      <c r="AJ1102" s="4">
        <v>11</v>
      </c>
      <c r="AK1102" s="4">
        <v>13</v>
      </c>
      <c r="AL1102" s="4">
        <v>4</v>
      </c>
      <c r="AM1102" s="4">
        <v>13</v>
      </c>
      <c r="AN1102" s="4">
        <v>0</v>
      </c>
      <c r="AO1102" s="4">
        <v>0</v>
      </c>
      <c r="AP1102" s="3" t="s">
        <v>58</v>
      </c>
      <c r="AQ1102" s="3" t="s">
        <v>87</v>
      </c>
      <c r="AR1102" s="6" t="str">
        <f>HYPERLINK("http://catalog.hathitrust.org/Record/004957456","HathiTrust Record")</f>
        <v>HathiTrust Record</v>
      </c>
      <c r="AS1102" s="6" t="str">
        <f>HYPERLINK("https://creighton-primo.hosted.exlibrisgroup.com/primo-explore/search?tab=default_tab&amp;search_scope=EVERYTHING&amp;vid=01CRU&amp;lang=en_US&amp;offset=0&amp;query=any,contains,991004853369702656","Catalog Record")</f>
        <v>Catalog Record</v>
      </c>
      <c r="AT1102" s="6" t="str">
        <f>HYPERLINK("http://www.worldcat.org/oclc/53443269","WorldCat Record")</f>
        <v>WorldCat Record</v>
      </c>
      <c r="AU1102" s="3" t="s">
        <v>14340</v>
      </c>
      <c r="AV1102" s="3" t="s">
        <v>14341</v>
      </c>
      <c r="AW1102" s="3" t="s">
        <v>14342</v>
      </c>
      <c r="AX1102" s="3" t="s">
        <v>14342</v>
      </c>
      <c r="AY1102" s="3" t="s">
        <v>14343</v>
      </c>
      <c r="AZ1102" s="3" t="s">
        <v>74</v>
      </c>
      <c r="BB1102" s="3" t="s">
        <v>14344</v>
      </c>
      <c r="BC1102" s="3" t="s">
        <v>14345</v>
      </c>
      <c r="BD1102" s="3" t="s">
        <v>14346</v>
      </c>
    </row>
    <row r="1103" spans="1:56" ht="45.75" customHeight="1" x14ac:dyDescent="0.25">
      <c r="A1103" s="7" t="s">
        <v>58</v>
      </c>
      <c r="B1103" s="2" t="s">
        <v>14347</v>
      </c>
      <c r="C1103" s="2" t="s">
        <v>14348</v>
      </c>
      <c r="D1103" s="2" t="s">
        <v>14349</v>
      </c>
      <c r="F1103" s="3" t="s">
        <v>58</v>
      </c>
      <c r="G1103" s="3" t="s">
        <v>59</v>
      </c>
      <c r="H1103" s="3" t="s">
        <v>58</v>
      </c>
      <c r="I1103" s="3" t="s">
        <v>58</v>
      </c>
      <c r="J1103" s="3" t="s">
        <v>60</v>
      </c>
      <c r="K1103" s="2" t="s">
        <v>14350</v>
      </c>
      <c r="L1103" s="2" t="s">
        <v>14351</v>
      </c>
      <c r="M1103" s="3" t="s">
        <v>573</v>
      </c>
      <c r="O1103" s="3" t="s">
        <v>65</v>
      </c>
      <c r="P1103" s="3" t="s">
        <v>84</v>
      </c>
      <c r="R1103" s="3" t="s">
        <v>67</v>
      </c>
      <c r="S1103" s="4">
        <v>1</v>
      </c>
      <c r="T1103" s="4">
        <v>1</v>
      </c>
      <c r="U1103" s="5" t="s">
        <v>2066</v>
      </c>
      <c r="V1103" s="5" t="s">
        <v>2066</v>
      </c>
      <c r="W1103" s="5" t="s">
        <v>2066</v>
      </c>
      <c r="X1103" s="5" t="s">
        <v>2066</v>
      </c>
      <c r="Y1103" s="4">
        <v>1077</v>
      </c>
      <c r="Z1103" s="4">
        <v>1046</v>
      </c>
      <c r="AA1103" s="4">
        <v>1161</v>
      </c>
      <c r="AB1103" s="4">
        <v>11</v>
      </c>
      <c r="AC1103" s="4">
        <v>11</v>
      </c>
      <c r="AD1103" s="4">
        <v>10</v>
      </c>
      <c r="AE1103" s="4">
        <v>10</v>
      </c>
      <c r="AF1103" s="4">
        <v>4</v>
      </c>
      <c r="AG1103" s="4">
        <v>4</v>
      </c>
      <c r="AH1103" s="4">
        <v>1</v>
      </c>
      <c r="AI1103" s="4">
        <v>1</v>
      </c>
      <c r="AJ1103" s="4">
        <v>4</v>
      </c>
      <c r="AK1103" s="4">
        <v>4</v>
      </c>
      <c r="AL1103" s="4">
        <v>2</v>
      </c>
      <c r="AM1103" s="4">
        <v>2</v>
      </c>
      <c r="AN1103" s="4">
        <v>1</v>
      </c>
      <c r="AO1103" s="4">
        <v>1</v>
      </c>
      <c r="AP1103" s="3" t="s">
        <v>58</v>
      </c>
      <c r="AQ1103" s="3" t="s">
        <v>58</v>
      </c>
      <c r="AS1103" s="6" t="str">
        <f>HYPERLINK("https://creighton-primo.hosted.exlibrisgroup.com/primo-explore/search?tab=default_tab&amp;search_scope=EVERYTHING&amp;vid=01CRU&amp;lang=en_US&amp;offset=0&amp;query=any,contains,991004176539702656","Catalog Record")</f>
        <v>Catalog Record</v>
      </c>
      <c r="AT1103" s="6" t="str">
        <f>HYPERLINK("http://www.worldcat.org/oclc/52547597","WorldCat Record")</f>
        <v>WorldCat Record</v>
      </c>
      <c r="AU1103" s="3" t="s">
        <v>14352</v>
      </c>
      <c r="AV1103" s="3" t="s">
        <v>14353</v>
      </c>
      <c r="AW1103" s="3" t="s">
        <v>14354</v>
      </c>
      <c r="AX1103" s="3" t="s">
        <v>14354</v>
      </c>
      <c r="AY1103" s="3" t="s">
        <v>14355</v>
      </c>
      <c r="AZ1103" s="3" t="s">
        <v>74</v>
      </c>
      <c r="BB1103" s="3" t="s">
        <v>14356</v>
      </c>
      <c r="BC1103" s="3" t="s">
        <v>14357</v>
      </c>
      <c r="BD1103" s="3" t="s">
        <v>14358</v>
      </c>
    </row>
    <row r="1104" spans="1:56" ht="45.75" customHeight="1" x14ac:dyDescent="0.25">
      <c r="A1104" s="7" t="s">
        <v>58</v>
      </c>
      <c r="B1104" s="2" t="s">
        <v>14359</v>
      </c>
      <c r="C1104" s="2" t="s">
        <v>14360</v>
      </c>
      <c r="D1104" s="2" t="s">
        <v>14361</v>
      </c>
      <c r="F1104" s="3" t="s">
        <v>58</v>
      </c>
      <c r="G1104" s="3" t="s">
        <v>59</v>
      </c>
      <c r="H1104" s="3" t="s">
        <v>58</v>
      </c>
      <c r="I1104" s="3" t="s">
        <v>58</v>
      </c>
      <c r="J1104" s="3" t="s">
        <v>60</v>
      </c>
      <c r="K1104" s="2" t="s">
        <v>14362</v>
      </c>
      <c r="L1104" s="2" t="s">
        <v>14363</v>
      </c>
      <c r="M1104" s="3" t="s">
        <v>147</v>
      </c>
      <c r="N1104" s="2" t="s">
        <v>543</v>
      </c>
      <c r="O1104" s="3" t="s">
        <v>65</v>
      </c>
      <c r="P1104" s="3" t="s">
        <v>84</v>
      </c>
      <c r="R1104" s="3" t="s">
        <v>67</v>
      </c>
      <c r="S1104" s="4">
        <v>1</v>
      </c>
      <c r="T1104" s="4">
        <v>1</v>
      </c>
      <c r="U1104" s="5" t="s">
        <v>14364</v>
      </c>
      <c r="V1104" s="5" t="s">
        <v>14364</v>
      </c>
      <c r="W1104" s="5" t="s">
        <v>14365</v>
      </c>
      <c r="X1104" s="5" t="s">
        <v>14365</v>
      </c>
      <c r="Y1104" s="4">
        <v>714</v>
      </c>
      <c r="Z1104" s="4">
        <v>682</v>
      </c>
      <c r="AA1104" s="4">
        <v>735</v>
      </c>
      <c r="AB1104" s="4">
        <v>5</v>
      </c>
      <c r="AC1104" s="4">
        <v>5</v>
      </c>
      <c r="AD1104" s="4">
        <v>14</v>
      </c>
      <c r="AE1104" s="4">
        <v>14</v>
      </c>
      <c r="AF1104" s="4">
        <v>3</v>
      </c>
      <c r="AG1104" s="4">
        <v>3</v>
      </c>
      <c r="AH1104" s="4">
        <v>3</v>
      </c>
      <c r="AI1104" s="4">
        <v>3</v>
      </c>
      <c r="AJ1104" s="4">
        <v>7</v>
      </c>
      <c r="AK1104" s="4">
        <v>7</v>
      </c>
      <c r="AL1104" s="4">
        <v>2</v>
      </c>
      <c r="AM1104" s="4">
        <v>2</v>
      </c>
      <c r="AN1104" s="4">
        <v>2</v>
      </c>
      <c r="AO1104" s="4">
        <v>2</v>
      </c>
      <c r="AP1104" s="3" t="s">
        <v>58</v>
      </c>
      <c r="AQ1104" s="3" t="s">
        <v>58</v>
      </c>
      <c r="AS1104" s="6" t="str">
        <f>HYPERLINK("https://creighton-primo.hosted.exlibrisgroup.com/primo-explore/search?tab=default_tab&amp;search_scope=EVERYTHING&amp;vid=01CRU&amp;lang=en_US&amp;offset=0&amp;query=any,contains,991004318449702656","Catalog Record")</f>
        <v>Catalog Record</v>
      </c>
      <c r="AT1104" s="6" t="str">
        <f>HYPERLINK("http://www.worldcat.org/oclc/55608104","WorldCat Record")</f>
        <v>WorldCat Record</v>
      </c>
      <c r="AU1104" s="3" t="s">
        <v>14366</v>
      </c>
      <c r="AV1104" s="3" t="s">
        <v>14367</v>
      </c>
      <c r="AW1104" s="3" t="s">
        <v>14368</v>
      </c>
      <c r="AX1104" s="3" t="s">
        <v>14368</v>
      </c>
      <c r="AY1104" s="3" t="s">
        <v>14369</v>
      </c>
      <c r="AZ1104" s="3" t="s">
        <v>74</v>
      </c>
      <c r="BB1104" s="3" t="s">
        <v>14370</v>
      </c>
      <c r="BC1104" s="3" t="s">
        <v>14371</v>
      </c>
      <c r="BD1104" s="3" t="s">
        <v>14372</v>
      </c>
    </row>
    <row r="1105" spans="1:56" ht="45.75" customHeight="1" x14ac:dyDescent="0.25">
      <c r="A1105" s="7" t="s">
        <v>58</v>
      </c>
      <c r="B1105" s="2" t="s">
        <v>14373</v>
      </c>
      <c r="C1105" s="2" t="s">
        <v>14374</v>
      </c>
      <c r="D1105" s="2" t="s">
        <v>14375</v>
      </c>
      <c r="F1105" s="3" t="s">
        <v>58</v>
      </c>
      <c r="G1105" s="3" t="s">
        <v>59</v>
      </c>
      <c r="H1105" s="3" t="s">
        <v>58</v>
      </c>
      <c r="I1105" s="3" t="s">
        <v>58</v>
      </c>
      <c r="J1105" s="3" t="s">
        <v>60</v>
      </c>
      <c r="K1105" s="2" t="s">
        <v>14376</v>
      </c>
      <c r="L1105" s="2" t="s">
        <v>14377</v>
      </c>
      <c r="M1105" s="3" t="s">
        <v>63</v>
      </c>
      <c r="N1105" s="2" t="s">
        <v>543</v>
      </c>
      <c r="O1105" s="3" t="s">
        <v>65</v>
      </c>
      <c r="P1105" s="3" t="s">
        <v>84</v>
      </c>
      <c r="R1105" s="3" t="s">
        <v>67</v>
      </c>
      <c r="S1105" s="4">
        <v>2</v>
      </c>
      <c r="T1105" s="4">
        <v>2</v>
      </c>
      <c r="U1105" s="5" t="s">
        <v>14378</v>
      </c>
      <c r="V1105" s="5" t="s">
        <v>14378</v>
      </c>
      <c r="W1105" s="5" t="s">
        <v>14379</v>
      </c>
      <c r="X1105" s="5" t="s">
        <v>14379</v>
      </c>
      <c r="Y1105" s="4">
        <v>808</v>
      </c>
      <c r="Z1105" s="4">
        <v>777</v>
      </c>
      <c r="AA1105" s="4">
        <v>898</v>
      </c>
      <c r="AB1105" s="4">
        <v>6</v>
      </c>
      <c r="AC1105" s="4">
        <v>7</v>
      </c>
      <c r="AD1105" s="4">
        <v>23</v>
      </c>
      <c r="AE1105" s="4">
        <v>26</v>
      </c>
      <c r="AF1105" s="4">
        <v>7</v>
      </c>
      <c r="AG1105" s="4">
        <v>9</v>
      </c>
      <c r="AH1105" s="4">
        <v>4</v>
      </c>
      <c r="AI1105" s="4">
        <v>4</v>
      </c>
      <c r="AJ1105" s="4">
        <v>10</v>
      </c>
      <c r="AK1105" s="4">
        <v>11</v>
      </c>
      <c r="AL1105" s="4">
        <v>3</v>
      </c>
      <c r="AM1105" s="4">
        <v>3</v>
      </c>
      <c r="AN1105" s="4">
        <v>5</v>
      </c>
      <c r="AO1105" s="4">
        <v>6</v>
      </c>
      <c r="AP1105" s="3" t="s">
        <v>58</v>
      </c>
      <c r="AQ1105" s="3" t="s">
        <v>58</v>
      </c>
      <c r="AS1105" s="6" t="str">
        <f>HYPERLINK("https://creighton-primo.hosted.exlibrisgroup.com/primo-explore/search?tab=default_tab&amp;search_scope=EVERYTHING&amp;vid=01CRU&amp;lang=en_US&amp;offset=0&amp;query=any,contains,991004647029702656","Catalog Record")</f>
        <v>Catalog Record</v>
      </c>
      <c r="AT1105" s="6" t="str">
        <f>HYPERLINK("http://www.worldcat.org/oclc/60705704","WorldCat Record")</f>
        <v>WorldCat Record</v>
      </c>
      <c r="AU1105" s="3" t="s">
        <v>14380</v>
      </c>
      <c r="AV1105" s="3" t="s">
        <v>14381</v>
      </c>
      <c r="AW1105" s="3" t="s">
        <v>14382</v>
      </c>
      <c r="AX1105" s="3" t="s">
        <v>14382</v>
      </c>
      <c r="AY1105" s="3" t="s">
        <v>14383</v>
      </c>
      <c r="AZ1105" s="3" t="s">
        <v>74</v>
      </c>
      <c r="BB1105" s="3" t="s">
        <v>14384</v>
      </c>
      <c r="BC1105" s="3" t="s">
        <v>14385</v>
      </c>
      <c r="BD1105" s="3" t="s">
        <v>14386</v>
      </c>
    </row>
    <row r="1106" spans="1:56" ht="45.75" customHeight="1" x14ac:dyDescent="0.25">
      <c r="A1106" s="7" t="s">
        <v>58</v>
      </c>
      <c r="B1106" s="2" t="s">
        <v>14387</v>
      </c>
      <c r="C1106" s="2" t="s">
        <v>14388</v>
      </c>
      <c r="D1106" s="2" t="s">
        <v>14389</v>
      </c>
      <c r="F1106" s="3" t="s">
        <v>58</v>
      </c>
      <c r="G1106" s="3" t="s">
        <v>59</v>
      </c>
      <c r="H1106" s="3" t="s">
        <v>58</v>
      </c>
      <c r="I1106" s="3" t="s">
        <v>58</v>
      </c>
      <c r="J1106" s="3" t="s">
        <v>60</v>
      </c>
      <c r="K1106" s="2" t="s">
        <v>14390</v>
      </c>
      <c r="L1106" s="2" t="s">
        <v>14391</v>
      </c>
      <c r="M1106" s="3" t="s">
        <v>162</v>
      </c>
      <c r="O1106" s="3" t="s">
        <v>65</v>
      </c>
      <c r="P1106" s="3" t="s">
        <v>84</v>
      </c>
      <c r="R1106" s="3" t="s">
        <v>67</v>
      </c>
      <c r="S1106" s="4">
        <v>1</v>
      </c>
      <c r="T1106" s="4">
        <v>1</v>
      </c>
      <c r="U1106" s="5" t="s">
        <v>14392</v>
      </c>
      <c r="V1106" s="5" t="s">
        <v>14392</v>
      </c>
      <c r="W1106" s="5" t="s">
        <v>14392</v>
      </c>
      <c r="X1106" s="5" t="s">
        <v>14392</v>
      </c>
      <c r="Y1106" s="4">
        <v>854</v>
      </c>
      <c r="Z1106" s="4">
        <v>810</v>
      </c>
      <c r="AA1106" s="4">
        <v>878</v>
      </c>
      <c r="AB1106" s="4">
        <v>8</v>
      </c>
      <c r="AC1106" s="4">
        <v>8</v>
      </c>
      <c r="AD1106" s="4">
        <v>4</v>
      </c>
      <c r="AE1106" s="4">
        <v>4</v>
      </c>
      <c r="AF1106" s="4">
        <v>1</v>
      </c>
      <c r="AG1106" s="4">
        <v>1</v>
      </c>
      <c r="AH1106" s="4">
        <v>1</v>
      </c>
      <c r="AI1106" s="4">
        <v>1</v>
      </c>
      <c r="AJ1106" s="4">
        <v>3</v>
      </c>
      <c r="AK1106" s="4">
        <v>3</v>
      </c>
      <c r="AL1106" s="4">
        <v>0</v>
      </c>
      <c r="AM1106" s="4">
        <v>0</v>
      </c>
      <c r="AN1106" s="4">
        <v>0</v>
      </c>
      <c r="AO1106" s="4">
        <v>0</v>
      </c>
      <c r="AP1106" s="3" t="s">
        <v>58</v>
      </c>
      <c r="AQ1106" s="3" t="s">
        <v>58</v>
      </c>
      <c r="AS1106" s="6" t="str">
        <f>HYPERLINK("https://creighton-primo.hosted.exlibrisgroup.com/primo-explore/search?tab=default_tab&amp;search_scope=EVERYTHING&amp;vid=01CRU&amp;lang=en_US&amp;offset=0&amp;query=any,contains,991005207219702656","Catalog Record")</f>
        <v>Catalog Record</v>
      </c>
      <c r="AT1106" s="6" t="str">
        <f>HYPERLINK("http://www.worldcat.org/oclc/166362080","WorldCat Record")</f>
        <v>WorldCat Record</v>
      </c>
      <c r="AU1106" s="3" t="s">
        <v>14393</v>
      </c>
      <c r="AV1106" s="3" t="s">
        <v>14394</v>
      </c>
      <c r="AW1106" s="3" t="s">
        <v>14395</v>
      </c>
      <c r="AX1106" s="3" t="s">
        <v>14395</v>
      </c>
      <c r="AY1106" s="3" t="s">
        <v>14396</v>
      </c>
      <c r="AZ1106" s="3" t="s">
        <v>74</v>
      </c>
      <c r="BB1106" s="3" t="s">
        <v>14397</v>
      </c>
      <c r="BC1106" s="3" t="s">
        <v>14398</v>
      </c>
      <c r="BD1106" s="3" t="s">
        <v>14399</v>
      </c>
    </row>
    <row r="1107" spans="1:56" ht="45.75" customHeight="1" x14ac:dyDescent="0.25">
      <c r="A1107" s="7" t="s">
        <v>58</v>
      </c>
      <c r="B1107" s="2" t="s">
        <v>14400</v>
      </c>
      <c r="C1107" s="2" t="s">
        <v>14401</v>
      </c>
      <c r="D1107" s="2" t="s">
        <v>14402</v>
      </c>
      <c r="F1107" s="3" t="s">
        <v>58</v>
      </c>
      <c r="G1107" s="3" t="s">
        <v>59</v>
      </c>
      <c r="H1107" s="3" t="s">
        <v>58</v>
      </c>
      <c r="I1107" s="3" t="s">
        <v>58</v>
      </c>
      <c r="J1107" s="3" t="s">
        <v>60</v>
      </c>
      <c r="K1107" s="2" t="s">
        <v>14403</v>
      </c>
      <c r="L1107" s="2" t="s">
        <v>14404</v>
      </c>
      <c r="M1107" s="3" t="s">
        <v>419</v>
      </c>
      <c r="O1107" s="3" t="s">
        <v>65</v>
      </c>
      <c r="P1107" s="3" t="s">
        <v>84</v>
      </c>
      <c r="Q1107" s="2" t="s">
        <v>14405</v>
      </c>
      <c r="R1107" s="3" t="s">
        <v>67</v>
      </c>
      <c r="S1107" s="4">
        <v>1</v>
      </c>
      <c r="T1107" s="4">
        <v>1</v>
      </c>
      <c r="U1107" s="5" t="s">
        <v>13838</v>
      </c>
      <c r="V1107" s="5" t="s">
        <v>13838</v>
      </c>
      <c r="W1107" s="5" t="s">
        <v>13838</v>
      </c>
      <c r="X1107" s="5" t="s">
        <v>13838</v>
      </c>
      <c r="Y1107" s="4">
        <v>95</v>
      </c>
      <c r="Z1107" s="4">
        <v>64</v>
      </c>
      <c r="AA1107" s="4">
        <v>65</v>
      </c>
      <c r="AB1107" s="4">
        <v>1</v>
      </c>
      <c r="AC1107" s="4">
        <v>1</v>
      </c>
      <c r="AD1107" s="4">
        <v>4</v>
      </c>
      <c r="AE1107" s="4">
        <v>4</v>
      </c>
      <c r="AF1107" s="4">
        <v>1</v>
      </c>
      <c r="AG1107" s="4">
        <v>1</v>
      </c>
      <c r="AH1107" s="4">
        <v>0</v>
      </c>
      <c r="AI1107" s="4">
        <v>0</v>
      </c>
      <c r="AJ1107" s="4">
        <v>2</v>
      </c>
      <c r="AK1107" s="4">
        <v>2</v>
      </c>
      <c r="AL1107" s="4">
        <v>0</v>
      </c>
      <c r="AM1107" s="4">
        <v>0</v>
      </c>
      <c r="AN1107" s="4">
        <v>2</v>
      </c>
      <c r="AO1107" s="4">
        <v>2</v>
      </c>
      <c r="AP1107" s="3" t="s">
        <v>58</v>
      </c>
      <c r="AQ1107" s="3" t="s">
        <v>58</v>
      </c>
      <c r="AS1107" s="6" t="str">
        <f>HYPERLINK("https://creighton-primo.hosted.exlibrisgroup.com/primo-explore/search?tab=default_tab&amp;search_scope=EVERYTHING&amp;vid=01CRU&amp;lang=en_US&amp;offset=0&amp;query=any,contains,991004346649702656","Catalog Record")</f>
        <v>Catalog Record</v>
      </c>
      <c r="AT1107" s="6" t="str">
        <f>HYPERLINK("http://www.worldcat.org/oclc/43694438","WorldCat Record")</f>
        <v>WorldCat Record</v>
      </c>
      <c r="AU1107" s="3" t="s">
        <v>14406</v>
      </c>
      <c r="AV1107" s="3" t="s">
        <v>14407</v>
      </c>
      <c r="AW1107" s="3" t="s">
        <v>14408</v>
      </c>
      <c r="AX1107" s="3" t="s">
        <v>14408</v>
      </c>
      <c r="AY1107" s="3" t="s">
        <v>14409</v>
      </c>
      <c r="AZ1107" s="3" t="s">
        <v>74</v>
      </c>
      <c r="BB1107" s="3" t="s">
        <v>14410</v>
      </c>
      <c r="BC1107" s="3" t="s">
        <v>14411</v>
      </c>
      <c r="BD1107" s="3" t="s">
        <v>14412</v>
      </c>
    </row>
    <row r="1108" spans="1:56" ht="45.75" customHeight="1" x14ac:dyDescent="0.25">
      <c r="A1108" s="7" t="s">
        <v>58</v>
      </c>
      <c r="B1108" s="2" t="s">
        <v>14413</v>
      </c>
      <c r="C1108" s="2" t="s">
        <v>14414</v>
      </c>
      <c r="D1108" s="2" t="s">
        <v>14415</v>
      </c>
      <c r="F1108" s="3" t="s">
        <v>58</v>
      </c>
      <c r="G1108" s="3" t="s">
        <v>59</v>
      </c>
      <c r="H1108" s="3" t="s">
        <v>58</v>
      </c>
      <c r="I1108" s="3" t="s">
        <v>58</v>
      </c>
      <c r="J1108" s="3" t="s">
        <v>60</v>
      </c>
      <c r="K1108" s="2" t="s">
        <v>14416</v>
      </c>
      <c r="L1108" s="2" t="s">
        <v>14417</v>
      </c>
      <c r="M1108" s="3" t="s">
        <v>131</v>
      </c>
      <c r="O1108" s="3" t="s">
        <v>65</v>
      </c>
      <c r="P1108" s="3" t="s">
        <v>587</v>
      </c>
      <c r="R1108" s="3" t="s">
        <v>67</v>
      </c>
      <c r="S1108" s="4">
        <v>2</v>
      </c>
      <c r="T1108" s="4">
        <v>2</v>
      </c>
      <c r="U1108" s="5" t="s">
        <v>9779</v>
      </c>
      <c r="V1108" s="5" t="s">
        <v>9779</v>
      </c>
      <c r="W1108" s="5" t="s">
        <v>9206</v>
      </c>
      <c r="X1108" s="5" t="s">
        <v>9206</v>
      </c>
      <c r="Y1108" s="4">
        <v>369</v>
      </c>
      <c r="Z1108" s="4">
        <v>326</v>
      </c>
      <c r="AA1108" s="4">
        <v>673</v>
      </c>
      <c r="AB1108" s="4">
        <v>3</v>
      </c>
      <c r="AC1108" s="4">
        <v>5</v>
      </c>
      <c r="AD1108" s="4">
        <v>11</v>
      </c>
      <c r="AE1108" s="4">
        <v>17</v>
      </c>
      <c r="AF1108" s="4">
        <v>3</v>
      </c>
      <c r="AG1108" s="4">
        <v>6</v>
      </c>
      <c r="AH1108" s="4">
        <v>2</v>
      </c>
      <c r="AI1108" s="4">
        <v>2</v>
      </c>
      <c r="AJ1108" s="4">
        <v>3</v>
      </c>
      <c r="AK1108" s="4">
        <v>5</v>
      </c>
      <c r="AL1108" s="4">
        <v>2</v>
      </c>
      <c r="AM1108" s="4">
        <v>4</v>
      </c>
      <c r="AN1108" s="4">
        <v>3</v>
      </c>
      <c r="AO1108" s="4">
        <v>3</v>
      </c>
      <c r="AP1108" s="3" t="s">
        <v>58</v>
      </c>
      <c r="AQ1108" s="3" t="s">
        <v>58</v>
      </c>
      <c r="AS1108" s="6" t="str">
        <f>HYPERLINK("https://creighton-primo.hosted.exlibrisgroup.com/primo-explore/search?tab=default_tab&amp;search_scope=EVERYTHING&amp;vid=01CRU&amp;lang=en_US&amp;offset=0&amp;query=any,contains,991004838459702656","Catalog Record")</f>
        <v>Catalog Record</v>
      </c>
      <c r="AT1108" s="6" t="str">
        <f>HYPERLINK("http://www.worldcat.org/oclc/62697098","WorldCat Record")</f>
        <v>WorldCat Record</v>
      </c>
      <c r="AU1108" s="3" t="s">
        <v>14418</v>
      </c>
      <c r="AV1108" s="3" t="s">
        <v>14419</v>
      </c>
      <c r="AW1108" s="3" t="s">
        <v>14420</v>
      </c>
      <c r="AX1108" s="3" t="s">
        <v>14420</v>
      </c>
      <c r="AY1108" s="3" t="s">
        <v>14421</v>
      </c>
      <c r="AZ1108" s="3" t="s">
        <v>74</v>
      </c>
      <c r="BB1108" s="3" t="s">
        <v>14422</v>
      </c>
      <c r="BC1108" s="3" t="s">
        <v>14423</v>
      </c>
      <c r="BD1108" s="3" t="s">
        <v>14424</v>
      </c>
    </row>
    <row r="1109" spans="1:56" ht="45.75" customHeight="1" x14ac:dyDescent="0.25">
      <c r="A1109" s="7" t="s">
        <v>58</v>
      </c>
      <c r="B1109" s="2" t="s">
        <v>14425</v>
      </c>
      <c r="C1109" s="2" t="s">
        <v>14426</v>
      </c>
      <c r="D1109" s="2" t="s">
        <v>14427</v>
      </c>
      <c r="F1109" s="3" t="s">
        <v>58</v>
      </c>
      <c r="G1109" s="3" t="s">
        <v>59</v>
      </c>
      <c r="H1109" s="3" t="s">
        <v>58</v>
      </c>
      <c r="I1109" s="3" t="s">
        <v>58</v>
      </c>
      <c r="J1109" s="3" t="s">
        <v>60</v>
      </c>
      <c r="K1109" s="2" t="s">
        <v>14428</v>
      </c>
      <c r="L1109" s="2" t="s">
        <v>14429</v>
      </c>
      <c r="M1109" s="3" t="s">
        <v>63</v>
      </c>
      <c r="N1109" s="2" t="s">
        <v>64</v>
      </c>
      <c r="O1109" s="3" t="s">
        <v>65</v>
      </c>
      <c r="P1109" s="3" t="s">
        <v>1238</v>
      </c>
      <c r="R1109" s="3" t="s">
        <v>67</v>
      </c>
      <c r="S1109" s="4">
        <v>1</v>
      </c>
      <c r="T1109" s="4">
        <v>1</v>
      </c>
      <c r="U1109" s="5" t="s">
        <v>8127</v>
      </c>
      <c r="V1109" s="5" t="s">
        <v>8127</v>
      </c>
      <c r="W1109" s="5" t="s">
        <v>8127</v>
      </c>
      <c r="X1109" s="5" t="s">
        <v>8127</v>
      </c>
      <c r="Y1109" s="4">
        <v>177</v>
      </c>
      <c r="Z1109" s="4">
        <v>131</v>
      </c>
      <c r="AA1109" s="4">
        <v>708</v>
      </c>
      <c r="AB1109" s="4">
        <v>1</v>
      </c>
      <c r="AC1109" s="4">
        <v>6</v>
      </c>
      <c r="AD1109" s="4">
        <v>3</v>
      </c>
      <c r="AE1109" s="4">
        <v>32</v>
      </c>
      <c r="AF1109" s="4">
        <v>1</v>
      </c>
      <c r="AG1109" s="4">
        <v>11</v>
      </c>
      <c r="AH1109" s="4">
        <v>1</v>
      </c>
      <c r="AI1109" s="4">
        <v>7</v>
      </c>
      <c r="AJ1109" s="4">
        <v>2</v>
      </c>
      <c r="AK1109" s="4">
        <v>13</v>
      </c>
      <c r="AL1109" s="4">
        <v>0</v>
      </c>
      <c r="AM1109" s="4">
        <v>5</v>
      </c>
      <c r="AN1109" s="4">
        <v>1</v>
      </c>
      <c r="AO1109" s="4">
        <v>3</v>
      </c>
      <c r="AP1109" s="3" t="s">
        <v>58</v>
      </c>
      <c r="AQ1109" s="3" t="s">
        <v>58</v>
      </c>
      <c r="AS1109" s="6" t="str">
        <f>HYPERLINK("https://creighton-primo.hosted.exlibrisgroup.com/primo-explore/search?tab=default_tab&amp;search_scope=EVERYTHING&amp;vid=01CRU&amp;lang=en_US&amp;offset=0&amp;query=any,contains,991004515909702656","Catalog Record")</f>
        <v>Catalog Record</v>
      </c>
      <c r="AT1109" s="6" t="str">
        <f>HYPERLINK("http://www.worldcat.org/oclc/56672354","WorldCat Record")</f>
        <v>WorldCat Record</v>
      </c>
      <c r="AU1109" s="3" t="s">
        <v>14430</v>
      </c>
      <c r="AV1109" s="3" t="s">
        <v>14431</v>
      </c>
      <c r="AW1109" s="3" t="s">
        <v>14432</v>
      </c>
      <c r="AX1109" s="3" t="s">
        <v>14432</v>
      </c>
      <c r="AY1109" s="3" t="s">
        <v>14433</v>
      </c>
      <c r="AZ1109" s="3" t="s">
        <v>74</v>
      </c>
      <c r="BB1109" s="3" t="s">
        <v>14434</v>
      </c>
      <c r="BC1109" s="3" t="s">
        <v>14435</v>
      </c>
      <c r="BD1109" s="3" t="s">
        <v>14436</v>
      </c>
    </row>
    <row r="1110" spans="1:56" ht="45.75" customHeight="1" x14ac:dyDescent="0.25">
      <c r="A1110" s="7" t="s">
        <v>58</v>
      </c>
      <c r="B1110" s="2" t="s">
        <v>14437</v>
      </c>
      <c r="C1110" s="2" t="s">
        <v>14438</v>
      </c>
      <c r="D1110" s="2" t="s">
        <v>14439</v>
      </c>
      <c r="F1110" s="3" t="s">
        <v>58</v>
      </c>
      <c r="G1110" s="3" t="s">
        <v>59</v>
      </c>
      <c r="H1110" s="3" t="s">
        <v>58</v>
      </c>
      <c r="I1110" s="3" t="s">
        <v>58</v>
      </c>
      <c r="J1110" s="3" t="s">
        <v>60</v>
      </c>
      <c r="K1110" s="2" t="s">
        <v>14440</v>
      </c>
      <c r="L1110" s="2" t="s">
        <v>14441</v>
      </c>
      <c r="M1110" s="3" t="s">
        <v>9390</v>
      </c>
      <c r="O1110" s="3" t="s">
        <v>65</v>
      </c>
      <c r="P1110" s="3" t="s">
        <v>84</v>
      </c>
      <c r="R1110" s="3" t="s">
        <v>67</v>
      </c>
      <c r="S1110" s="4">
        <v>7</v>
      </c>
      <c r="T1110" s="4">
        <v>7</v>
      </c>
      <c r="U1110" s="5" t="s">
        <v>14442</v>
      </c>
      <c r="V1110" s="5" t="s">
        <v>14442</v>
      </c>
      <c r="W1110" s="5" t="s">
        <v>9192</v>
      </c>
      <c r="X1110" s="5" t="s">
        <v>9192</v>
      </c>
      <c r="Y1110" s="4">
        <v>382</v>
      </c>
      <c r="Z1110" s="4">
        <v>370</v>
      </c>
      <c r="AA1110" s="4">
        <v>387</v>
      </c>
      <c r="AB1110" s="4">
        <v>4</v>
      </c>
      <c r="AC1110" s="4">
        <v>4</v>
      </c>
      <c r="AD1110" s="4">
        <v>14</v>
      </c>
      <c r="AE1110" s="4">
        <v>14</v>
      </c>
      <c r="AF1110" s="4">
        <v>7</v>
      </c>
      <c r="AG1110" s="4">
        <v>7</v>
      </c>
      <c r="AH1110" s="4">
        <v>3</v>
      </c>
      <c r="AI1110" s="4">
        <v>3</v>
      </c>
      <c r="AJ1110" s="4">
        <v>7</v>
      </c>
      <c r="AK1110" s="4">
        <v>7</v>
      </c>
      <c r="AL1110" s="4">
        <v>1</v>
      </c>
      <c r="AM1110" s="4">
        <v>1</v>
      </c>
      <c r="AN1110" s="4">
        <v>0</v>
      </c>
      <c r="AO1110" s="4">
        <v>0</v>
      </c>
      <c r="AP1110" s="3" t="s">
        <v>58</v>
      </c>
      <c r="AQ1110" s="3" t="s">
        <v>87</v>
      </c>
      <c r="AR1110" s="6" t="str">
        <f>HYPERLINK("http://catalog.hathitrust.org/Record/001135065","HathiTrust Record")</f>
        <v>HathiTrust Record</v>
      </c>
      <c r="AS1110" s="6" t="str">
        <f>HYPERLINK("https://creighton-primo.hosted.exlibrisgroup.com/primo-explore/search?tab=default_tab&amp;search_scope=EVERYTHING&amp;vid=01CRU&amp;lang=en_US&amp;offset=0&amp;query=any,contains,991003685099702656","Catalog Record")</f>
        <v>Catalog Record</v>
      </c>
      <c r="AT1110" s="6" t="str">
        <f>HYPERLINK("http://www.worldcat.org/oclc/1313186","WorldCat Record")</f>
        <v>WorldCat Record</v>
      </c>
      <c r="AU1110" s="3" t="s">
        <v>14443</v>
      </c>
      <c r="AV1110" s="3" t="s">
        <v>14444</v>
      </c>
      <c r="AW1110" s="3" t="s">
        <v>14445</v>
      </c>
      <c r="AX1110" s="3" t="s">
        <v>14445</v>
      </c>
      <c r="AY1110" s="3" t="s">
        <v>14446</v>
      </c>
      <c r="AZ1110" s="3" t="s">
        <v>74</v>
      </c>
      <c r="BC1110" s="3" t="s">
        <v>14447</v>
      </c>
      <c r="BD1110" s="3" t="s">
        <v>14448</v>
      </c>
    </row>
    <row r="1111" spans="1:56" ht="45.75" customHeight="1" x14ac:dyDescent="0.25">
      <c r="A1111" s="7" t="s">
        <v>58</v>
      </c>
      <c r="B1111" s="2" t="s">
        <v>14449</v>
      </c>
      <c r="C1111" s="2" t="s">
        <v>14450</v>
      </c>
      <c r="D1111" s="2" t="s">
        <v>14451</v>
      </c>
      <c r="F1111" s="3" t="s">
        <v>58</v>
      </c>
      <c r="G1111" s="3" t="s">
        <v>59</v>
      </c>
      <c r="H1111" s="3" t="s">
        <v>58</v>
      </c>
      <c r="I1111" s="3" t="s">
        <v>58</v>
      </c>
      <c r="J1111" s="3" t="s">
        <v>60</v>
      </c>
      <c r="L1111" s="2" t="s">
        <v>13740</v>
      </c>
      <c r="M1111" s="3" t="s">
        <v>937</v>
      </c>
      <c r="O1111" s="3" t="s">
        <v>65</v>
      </c>
      <c r="P1111" s="3" t="s">
        <v>132</v>
      </c>
      <c r="Q1111" s="2" t="s">
        <v>14452</v>
      </c>
      <c r="R1111" s="3" t="s">
        <v>67</v>
      </c>
      <c r="S1111" s="4">
        <v>13</v>
      </c>
      <c r="T1111" s="4">
        <v>13</v>
      </c>
      <c r="U1111" s="5" t="s">
        <v>14453</v>
      </c>
      <c r="V1111" s="5" t="s">
        <v>14453</v>
      </c>
      <c r="W1111" s="5" t="s">
        <v>11348</v>
      </c>
      <c r="X1111" s="5" t="s">
        <v>11348</v>
      </c>
      <c r="Y1111" s="4">
        <v>317</v>
      </c>
      <c r="Z1111" s="4">
        <v>263</v>
      </c>
      <c r="AA1111" s="4">
        <v>271</v>
      </c>
      <c r="AB1111" s="4">
        <v>2</v>
      </c>
      <c r="AC1111" s="4">
        <v>2</v>
      </c>
      <c r="AD1111" s="4">
        <v>13</v>
      </c>
      <c r="AE1111" s="4">
        <v>13</v>
      </c>
      <c r="AF1111" s="4">
        <v>3</v>
      </c>
      <c r="AG1111" s="4">
        <v>3</v>
      </c>
      <c r="AH1111" s="4">
        <v>3</v>
      </c>
      <c r="AI1111" s="4">
        <v>3</v>
      </c>
      <c r="AJ1111" s="4">
        <v>5</v>
      </c>
      <c r="AK1111" s="4">
        <v>5</v>
      </c>
      <c r="AL1111" s="4">
        <v>1</v>
      </c>
      <c r="AM1111" s="4">
        <v>1</v>
      </c>
      <c r="AN1111" s="4">
        <v>4</v>
      </c>
      <c r="AO1111" s="4">
        <v>4</v>
      </c>
      <c r="AP1111" s="3" t="s">
        <v>58</v>
      </c>
      <c r="AQ1111" s="3" t="s">
        <v>87</v>
      </c>
      <c r="AR1111" s="6" t="str">
        <f>HYPERLINK("http://catalog.hathitrust.org/Record/000137224","HathiTrust Record")</f>
        <v>HathiTrust Record</v>
      </c>
      <c r="AS1111" s="6" t="str">
        <f>HYPERLINK("https://creighton-primo.hosted.exlibrisgroup.com/primo-explore/search?tab=default_tab&amp;search_scope=EVERYTHING&amp;vid=01CRU&amp;lang=en_US&amp;offset=0&amp;query=any,contains,991004540549702656","Catalog Record")</f>
        <v>Catalog Record</v>
      </c>
      <c r="AT1111" s="6" t="str">
        <f>HYPERLINK("http://www.worldcat.org/oclc/3893027","WorldCat Record")</f>
        <v>WorldCat Record</v>
      </c>
      <c r="AU1111" s="3" t="s">
        <v>14454</v>
      </c>
      <c r="AV1111" s="3" t="s">
        <v>14455</v>
      </c>
      <c r="AW1111" s="3" t="s">
        <v>14456</v>
      </c>
      <c r="AX1111" s="3" t="s">
        <v>14456</v>
      </c>
      <c r="AY1111" s="3" t="s">
        <v>14457</v>
      </c>
      <c r="AZ1111" s="3" t="s">
        <v>74</v>
      </c>
      <c r="BB1111" s="3" t="s">
        <v>14458</v>
      </c>
      <c r="BC1111" s="3" t="s">
        <v>14459</v>
      </c>
      <c r="BD1111" s="3" t="s">
        <v>14460</v>
      </c>
    </row>
    <row r="1112" spans="1:56" ht="45.75" customHeight="1" x14ac:dyDescent="0.25">
      <c r="A1112" s="7" t="s">
        <v>58</v>
      </c>
      <c r="B1112" s="2" t="s">
        <v>14461</v>
      </c>
      <c r="C1112" s="2" t="s">
        <v>14462</v>
      </c>
      <c r="D1112" s="2" t="s">
        <v>14463</v>
      </c>
      <c r="F1112" s="3" t="s">
        <v>58</v>
      </c>
      <c r="G1112" s="3" t="s">
        <v>59</v>
      </c>
      <c r="H1112" s="3" t="s">
        <v>58</v>
      </c>
      <c r="I1112" s="3" t="s">
        <v>58</v>
      </c>
      <c r="J1112" s="3" t="s">
        <v>60</v>
      </c>
      <c r="K1112" s="2" t="s">
        <v>14464</v>
      </c>
      <c r="L1112" s="2" t="s">
        <v>14465</v>
      </c>
      <c r="M1112" s="3" t="s">
        <v>263</v>
      </c>
      <c r="O1112" s="3" t="s">
        <v>65</v>
      </c>
      <c r="P1112" s="3" t="s">
        <v>1224</v>
      </c>
      <c r="R1112" s="3" t="s">
        <v>67</v>
      </c>
      <c r="S1112" s="4">
        <v>4</v>
      </c>
      <c r="T1112" s="4">
        <v>4</v>
      </c>
      <c r="U1112" s="5" t="s">
        <v>13862</v>
      </c>
      <c r="V1112" s="5" t="s">
        <v>13862</v>
      </c>
      <c r="W1112" s="5" t="s">
        <v>14466</v>
      </c>
      <c r="X1112" s="5" t="s">
        <v>14466</v>
      </c>
      <c r="Y1112" s="4">
        <v>103</v>
      </c>
      <c r="Z1112" s="4">
        <v>88</v>
      </c>
      <c r="AA1112" s="4">
        <v>88</v>
      </c>
      <c r="AB1112" s="4">
        <v>2</v>
      </c>
      <c r="AC1112" s="4">
        <v>2</v>
      </c>
      <c r="AD1112" s="4">
        <v>4</v>
      </c>
      <c r="AE1112" s="4">
        <v>4</v>
      </c>
      <c r="AF1112" s="4">
        <v>2</v>
      </c>
      <c r="AG1112" s="4">
        <v>2</v>
      </c>
      <c r="AH1112" s="4">
        <v>0</v>
      </c>
      <c r="AI1112" s="4">
        <v>0</v>
      </c>
      <c r="AJ1112" s="4">
        <v>1</v>
      </c>
      <c r="AK1112" s="4">
        <v>1</v>
      </c>
      <c r="AL1112" s="4">
        <v>1</v>
      </c>
      <c r="AM1112" s="4">
        <v>1</v>
      </c>
      <c r="AN1112" s="4">
        <v>0</v>
      </c>
      <c r="AO1112" s="4">
        <v>0</v>
      </c>
      <c r="AP1112" s="3" t="s">
        <v>58</v>
      </c>
      <c r="AQ1112" s="3" t="s">
        <v>58</v>
      </c>
      <c r="AS1112" s="6" t="str">
        <f>HYPERLINK("https://creighton-primo.hosted.exlibrisgroup.com/primo-explore/search?tab=default_tab&amp;search_scope=EVERYTHING&amp;vid=01CRU&amp;lang=en_US&amp;offset=0&amp;query=any,contains,991002751529702656","Catalog Record")</f>
        <v>Catalog Record</v>
      </c>
      <c r="AT1112" s="6" t="str">
        <f>HYPERLINK("http://www.worldcat.org/oclc/36107300","WorldCat Record")</f>
        <v>WorldCat Record</v>
      </c>
      <c r="AU1112" s="3" t="s">
        <v>14467</v>
      </c>
      <c r="AV1112" s="3" t="s">
        <v>14468</v>
      </c>
      <c r="AW1112" s="3" t="s">
        <v>14469</v>
      </c>
      <c r="AX1112" s="3" t="s">
        <v>14469</v>
      </c>
      <c r="AY1112" s="3" t="s">
        <v>14470</v>
      </c>
      <c r="AZ1112" s="3" t="s">
        <v>74</v>
      </c>
      <c r="BB1112" s="3" t="s">
        <v>14471</v>
      </c>
      <c r="BC1112" s="3" t="s">
        <v>14472</v>
      </c>
      <c r="BD1112" s="3" t="s">
        <v>14473</v>
      </c>
    </row>
    <row r="1113" spans="1:56" ht="45.75" customHeight="1" x14ac:dyDescent="0.25">
      <c r="A1113" s="7" t="s">
        <v>58</v>
      </c>
      <c r="B1113" s="2" t="s">
        <v>14474</v>
      </c>
      <c r="C1113" s="2" t="s">
        <v>14475</v>
      </c>
      <c r="D1113" s="2" t="s">
        <v>14476</v>
      </c>
      <c r="F1113" s="3" t="s">
        <v>58</v>
      </c>
      <c r="G1113" s="3" t="s">
        <v>59</v>
      </c>
      <c r="H1113" s="3" t="s">
        <v>58</v>
      </c>
      <c r="I1113" s="3" t="s">
        <v>58</v>
      </c>
      <c r="J1113" s="3" t="s">
        <v>60</v>
      </c>
      <c r="K1113" s="2" t="s">
        <v>14477</v>
      </c>
      <c r="L1113" s="2" t="s">
        <v>14478</v>
      </c>
      <c r="M1113" s="3" t="s">
        <v>100</v>
      </c>
      <c r="O1113" s="3" t="s">
        <v>65</v>
      </c>
      <c r="P1113" s="3" t="s">
        <v>132</v>
      </c>
      <c r="R1113" s="3" t="s">
        <v>67</v>
      </c>
      <c r="S1113" s="4">
        <v>1</v>
      </c>
      <c r="T1113" s="4">
        <v>1</v>
      </c>
      <c r="U1113" s="5" t="s">
        <v>6188</v>
      </c>
      <c r="V1113" s="5" t="s">
        <v>6188</v>
      </c>
      <c r="W1113" s="5" t="s">
        <v>9192</v>
      </c>
      <c r="X1113" s="5" t="s">
        <v>9192</v>
      </c>
      <c r="Y1113" s="4">
        <v>242</v>
      </c>
      <c r="Z1113" s="4">
        <v>183</v>
      </c>
      <c r="AA1113" s="4">
        <v>293</v>
      </c>
      <c r="AB1113" s="4">
        <v>4</v>
      </c>
      <c r="AC1113" s="4">
        <v>4</v>
      </c>
      <c r="AD1113" s="4">
        <v>10</v>
      </c>
      <c r="AE1113" s="4">
        <v>13</v>
      </c>
      <c r="AF1113" s="4">
        <v>4</v>
      </c>
      <c r="AG1113" s="4">
        <v>4</v>
      </c>
      <c r="AH1113" s="4">
        <v>1</v>
      </c>
      <c r="AI1113" s="4">
        <v>2</v>
      </c>
      <c r="AJ1113" s="4">
        <v>5</v>
      </c>
      <c r="AK1113" s="4">
        <v>6</v>
      </c>
      <c r="AL1113" s="4">
        <v>3</v>
      </c>
      <c r="AM1113" s="4">
        <v>3</v>
      </c>
      <c r="AN1113" s="4">
        <v>0</v>
      </c>
      <c r="AO1113" s="4">
        <v>2</v>
      </c>
      <c r="AP1113" s="3" t="s">
        <v>58</v>
      </c>
      <c r="AQ1113" s="3" t="s">
        <v>87</v>
      </c>
      <c r="AR1113" s="6" t="str">
        <f>HYPERLINK("http://catalog.hathitrust.org/Record/007480620","HathiTrust Record")</f>
        <v>HathiTrust Record</v>
      </c>
      <c r="AS1113" s="6" t="str">
        <f>HYPERLINK("https://creighton-primo.hosted.exlibrisgroup.com/primo-explore/search?tab=default_tab&amp;search_scope=EVERYTHING&amp;vid=01CRU&amp;lang=en_US&amp;offset=0&amp;query=any,contains,991003565439702656","Catalog Record")</f>
        <v>Catalog Record</v>
      </c>
      <c r="AT1113" s="6" t="str">
        <f>HYPERLINK("http://www.worldcat.org/oclc/1137984","WorldCat Record")</f>
        <v>WorldCat Record</v>
      </c>
      <c r="AU1113" s="3" t="s">
        <v>14479</v>
      </c>
      <c r="AV1113" s="3" t="s">
        <v>14480</v>
      </c>
      <c r="AW1113" s="3" t="s">
        <v>14481</v>
      </c>
      <c r="AX1113" s="3" t="s">
        <v>14481</v>
      </c>
      <c r="AY1113" s="3" t="s">
        <v>14482</v>
      </c>
      <c r="AZ1113" s="3" t="s">
        <v>74</v>
      </c>
      <c r="BB1113" s="3" t="s">
        <v>14483</v>
      </c>
      <c r="BC1113" s="3" t="s">
        <v>14484</v>
      </c>
      <c r="BD1113" s="3" t="s">
        <v>14485</v>
      </c>
    </row>
    <row r="1114" spans="1:56" ht="45.75" customHeight="1" x14ac:dyDescent="0.25">
      <c r="A1114" s="7" t="s">
        <v>58</v>
      </c>
      <c r="B1114" s="2" t="s">
        <v>14486</v>
      </c>
      <c r="C1114" s="2" t="s">
        <v>14487</v>
      </c>
      <c r="D1114" s="2" t="s">
        <v>14488</v>
      </c>
      <c r="F1114" s="3" t="s">
        <v>58</v>
      </c>
      <c r="G1114" s="3" t="s">
        <v>59</v>
      </c>
      <c r="H1114" s="3" t="s">
        <v>58</v>
      </c>
      <c r="I1114" s="3" t="s">
        <v>58</v>
      </c>
      <c r="J1114" s="3" t="s">
        <v>60</v>
      </c>
      <c r="K1114" s="2" t="s">
        <v>14489</v>
      </c>
      <c r="L1114" s="2" t="s">
        <v>14490</v>
      </c>
      <c r="M1114" s="3" t="s">
        <v>100</v>
      </c>
      <c r="O1114" s="3" t="s">
        <v>65</v>
      </c>
      <c r="P1114" s="3" t="s">
        <v>336</v>
      </c>
      <c r="R1114" s="3" t="s">
        <v>67</v>
      </c>
      <c r="S1114" s="4">
        <v>13</v>
      </c>
      <c r="T1114" s="4">
        <v>13</v>
      </c>
      <c r="U1114" s="5" t="s">
        <v>14453</v>
      </c>
      <c r="V1114" s="5" t="s">
        <v>14453</v>
      </c>
      <c r="W1114" s="5" t="s">
        <v>14491</v>
      </c>
      <c r="X1114" s="5" t="s">
        <v>14491</v>
      </c>
      <c r="Y1114" s="4">
        <v>290</v>
      </c>
      <c r="Z1114" s="4">
        <v>252</v>
      </c>
      <c r="AA1114" s="4">
        <v>347</v>
      </c>
      <c r="AB1114" s="4">
        <v>3</v>
      </c>
      <c r="AC1114" s="4">
        <v>3</v>
      </c>
      <c r="AD1114" s="4">
        <v>10</v>
      </c>
      <c r="AE1114" s="4">
        <v>15</v>
      </c>
      <c r="AF1114" s="4">
        <v>4</v>
      </c>
      <c r="AG1114" s="4">
        <v>7</v>
      </c>
      <c r="AH1114" s="4">
        <v>1</v>
      </c>
      <c r="AI1114" s="4">
        <v>2</v>
      </c>
      <c r="AJ1114" s="4">
        <v>3</v>
      </c>
      <c r="AK1114" s="4">
        <v>3</v>
      </c>
      <c r="AL1114" s="4">
        <v>1</v>
      </c>
      <c r="AM1114" s="4">
        <v>1</v>
      </c>
      <c r="AN1114" s="4">
        <v>4</v>
      </c>
      <c r="AO1114" s="4">
        <v>6</v>
      </c>
      <c r="AP1114" s="3" t="s">
        <v>58</v>
      </c>
      <c r="AQ1114" s="3" t="s">
        <v>58</v>
      </c>
      <c r="AS1114" s="6" t="str">
        <f>HYPERLINK("https://creighton-primo.hosted.exlibrisgroup.com/primo-explore/search?tab=default_tab&amp;search_scope=EVERYTHING&amp;vid=01CRU&amp;lang=en_US&amp;offset=0&amp;query=any,contains,991003419289702656","Catalog Record")</f>
        <v>Catalog Record</v>
      </c>
      <c r="AT1114" s="6" t="str">
        <f>HYPERLINK("http://www.worldcat.org/oclc/960187","WorldCat Record")</f>
        <v>WorldCat Record</v>
      </c>
      <c r="AU1114" s="3" t="s">
        <v>14492</v>
      </c>
      <c r="AV1114" s="3" t="s">
        <v>14493</v>
      </c>
      <c r="AW1114" s="3" t="s">
        <v>14494</v>
      </c>
      <c r="AX1114" s="3" t="s">
        <v>14494</v>
      </c>
      <c r="AY1114" s="3" t="s">
        <v>14495</v>
      </c>
      <c r="AZ1114" s="3" t="s">
        <v>74</v>
      </c>
      <c r="BB1114" s="3" t="s">
        <v>14496</v>
      </c>
      <c r="BC1114" s="3" t="s">
        <v>14497</v>
      </c>
      <c r="BD1114" s="3" t="s">
        <v>14498</v>
      </c>
    </row>
    <row r="1115" spans="1:56" ht="45.75" customHeight="1" x14ac:dyDescent="0.25">
      <c r="A1115" s="7" t="s">
        <v>58</v>
      </c>
      <c r="B1115" s="2" t="s">
        <v>14499</v>
      </c>
      <c r="C1115" s="2" t="s">
        <v>14500</v>
      </c>
      <c r="D1115" s="2" t="s">
        <v>14501</v>
      </c>
      <c r="F1115" s="3" t="s">
        <v>58</v>
      </c>
      <c r="G1115" s="3" t="s">
        <v>59</v>
      </c>
      <c r="H1115" s="3" t="s">
        <v>58</v>
      </c>
      <c r="I1115" s="3" t="s">
        <v>58</v>
      </c>
      <c r="J1115" s="3" t="s">
        <v>60</v>
      </c>
      <c r="K1115" s="2" t="s">
        <v>14502</v>
      </c>
      <c r="L1115" s="2" t="s">
        <v>14503</v>
      </c>
      <c r="M1115" s="3" t="s">
        <v>908</v>
      </c>
      <c r="O1115" s="3" t="s">
        <v>65</v>
      </c>
      <c r="P1115" s="3" t="s">
        <v>84</v>
      </c>
      <c r="R1115" s="3" t="s">
        <v>67</v>
      </c>
      <c r="S1115" s="4">
        <v>10</v>
      </c>
      <c r="T1115" s="4">
        <v>10</v>
      </c>
      <c r="U1115" s="5" t="s">
        <v>2661</v>
      </c>
      <c r="V1115" s="5" t="s">
        <v>2661</v>
      </c>
      <c r="W1115" s="5" t="s">
        <v>11348</v>
      </c>
      <c r="X1115" s="5" t="s">
        <v>11348</v>
      </c>
      <c r="Y1115" s="4">
        <v>545</v>
      </c>
      <c r="Z1115" s="4">
        <v>474</v>
      </c>
      <c r="AA1115" s="4">
        <v>480</v>
      </c>
      <c r="AB1115" s="4">
        <v>4</v>
      </c>
      <c r="AC1115" s="4">
        <v>4</v>
      </c>
      <c r="AD1115" s="4">
        <v>29</v>
      </c>
      <c r="AE1115" s="4">
        <v>29</v>
      </c>
      <c r="AF1115" s="4">
        <v>6</v>
      </c>
      <c r="AG1115" s="4">
        <v>6</v>
      </c>
      <c r="AH1115" s="4">
        <v>2</v>
      </c>
      <c r="AI1115" s="4">
        <v>2</v>
      </c>
      <c r="AJ1115" s="4">
        <v>8</v>
      </c>
      <c r="AK1115" s="4">
        <v>8</v>
      </c>
      <c r="AL1115" s="4">
        <v>3</v>
      </c>
      <c r="AM1115" s="4">
        <v>3</v>
      </c>
      <c r="AN1115" s="4">
        <v>13</v>
      </c>
      <c r="AO1115" s="4">
        <v>13</v>
      </c>
      <c r="AP1115" s="3" t="s">
        <v>58</v>
      </c>
      <c r="AQ1115" s="3" t="s">
        <v>87</v>
      </c>
      <c r="AR1115" s="6" t="str">
        <f>HYPERLINK("http://catalog.hathitrust.org/Record/000256000","HathiTrust Record")</f>
        <v>HathiTrust Record</v>
      </c>
      <c r="AS1115" s="6" t="str">
        <f>HYPERLINK("https://creighton-primo.hosted.exlibrisgroup.com/primo-explore/search?tab=default_tab&amp;search_scope=EVERYTHING&amp;vid=01CRU&amp;lang=en_US&amp;offset=0&amp;query=any,contains,991004652899702656","Catalog Record")</f>
        <v>Catalog Record</v>
      </c>
      <c r="AT1115" s="6" t="str">
        <f>HYPERLINK("http://www.worldcat.org/oclc/4494479","WorldCat Record")</f>
        <v>WorldCat Record</v>
      </c>
      <c r="AU1115" s="3" t="s">
        <v>14504</v>
      </c>
      <c r="AV1115" s="3" t="s">
        <v>14505</v>
      </c>
      <c r="AW1115" s="3" t="s">
        <v>14506</v>
      </c>
      <c r="AX1115" s="3" t="s">
        <v>14506</v>
      </c>
      <c r="AY1115" s="3" t="s">
        <v>14507</v>
      </c>
      <c r="AZ1115" s="3" t="s">
        <v>74</v>
      </c>
      <c r="BB1115" s="3" t="s">
        <v>14508</v>
      </c>
      <c r="BC1115" s="3" t="s">
        <v>14509</v>
      </c>
      <c r="BD1115" s="3" t="s">
        <v>14510</v>
      </c>
    </row>
    <row r="1116" spans="1:56" ht="45.75" customHeight="1" x14ac:dyDescent="0.25">
      <c r="A1116" s="7" t="s">
        <v>58</v>
      </c>
      <c r="B1116" s="2" t="s">
        <v>14511</v>
      </c>
      <c r="C1116" s="2" t="s">
        <v>14512</v>
      </c>
      <c r="D1116" s="2" t="s">
        <v>14513</v>
      </c>
      <c r="F1116" s="3" t="s">
        <v>58</v>
      </c>
      <c r="G1116" s="3" t="s">
        <v>59</v>
      </c>
      <c r="H1116" s="3" t="s">
        <v>87</v>
      </c>
      <c r="I1116" s="3" t="s">
        <v>58</v>
      </c>
      <c r="J1116" s="3" t="s">
        <v>60</v>
      </c>
      <c r="K1116" s="2" t="s">
        <v>14514</v>
      </c>
      <c r="L1116" s="2" t="s">
        <v>14515</v>
      </c>
      <c r="M1116" s="3" t="s">
        <v>1998</v>
      </c>
      <c r="O1116" s="3" t="s">
        <v>65</v>
      </c>
      <c r="P1116" s="3" t="s">
        <v>336</v>
      </c>
      <c r="R1116" s="3" t="s">
        <v>67</v>
      </c>
      <c r="S1116" s="4">
        <v>7</v>
      </c>
      <c r="T1116" s="4">
        <v>8</v>
      </c>
      <c r="U1116" s="5" t="s">
        <v>14516</v>
      </c>
      <c r="V1116" s="5" t="s">
        <v>14516</v>
      </c>
      <c r="W1116" s="5" t="s">
        <v>14517</v>
      </c>
      <c r="X1116" s="5" t="s">
        <v>14517</v>
      </c>
      <c r="Y1116" s="4">
        <v>428</v>
      </c>
      <c r="Z1116" s="4">
        <v>395</v>
      </c>
      <c r="AA1116" s="4">
        <v>495</v>
      </c>
      <c r="AB1116" s="4">
        <v>6</v>
      </c>
      <c r="AC1116" s="4">
        <v>8</v>
      </c>
      <c r="AD1116" s="4">
        <v>19</v>
      </c>
      <c r="AE1116" s="4">
        <v>23</v>
      </c>
      <c r="AF1116" s="4">
        <v>5</v>
      </c>
      <c r="AG1116" s="4">
        <v>5</v>
      </c>
      <c r="AH1116" s="4">
        <v>1</v>
      </c>
      <c r="AI1116" s="4">
        <v>1</v>
      </c>
      <c r="AJ1116" s="4">
        <v>6</v>
      </c>
      <c r="AK1116" s="4">
        <v>7</v>
      </c>
      <c r="AL1116" s="4">
        <v>3</v>
      </c>
      <c r="AM1116" s="4">
        <v>4</v>
      </c>
      <c r="AN1116" s="4">
        <v>5</v>
      </c>
      <c r="AO1116" s="4">
        <v>7</v>
      </c>
      <c r="AP1116" s="3" t="s">
        <v>58</v>
      </c>
      <c r="AQ1116" s="3" t="s">
        <v>58</v>
      </c>
      <c r="AS1116" s="6" t="str">
        <f>HYPERLINK("https://creighton-primo.hosted.exlibrisgroup.com/primo-explore/search?tab=default_tab&amp;search_scope=EVERYTHING&amp;vid=01CRU&amp;lang=en_US&amp;offset=0&amp;query=any,contains,991001669649702656","Catalog Record")</f>
        <v>Catalog Record</v>
      </c>
      <c r="AT1116" s="6" t="str">
        <f>HYPERLINK("http://www.worldcat.org/oclc/695773","WorldCat Record")</f>
        <v>WorldCat Record</v>
      </c>
      <c r="AU1116" s="3" t="s">
        <v>14518</v>
      </c>
      <c r="AV1116" s="3" t="s">
        <v>14519</v>
      </c>
      <c r="AW1116" s="3" t="s">
        <v>14520</v>
      </c>
      <c r="AX1116" s="3" t="s">
        <v>14520</v>
      </c>
      <c r="AY1116" s="3" t="s">
        <v>14521</v>
      </c>
      <c r="AZ1116" s="3" t="s">
        <v>74</v>
      </c>
      <c r="BB1116" s="3" t="s">
        <v>14522</v>
      </c>
      <c r="BC1116" s="3" t="s">
        <v>14523</v>
      </c>
      <c r="BD1116" s="3" t="s">
        <v>14524</v>
      </c>
    </row>
    <row r="1117" spans="1:56" ht="45.75" customHeight="1" x14ac:dyDescent="0.25">
      <c r="A1117" s="7" t="s">
        <v>58</v>
      </c>
      <c r="B1117" s="2" t="s">
        <v>14525</v>
      </c>
      <c r="C1117" s="2" t="s">
        <v>14526</v>
      </c>
      <c r="D1117" s="2" t="s">
        <v>14527</v>
      </c>
      <c r="F1117" s="3" t="s">
        <v>58</v>
      </c>
      <c r="G1117" s="3" t="s">
        <v>59</v>
      </c>
      <c r="H1117" s="3" t="s">
        <v>58</v>
      </c>
      <c r="I1117" s="3" t="s">
        <v>58</v>
      </c>
      <c r="J1117" s="3" t="s">
        <v>60</v>
      </c>
      <c r="K1117" s="2" t="s">
        <v>14528</v>
      </c>
      <c r="L1117" s="2" t="s">
        <v>14529</v>
      </c>
      <c r="M1117" s="3" t="s">
        <v>1485</v>
      </c>
      <c r="N1117" s="2" t="s">
        <v>1624</v>
      </c>
      <c r="O1117" s="3" t="s">
        <v>65</v>
      </c>
      <c r="P1117" s="3" t="s">
        <v>148</v>
      </c>
      <c r="R1117" s="3" t="s">
        <v>67</v>
      </c>
      <c r="S1117" s="4">
        <v>7</v>
      </c>
      <c r="T1117" s="4">
        <v>7</v>
      </c>
      <c r="U1117" s="5" t="s">
        <v>14530</v>
      </c>
      <c r="V1117" s="5" t="s">
        <v>14530</v>
      </c>
      <c r="W1117" s="5" t="s">
        <v>11348</v>
      </c>
      <c r="X1117" s="5" t="s">
        <v>11348</v>
      </c>
      <c r="Y1117" s="4">
        <v>144</v>
      </c>
      <c r="Z1117" s="4">
        <v>133</v>
      </c>
      <c r="AA1117" s="4">
        <v>381</v>
      </c>
      <c r="AB1117" s="4">
        <v>2</v>
      </c>
      <c r="AC1117" s="4">
        <v>5</v>
      </c>
      <c r="AD1117" s="4">
        <v>5</v>
      </c>
      <c r="AE1117" s="4">
        <v>14</v>
      </c>
      <c r="AF1117" s="4">
        <v>1</v>
      </c>
      <c r="AG1117" s="4">
        <v>3</v>
      </c>
      <c r="AH1117" s="4">
        <v>0</v>
      </c>
      <c r="AI1117" s="4">
        <v>2</v>
      </c>
      <c r="AJ1117" s="4">
        <v>1</v>
      </c>
      <c r="AK1117" s="4">
        <v>3</v>
      </c>
      <c r="AL1117" s="4">
        <v>1</v>
      </c>
      <c r="AM1117" s="4">
        <v>4</v>
      </c>
      <c r="AN1117" s="4">
        <v>2</v>
      </c>
      <c r="AO1117" s="4">
        <v>4</v>
      </c>
      <c r="AP1117" s="3" t="s">
        <v>58</v>
      </c>
      <c r="AQ1117" s="3" t="s">
        <v>58</v>
      </c>
      <c r="AS1117" s="6" t="str">
        <f>HYPERLINK("https://creighton-primo.hosted.exlibrisgroup.com/primo-explore/search?tab=default_tab&amp;search_scope=EVERYTHING&amp;vid=01CRU&amp;lang=en_US&amp;offset=0&amp;query=any,contains,991004001799702656","Catalog Record")</f>
        <v>Catalog Record</v>
      </c>
      <c r="AT1117" s="6" t="str">
        <f>HYPERLINK("http://www.worldcat.org/oclc/2074289","WorldCat Record")</f>
        <v>WorldCat Record</v>
      </c>
      <c r="AU1117" s="3" t="s">
        <v>14531</v>
      </c>
      <c r="AV1117" s="3" t="s">
        <v>14532</v>
      </c>
      <c r="AW1117" s="3" t="s">
        <v>14533</v>
      </c>
      <c r="AX1117" s="3" t="s">
        <v>14533</v>
      </c>
      <c r="AY1117" s="3" t="s">
        <v>14534</v>
      </c>
      <c r="AZ1117" s="3" t="s">
        <v>74</v>
      </c>
      <c r="BC1117" s="3" t="s">
        <v>14535</v>
      </c>
      <c r="BD1117" s="3" t="s">
        <v>14536</v>
      </c>
    </row>
    <row r="1118" spans="1:56" ht="45.75" customHeight="1" x14ac:dyDescent="0.25">
      <c r="A1118" s="7" t="s">
        <v>58</v>
      </c>
      <c r="B1118" s="2" t="s">
        <v>14537</v>
      </c>
      <c r="C1118" s="2" t="s">
        <v>14538</v>
      </c>
      <c r="D1118" s="2" t="s">
        <v>14539</v>
      </c>
      <c r="F1118" s="3" t="s">
        <v>58</v>
      </c>
      <c r="G1118" s="3" t="s">
        <v>59</v>
      </c>
      <c r="H1118" s="3" t="s">
        <v>58</v>
      </c>
      <c r="I1118" s="3" t="s">
        <v>58</v>
      </c>
      <c r="J1118" s="3" t="s">
        <v>60</v>
      </c>
      <c r="K1118" s="2" t="s">
        <v>14540</v>
      </c>
      <c r="L1118" s="2" t="s">
        <v>14541</v>
      </c>
      <c r="M1118" s="3" t="s">
        <v>1254</v>
      </c>
      <c r="O1118" s="3" t="s">
        <v>65</v>
      </c>
      <c r="P1118" s="3" t="s">
        <v>66</v>
      </c>
      <c r="R1118" s="3" t="s">
        <v>67</v>
      </c>
      <c r="S1118" s="4">
        <v>9</v>
      </c>
      <c r="T1118" s="4">
        <v>9</v>
      </c>
      <c r="U1118" s="5" t="s">
        <v>14516</v>
      </c>
      <c r="V1118" s="5" t="s">
        <v>14516</v>
      </c>
      <c r="W1118" s="5" t="s">
        <v>11499</v>
      </c>
      <c r="X1118" s="5" t="s">
        <v>11499</v>
      </c>
      <c r="Y1118" s="4">
        <v>62</v>
      </c>
      <c r="Z1118" s="4">
        <v>59</v>
      </c>
      <c r="AA1118" s="4">
        <v>59</v>
      </c>
      <c r="AB1118" s="4">
        <v>1</v>
      </c>
      <c r="AC1118" s="4">
        <v>1</v>
      </c>
      <c r="AD1118" s="4">
        <v>1</v>
      </c>
      <c r="AE1118" s="4">
        <v>1</v>
      </c>
      <c r="AF1118" s="4">
        <v>0</v>
      </c>
      <c r="AG1118" s="4">
        <v>0</v>
      </c>
      <c r="AH1118" s="4">
        <v>0</v>
      </c>
      <c r="AI1118" s="4">
        <v>0</v>
      </c>
      <c r="AJ1118" s="4">
        <v>0</v>
      </c>
      <c r="AK1118" s="4">
        <v>0</v>
      </c>
      <c r="AL1118" s="4">
        <v>0</v>
      </c>
      <c r="AM1118" s="4">
        <v>0</v>
      </c>
      <c r="AN1118" s="4">
        <v>1</v>
      </c>
      <c r="AO1118" s="4">
        <v>1</v>
      </c>
      <c r="AP1118" s="3" t="s">
        <v>58</v>
      </c>
      <c r="AQ1118" s="3" t="s">
        <v>58</v>
      </c>
      <c r="AS1118" s="6" t="str">
        <f>HYPERLINK("https://creighton-primo.hosted.exlibrisgroup.com/primo-explore/search?tab=default_tab&amp;search_scope=EVERYTHING&amp;vid=01CRU&amp;lang=en_US&amp;offset=0&amp;query=any,contains,991000435819702656","Catalog Record")</f>
        <v>Catalog Record</v>
      </c>
      <c r="AT1118" s="6" t="str">
        <f>HYPERLINK("http://www.worldcat.org/oclc/10796982","WorldCat Record")</f>
        <v>WorldCat Record</v>
      </c>
      <c r="AU1118" s="3" t="s">
        <v>14542</v>
      </c>
      <c r="AV1118" s="3" t="s">
        <v>14543</v>
      </c>
      <c r="AW1118" s="3" t="s">
        <v>14544</v>
      </c>
      <c r="AX1118" s="3" t="s">
        <v>14544</v>
      </c>
      <c r="AY1118" s="3" t="s">
        <v>14545</v>
      </c>
      <c r="AZ1118" s="3" t="s">
        <v>74</v>
      </c>
      <c r="BC1118" s="3" t="s">
        <v>14546</v>
      </c>
      <c r="BD1118" s="3" t="s">
        <v>14547</v>
      </c>
    </row>
    <row r="1119" spans="1:56" ht="45.75" customHeight="1" x14ac:dyDescent="0.25">
      <c r="A1119" s="7" t="s">
        <v>58</v>
      </c>
      <c r="B1119" s="2" t="s">
        <v>14548</v>
      </c>
      <c r="C1119" s="2" t="s">
        <v>14549</v>
      </c>
      <c r="D1119" s="2" t="s">
        <v>14550</v>
      </c>
      <c r="F1119" s="3" t="s">
        <v>58</v>
      </c>
      <c r="G1119" s="3" t="s">
        <v>59</v>
      </c>
      <c r="H1119" s="3" t="s">
        <v>58</v>
      </c>
      <c r="I1119" s="3" t="s">
        <v>58</v>
      </c>
      <c r="J1119" s="3" t="s">
        <v>60</v>
      </c>
      <c r="L1119" s="2" t="s">
        <v>14551</v>
      </c>
      <c r="M1119" s="3" t="s">
        <v>1500</v>
      </c>
      <c r="O1119" s="3" t="s">
        <v>65</v>
      </c>
      <c r="P1119" s="3" t="s">
        <v>132</v>
      </c>
      <c r="Q1119" s="2" t="s">
        <v>14552</v>
      </c>
      <c r="R1119" s="3" t="s">
        <v>67</v>
      </c>
      <c r="S1119" s="4">
        <v>6</v>
      </c>
      <c r="T1119" s="4">
        <v>6</v>
      </c>
      <c r="U1119" s="5" t="s">
        <v>2191</v>
      </c>
      <c r="V1119" s="5" t="s">
        <v>2191</v>
      </c>
      <c r="W1119" s="5" t="s">
        <v>11348</v>
      </c>
      <c r="X1119" s="5" t="s">
        <v>11348</v>
      </c>
      <c r="Y1119" s="4">
        <v>307</v>
      </c>
      <c r="Z1119" s="4">
        <v>260</v>
      </c>
      <c r="AA1119" s="4">
        <v>268</v>
      </c>
      <c r="AB1119" s="4">
        <v>3</v>
      </c>
      <c r="AC1119" s="4">
        <v>3</v>
      </c>
      <c r="AD1119" s="4">
        <v>14</v>
      </c>
      <c r="AE1119" s="4">
        <v>14</v>
      </c>
      <c r="AF1119" s="4">
        <v>3</v>
      </c>
      <c r="AG1119" s="4">
        <v>3</v>
      </c>
      <c r="AH1119" s="4">
        <v>3</v>
      </c>
      <c r="AI1119" s="4">
        <v>3</v>
      </c>
      <c r="AJ1119" s="4">
        <v>5</v>
      </c>
      <c r="AK1119" s="4">
        <v>5</v>
      </c>
      <c r="AL1119" s="4">
        <v>2</v>
      </c>
      <c r="AM1119" s="4">
        <v>2</v>
      </c>
      <c r="AN1119" s="4">
        <v>4</v>
      </c>
      <c r="AO1119" s="4">
        <v>4</v>
      </c>
      <c r="AP1119" s="3" t="s">
        <v>58</v>
      </c>
      <c r="AQ1119" s="3" t="s">
        <v>87</v>
      </c>
      <c r="AR1119" s="6" t="str">
        <f>HYPERLINK("http://catalog.hathitrust.org/Record/000481459","HathiTrust Record")</f>
        <v>HathiTrust Record</v>
      </c>
      <c r="AS1119" s="6" t="str">
        <f>HYPERLINK("https://creighton-primo.hosted.exlibrisgroup.com/primo-explore/search?tab=default_tab&amp;search_scope=EVERYTHING&amp;vid=01CRU&amp;lang=en_US&amp;offset=0&amp;query=any,contains,991004990589702656","Catalog Record")</f>
        <v>Catalog Record</v>
      </c>
      <c r="AT1119" s="6" t="str">
        <f>HYPERLINK("http://www.worldcat.org/oclc/6487133","WorldCat Record")</f>
        <v>WorldCat Record</v>
      </c>
      <c r="AU1119" s="3" t="s">
        <v>14553</v>
      </c>
      <c r="AV1119" s="3" t="s">
        <v>14554</v>
      </c>
      <c r="AW1119" s="3" t="s">
        <v>14555</v>
      </c>
      <c r="AX1119" s="3" t="s">
        <v>14555</v>
      </c>
      <c r="AY1119" s="3" t="s">
        <v>14556</v>
      </c>
      <c r="AZ1119" s="3" t="s">
        <v>74</v>
      </c>
      <c r="BB1119" s="3" t="s">
        <v>14557</v>
      </c>
      <c r="BC1119" s="3" t="s">
        <v>14558</v>
      </c>
      <c r="BD1119" s="3" t="s">
        <v>14559</v>
      </c>
    </row>
    <row r="1120" spans="1:56" ht="45.75" customHeight="1" x14ac:dyDescent="0.25">
      <c r="A1120" s="7" t="s">
        <v>58</v>
      </c>
      <c r="B1120" s="2" t="s">
        <v>14560</v>
      </c>
      <c r="C1120" s="2" t="s">
        <v>14561</v>
      </c>
      <c r="D1120" s="2" t="s">
        <v>14562</v>
      </c>
      <c r="F1120" s="3" t="s">
        <v>58</v>
      </c>
      <c r="G1120" s="3" t="s">
        <v>59</v>
      </c>
      <c r="H1120" s="3" t="s">
        <v>58</v>
      </c>
      <c r="I1120" s="3" t="s">
        <v>58</v>
      </c>
      <c r="J1120" s="3" t="s">
        <v>60</v>
      </c>
      <c r="L1120" s="2" t="s">
        <v>14563</v>
      </c>
      <c r="M1120" s="3" t="s">
        <v>908</v>
      </c>
      <c r="O1120" s="3" t="s">
        <v>65</v>
      </c>
      <c r="P1120" s="3" t="s">
        <v>84</v>
      </c>
      <c r="Q1120" s="2" t="s">
        <v>14564</v>
      </c>
      <c r="R1120" s="3" t="s">
        <v>67</v>
      </c>
      <c r="S1120" s="4">
        <v>3</v>
      </c>
      <c r="T1120" s="4">
        <v>3</v>
      </c>
      <c r="U1120" s="5" t="s">
        <v>11676</v>
      </c>
      <c r="V1120" s="5" t="s">
        <v>11676</v>
      </c>
      <c r="W1120" s="5" t="s">
        <v>14565</v>
      </c>
      <c r="X1120" s="5" t="s">
        <v>14565</v>
      </c>
      <c r="Y1120" s="4">
        <v>485</v>
      </c>
      <c r="Z1120" s="4">
        <v>435</v>
      </c>
      <c r="AA1120" s="4">
        <v>436</v>
      </c>
      <c r="AB1120" s="4">
        <v>3</v>
      </c>
      <c r="AC1120" s="4">
        <v>3</v>
      </c>
      <c r="AD1120" s="4">
        <v>27</v>
      </c>
      <c r="AE1120" s="4">
        <v>27</v>
      </c>
      <c r="AF1120" s="4">
        <v>3</v>
      </c>
      <c r="AG1120" s="4">
        <v>3</v>
      </c>
      <c r="AH1120" s="4">
        <v>5</v>
      </c>
      <c r="AI1120" s="4">
        <v>5</v>
      </c>
      <c r="AJ1120" s="4">
        <v>7</v>
      </c>
      <c r="AK1120" s="4">
        <v>7</v>
      </c>
      <c r="AL1120" s="4">
        <v>2</v>
      </c>
      <c r="AM1120" s="4">
        <v>2</v>
      </c>
      <c r="AN1120" s="4">
        <v>13</v>
      </c>
      <c r="AO1120" s="4">
        <v>13</v>
      </c>
      <c r="AP1120" s="3" t="s">
        <v>58</v>
      </c>
      <c r="AQ1120" s="3" t="s">
        <v>58</v>
      </c>
      <c r="AS1120" s="6" t="str">
        <f>HYPERLINK("https://creighton-primo.hosted.exlibrisgroup.com/primo-explore/search?tab=default_tab&amp;search_scope=EVERYTHING&amp;vid=01CRU&amp;lang=en_US&amp;offset=0&amp;query=any,contains,991004695489702656","Catalog Record")</f>
        <v>Catalog Record</v>
      </c>
      <c r="AT1120" s="6" t="str">
        <f>HYPERLINK("http://www.worldcat.org/oclc/4639074","WorldCat Record")</f>
        <v>WorldCat Record</v>
      </c>
      <c r="AU1120" s="3" t="s">
        <v>14566</v>
      </c>
      <c r="AV1120" s="3" t="s">
        <v>14567</v>
      </c>
      <c r="AW1120" s="3" t="s">
        <v>14568</v>
      </c>
      <c r="AX1120" s="3" t="s">
        <v>14568</v>
      </c>
      <c r="AY1120" s="3" t="s">
        <v>14569</v>
      </c>
      <c r="AZ1120" s="3" t="s">
        <v>74</v>
      </c>
      <c r="BB1120" s="3" t="s">
        <v>14570</v>
      </c>
      <c r="BC1120" s="3" t="s">
        <v>14571</v>
      </c>
      <c r="BD1120" s="3" t="s">
        <v>14572</v>
      </c>
    </row>
    <row r="1121" spans="1:56" ht="45.75" customHeight="1" x14ac:dyDescent="0.25">
      <c r="A1121" s="7" t="s">
        <v>58</v>
      </c>
      <c r="B1121" s="2" t="s">
        <v>14573</v>
      </c>
      <c r="C1121" s="2" t="s">
        <v>14574</v>
      </c>
      <c r="D1121" s="2" t="s">
        <v>14575</v>
      </c>
      <c r="F1121" s="3" t="s">
        <v>58</v>
      </c>
      <c r="G1121" s="3" t="s">
        <v>59</v>
      </c>
      <c r="H1121" s="3" t="s">
        <v>58</v>
      </c>
      <c r="I1121" s="3" t="s">
        <v>58</v>
      </c>
      <c r="J1121" s="3" t="s">
        <v>60</v>
      </c>
      <c r="K1121" s="2" t="s">
        <v>14576</v>
      </c>
      <c r="L1121" s="2" t="s">
        <v>14577</v>
      </c>
      <c r="M1121" s="3" t="s">
        <v>908</v>
      </c>
      <c r="O1121" s="3" t="s">
        <v>65</v>
      </c>
      <c r="P1121" s="3" t="s">
        <v>132</v>
      </c>
      <c r="Q1121" s="2" t="s">
        <v>14578</v>
      </c>
      <c r="R1121" s="3" t="s">
        <v>67</v>
      </c>
      <c r="S1121" s="4">
        <v>6</v>
      </c>
      <c r="T1121" s="4">
        <v>6</v>
      </c>
      <c r="U1121" s="5" t="s">
        <v>14579</v>
      </c>
      <c r="V1121" s="5" t="s">
        <v>14579</v>
      </c>
      <c r="W1121" s="5" t="s">
        <v>11348</v>
      </c>
      <c r="X1121" s="5" t="s">
        <v>11348</v>
      </c>
      <c r="Y1121" s="4">
        <v>384</v>
      </c>
      <c r="Z1121" s="4">
        <v>325</v>
      </c>
      <c r="AA1121" s="4">
        <v>331</v>
      </c>
      <c r="AB1121" s="4">
        <v>2</v>
      </c>
      <c r="AC1121" s="4">
        <v>2</v>
      </c>
      <c r="AD1121" s="4">
        <v>18</v>
      </c>
      <c r="AE1121" s="4">
        <v>18</v>
      </c>
      <c r="AF1121" s="4">
        <v>5</v>
      </c>
      <c r="AG1121" s="4">
        <v>5</v>
      </c>
      <c r="AH1121" s="4">
        <v>2</v>
      </c>
      <c r="AI1121" s="4">
        <v>2</v>
      </c>
      <c r="AJ1121" s="4">
        <v>7</v>
      </c>
      <c r="AK1121" s="4">
        <v>7</v>
      </c>
      <c r="AL1121" s="4">
        <v>1</v>
      </c>
      <c r="AM1121" s="4">
        <v>1</v>
      </c>
      <c r="AN1121" s="4">
        <v>7</v>
      </c>
      <c r="AO1121" s="4">
        <v>7</v>
      </c>
      <c r="AP1121" s="3" t="s">
        <v>58</v>
      </c>
      <c r="AQ1121" s="3" t="s">
        <v>58</v>
      </c>
      <c r="AS1121" s="6" t="str">
        <f>HYPERLINK("https://creighton-primo.hosted.exlibrisgroup.com/primo-explore/search?tab=default_tab&amp;search_scope=EVERYTHING&amp;vid=01CRU&amp;lang=en_US&amp;offset=0&amp;query=any,contains,991004804529702656","Catalog Record")</f>
        <v>Catalog Record</v>
      </c>
      <c r="AT1121" s="6" t="str">
        <f>HYPERLINK("http://www.worldcat.org/oclc/5239497","WorldCat Record")</f>
        <v>WorldCat Record</v>
      </c>
      <c r="AU1121" s="3" t="s">
        <v>14580</v>
      </c>
      <c r="AV1121" s="3" t="s">
        <v>14581</v>
      </c>
      <c r="AW1121" s="3" t="s">
        <v>14582</v>
      </c>
      <c r="AX1121" s="3" t="s">
        <v>14582</v>
      </c>
      <c r="AY1121" s="3" t="s">
        <v>14583</v>
      </c>
      <c r="AZ1121" s="3" t="s">
        <v>74</v>
      </c>
      <c r="BB1121" s="3" t="s">
        <v>14584</v>
      </c>
      <c r="BC1121" s="3" t="s">
        <v>14585</v>
      </c>
      <c r="BD1121" s="3" t="s">
        <v>14586</v>
      </c>
    </row>
    <row r="1122" spans="1:56" ht="45.75" customHeight="1" x14ac:dyDescent="0.25">
      <c r="A1122" s="7" t="s">
        <v>58</v>
      </c>
      <c r="B1122" s="2" t="s">
        <v>14587</v>
      </c>
      <c r="C1122" s="2" t="s">
        <v>14588</v>
      </c>
      <c r="D1122" s="2" t="s">
        <v>14589</v>
      </c>
      <c r="F1122" s="3" t="s">
        <v>58</v>
      </c>
      <c r="G1122" s="3" t="s">
        <v>59</v>
      </c>
      <c r="H1122" s="3" t="s">
        <v>87</v>
      </c>
      <c r="I1122" s="3" t="s">
        <v>58</v>
      </c>
      <c r="J1122" s="3" t="s">
        <v>60</v>
      </c>
      <c r="K1122" s="2" t="s">
        <v>14590</v>
      </c>
      <c r="L1122" s="2" t="s">
        <v>14591</v>
      </c>
      <c r="M1122" s="3" t="s">
        <v>1419</v>
      </c>
      <c r="O1122" s="3" t="s">
        <v>65</v>
      </c>
      <c r="P1122" s="3" t="s">
        <v>84</v>
      </c>
      <c r="Q1122" s="2" t="s">
        <v>14592</v>
      </c>
      <c r="R1122" s="3" t="s">
        <v>67</v>
      </c>
      <c r="S1122" s="4">
        <v>1</v>
      </c>
      <c r="T1122" s="4">
        <v>1</v>
      </c>
      <c r="U1122" s="5" t="s">
        <v>10243</v>
      </c>
      <c r="V1122" s="5" t="s">
        <v>10243</v>
      </c>
      <c r="W1122" s="5" t="s">
        <v>14593</v>
      </c>
      <c r="X1122" s="5" t="s">
        <v>14593</v>
      </c>
      <c r="Y1122" s="4">
        <v>312</v>
      </c>
      <c r="Z1122" s="4">
        <v>276</v>
      </c>
      <c r="AA1122" s="4">
        <v>282</v>
      </c>
      <c r="AB1122" s="4">
        <v>3</v>
      </c>
      <c r="AC1122" s="4">
        <v>3</v>
      </c>
      <c r="AD1122" s="4">
        <v>25</v>
      </c>
      <c r="AE1122" s="4">
        <v>25</v>
      </c>
      <c r="AF1122" s="4">
        <v>9</v>
      </c>
      <c r="AG1122" s="4">
        <v>9</v>
      </c>
      <c r="AH1122" s="4">
        <v>5</v>
      </c>
      <c r="AI1122" s="4">
        <v>5</v>
      </c>
      <c r="AJ1122" s="4">
        <v>14</v>
      </c>
      <c r="AK1122" s="4">
        <v>14</v>
      </c>
      <c r="AL1122" s="4">
        <v>1</v>
      </c>
      <c r="AM1122" s="4">
        <v>1</v>
      </c>
      <c r="AN1122" s="4">
        <v>2</v>
      </c>
      <c r="AO1122" s="4">
        <v>2</v>
      </c>
      <c r="AP1122" s="3" t="s">
        <v>58</v>
      </c>
      <c r="AQ1122" s="3" t="s">
        <v>87</v>
      </c>
      <c r="AR1122" s="6" t="str">
        <f>HYPERLINK("http://catalog.hathitrust.org/Record/102210895","HathiTrust Record")</f>
        <v>HathiTrust Record</v>
      </c>
      <c r="AS1122" s="6" t="str">
        <f>HYPERLINK("https://creighton-primo.hosted.exlibrisgroup.com/primo-explore/search?tab=default_tab&amp;search_scope=EVERYTHING&amp;vid=01CRU&amp;lang=en_US&amp;offset=0&amp;query=any,contains,991001792899702656","Catalog Record")</f>
        <v>Catalog Record</v>
      </c>
      <c r="AT1122" s="6" t="str">
        <f>HYPERLINK("http://www.worldcat.org/oclc/4392293","WorldCat Record")</f>
        <v>WorldCat Record</v>
      </c>
      <c r="AU1122" s="3" t="s">
        <v>14594</v>
      </c>
      <c r="AV1122" s="3" t="s">
        <v>14595</v>
      </c>
      <c r="AW1122" s="3" t="s">
        <v>14596</v>
      </c>
      <c r="AX1122" s="3" t="s">
        <v>14596</v>
      </c>
      <c r="AY1122" s="3" t="s">
        <v>14597</v>
      </c>
      <c r="AZ1122" s="3" t="s">
        <v>74</v>
      </c>
      <c r="BB1122" s="3" t="s">
        <v>14598</v>
      </c>
      <c r="BC1122" s="3" t="s">
        <v>14599</v>
      </c>
      <c r="BD1122" s="3" t="s">
        <v>14600</v>
      </c>
    </row>
    <row r="1123" spans="1:56" ht="45.75" customHeight="1" x14ac:dyDescent="0.25">
      <c r="A1123" s="7" t="s">
        <v>58</v>
      </c>
      <c r="B1123" s="2" t="s">
        <v>14601</v>
      </c>
      <c r="C1123" s="2" t="s">
        <v>14602</v>
      </c>
      <c r="D1123" s="2" t="s">
        <v>14603</v>
      </c>
      <c r="F1123" s="3" t="s">
        <v>58</v>
      </c>
      <c r="G1123" s="3" t="s">
        <v>59</v>
      </c>
      <c r="H1123" s="3" t="s">
        <v>58</v>
      </c>
      <c r="I1123" s="3" t="s">
        <v>58</v>
      </c>
      <c r="J1123" s="3" t="s">
        <v>60</v>
      </c>
      <c r="L1123" s="2" t="s">
        <v>14604</v>
      </c>
      <c r="M1123" s="3" t="s">
        <v>923</v>
      </c>
      <c r="O1123" s="3" t="s">
        <v>65</v>
      </c>
      <c r="P1123" s="3" t="s">
        <v>132</v>
      </c>
      <c r="Q1123" s="2" t="s">
        <v>14605</v>
      </c>
      <c r="R1123" s="3" t="s">
        <v>67</v>
      </c>
      <c r="S1123" s="4">
        <v>14</v>
      </c>
      <c r="T1123" s="4">
        <v>14</v>
      </c>
      <c r="U1123" s="5" t="s">
        <v>10814</v>
      </c>
      <c r="V1123" s="5" t="s">
        <v>10814</v>
      </c>
      <c r="W1123" s="5" t="s">
        <v>11348</v>
      </c>
      <c r="X1123" s="5" t="s">
        <v>11348</v>
      </c>
      <c r="Y1123" s="4">
        <v>250</v>
      </c>
      <c r="Z1123" s="4">
        <v>208</v>
      </c>
      <c r="AA1123" s="4">
        <v>215</v>
      </c>
      <c r="AB1123" s="4">
        <v>2</v>
      </c>
      <c r="AC1123" s="4">
        <v>2</v>
      </c>
      <c r="AD1123" s="4">
        <v>11</v>
      </c>
      <c r="AE1123" s="4">
        <v>11</v>
      </c>
      <c r="AF1123" s="4">
        <v>3</v>
      </c>
      <c r="AG1123" s="4">
        <v>3</v>
      </c>
      <c r="AH1123" s="4">
        <v>2</v>
      </c>
      <c r="AI1123" s="4">
        <v>2</v>
      </c>
      <c r="AJ1123" s="4">
        <v>5</v>
      </c>
      <c r="AK1123" s="4">
        <v>5</v>
      </c>
      <c r="AL1123" s="4">
        <v>1</v>
      </c>
      <c r="AM1123" s="4">
        <v>1</v>
      </c>
      <c r="AN1123" s="4">
        <v>2</v>
      </c>
      <c r="AO1123" s="4">
        <v>2</v>
      </c>
      <c r="AP1123" s="3" t="s">
        <v>58</v>
      </c>
      <c r="AQ1123" s="3" t="s">
        <v>87</v>
      </c>
      <c r="AR1123" s="6" t="str">
        <f>HYPERLINK("http://catalog.hathitrust.org/Record/000232810","HathiTrust Record")</f>
        <v>HathiTrust Record</v>
      </c>
      <c r="AS1123" s="6" t="str">
        <f>HYPERLINK("https://creighton-primo.hosted.exlibrisgroup.com/primo-explore/search?tab=default_tab&amp;search_scope=EVERYTHING&amp;vid=01CRU&amp;lang=en_US&amp;offset=0&amp;query=any,contains,991005189989702656","Catalog Record")</f>
        <v>Catalog Record</v>
      </c>
      <c r="AT1123" s="6" t="str">
        <f>HYPERLINK("http://www.worldcat.org/oclc/7998105","WorldCat Record")</f>
        <v>WorldCat Record</v>
      </c>
      <c r="AU1123" s="3" t="s">
        <v>14606</v>
      </c>
      <c r="AV1123" s="3" t="s">
        <v>14607</v>
      </c>
      <c r="AW1123" s="3" t="s">
        <v>14608</v>
      </c>
      <c r="AX1123" s="3" t="s">
        <v>14608</v>
      </c>
      <c r="AY1123" s="3" t="s">
        <v>14609</v>
      </c>
      <c r="AZ1123" s="3" t="s">
        <v>74</v>
      </c>
      <c r="BB1123" s="3" t="s">
        <v>14610</v>
      </c>
      <c r="BC1123" s="3" t="s">
        <v>14611</v>
      </c>
      <c r="BD1123" s="3" t="s">
        <v>14612</v>
      </c>
    </row>
    <row r="1124" spans="1:56" ht="45.75" customHeight="1" x14ac:dyDescent="0.25">
      <c r="A1124" s="7" t="s">
        <v>58</v>
      </c>
      <c r="B1124" s="2" t="s">
        <v>14613</v>
      </c>
      <c r="C1124" s="2" t="s">
        <v>14614</v>
      </c>
      <c r="D1124" s="2" t="s">
        <v>14615</v>
      </c>
      <c r="F1124" s="3" t="s">
        <v>58</v>
      </c>
      <c r="G1124" s="3" t="s">
        <v>59</v>
      </c>
      <c r="H1124" s="3" t="s">
        <v>87</v>
      </c>
      <c r="I1124" s="3" t="s">
        <v>58</v>
      </c>
      <c r="J1124" s="3" t="s">
        <v>60</v>
      </c>
      <c r="L1124" s="2" t="s">
        <v>14616</v>
      </c>
      <c r="M1124" s="3" t="s">
        <v>290</v>
      </c>
      <c r="O1124" s="3" t="s">
        <v>65</v>
      </c>
      <c r="P1124" s="3" t="s">
        <v>148</v>
      </c>
      <c r="R1124" s="3" t="s">
        <v>67</v>
      </c>
      <c r="S1124" s="4">
        <v>4</v>
      </c>
      <c r="T1124" s="4">
        <v>4</v>
      </c>
      <c r="U1124" s="5" t="s">
        <v>14617</v>
      </c>
      <c r="V1124" s="5" t="s">
        <v>14617</v>
      </c>
      <c r="W1124" s="5" t="s">
        <v>14618</v>
      </c>
      <c r="X1124" s="5" t="s">
        <v>14619</v>
      </c>
      <c r="Y1124" s="4">
        <v>564</v>
      </c>
      <c r="Z1124" s="4">
        <v>519</v>
      </c>
      <c r="AA1124" s="4">
        <v>521</v>
      </c>
      <c r="AB1124" s="4">
        <v>5</v>
      </c>
      <c r="AC1124" s="4">
        <v>5</v>
      </c>
      <c r="AD1124" s="4">
        <v>28</v>
      </c>
      <c r="AE1124" s="4">
        <v>28</v>
      </c>
      <c r="AF1124" s="4">
        <v>10</v>
      </c>
      <c r="AG1124" s="4">
        <v>10</v>
      </c>
      <c r="AH1124" s="4">
        <v>5</v>
      </c>
      <c r="AI1124" s="4">
        <v>5</v>
      </c>
      <c r="AJ1124" s="4">
        <v>13</v>
      </c>
      <c r="AK1124" s="4">
        <v>13</v>
      </c>
      <c r="AL1124" s="4">
        <v>3</v>
      </c>
      <c r="AM1124" s="4">
        <v>3</v>
      </c>
      <c r="AN1124" s="4">
        <v>3</v>
      </c>
      <c r="AO1124" s="4">
        <v>3</v>
      </c>
      <c r="AP1124" s="3" t="s">
        <v>58</v>
      </c>
      <c r="AQ1124" s="3" t="s">
        <v>87</v>
      </c>
      <c r="AR1124" s="6" t="str">
        <f>HYPERLINK("http://catalog.hathitrust.org/Record/004596944","HathiTrust Record")</f>
        <v>HathiTrust Record</v>
      </c>
      <c r="AS1124" s="6" t="str">
        <f>HYPERLINK("https://creighton-primo.hosted.exlibrisgroup.com/primo-explore/search?tab=default_tab&amp;search_scope=EVERYTHING&amp;vid=01CRU&amp;lang=en_US&amp;offset=0&amp;query=any,contains,991001709529702656","Catalog Record")</f>
        <v>Catalog Record</v>
      </c>
      <c r="AT1124" s="6" t="str">
        <f>HYPERLINK("http://www.worldcat.org/oclc/46729157","WorldCat Record")</f>
        <v>WorldCat Record</v>
      </c>
      <c r="AU1124" s="3" t="s">
        <v>14620</v>
      </c>
      <c r="AV1124" s="3" t="s">
        <v>14621</v>
      </c>
      <c r="AW1124" s="3" t="s">
        <v>14622</v>
      </c>
      <c r="AX1124" s="3" t="s">
        <v>14622</v>
      </c>
      <c r="AY1124" s="3" t="s">
        <v>14623</v>
      </c>
      <c r="AZ1124" s="3" t="s">
        <v>74</v>
      </c>
      <c r="BB1124" s="3" t="s">
        <v>14624</v>
      </c>
      <c r="BC1124" s="3" t="s">
        <v>14625</v>
      </c>
      <c r="BD1124" s="3" t="s">
        <v>14626</v>
      </c>
    </row>
    <row r="1125" spans="1:56" ht="45.75" customHeight="1" x14ac:dyDescent="0.25">
      <c r="A1125" s="7" t="s">
        <v>58</v>
      </c>
      <c r="B1125" s="2" t="s">
        <v>14627</v>
      </c>
      <c r="C1125" s="2" t="s">
        <v>14628</v>
      </c>
      <c r="D1125" s="2" t="s">
        <v>14629</v>
      </c>
      <c r="F1125" s="3" t="s">
        <v>58</v>
      </c>
      <c r="G1125" s="3" t="s">
        <v>59</v>
      </c>
      <c r="H1125" s="3" t="s">
        <v>58</v>
      </c>
      <c r="I1125" s="3" t="s">
        <v>58</v>
      </c>
      <c r="J1125" s="3" t="s">
        <v>60</v>
      </c>
      <c r="K1125" s="2" t="s">
        <v>14630</v>
      </c>
      <c r="L1125" s="2" t="s">
        <v>14631</v>
      </c>
      <c r="M1125" s="3" t="s">
        <v>937</v>
      </c>
      <c r="O1125" s="3" t="s">
        <v>65</v>
      </c>
      <c r="P1125" s="3" t="s">
        <v>148</v>
      </c>
      <c r="R1125" s="3" t="s">
        <v>67</v>
      </c>
      <c r="S1125" s="4">
        <v>2</v>
      </c>
      <c r="T1125" s="4">
        <v>2</v>
      </c>
      <c r="U1125" s="5" t="s">
        <v>14632</v>
      </c>
      <c r="V1125" s="5" t="s">
        <v>14632</v>
      </c>
      <c r="W1125" s="5" t="s">
        <v>9192</v>
      </c>
      <c r="X1125" s="5" t="s">
        <v>9192</v>
      </c>
      <c r="Y1125" s="4">
        <v>347</v>
      </c>
      <c r="Z1125" s="4">
        <v>317</v>
      </c>
      <c r="AA1125" s="4">
        <v>325</v>
      </c>
      <c r="AB1125" s="4">
        <v>4</v>
      </c>
      <c r="AC1125" s="4">
        <v>4</v>
      </c>
      <c r="AD1125" s="4">
        <v>16</v>
      </c>
      <c r="AE1125" s="4">
        <v>16</v>
      </c>
      <c r="AF1125" s="4">
        <v>0</v>
      </c>
      <c r="AG1125" s="4">
        <v>0</v>
      </c>
      <c r="AH1125" s="4">
        <v>2</v>
      </c>
      <c r="AI1125" s="4">
        <v>2</v>
      </c>
      <c r="AJ1125" s="4">
        <v>4</v>
      </c>
      <c r="AK1125" s="4">
        <v>4</v>
      </c>
      <c r="AL1125" s="4">
        <v>3</v>
      </c>
      <c r="AM1125" s="4">
        <v>3</v>
      </c>
      <c r="AN1125" s="4">
        <v>9</v>
      </c>
      <c r="AO1125" s="4">
        <v>9</v>
      </c>
      <c r="AP1125" s="3" t="s">
        <v>58</v>
      </c>
      <c r="AQ1125" s="3" t="s">
        <v>87</v>
      </c>
      <c r="AR1125" s="6" t="str">
        <f>HYPERLINK("http://catalog.hathitrust.org/Record/000699529","HathiTrust Record")</f>
        <v>HathiTrust Record</v>
      </c>
      <c r="AS1125" s="6" t="str">
        <f>HYPERLINK("https://creighton-primo.hosted.exlibrisgroup.com/primo-explore/search?tab=default_tab&amp;search_scope=EVERYTHING&amp;vid=01CRU&amp;lang=en_US&amp;offset=0&amp;query=any,contains,991004315289702656","Catalog Record")</f>
        <v>Catalog Record</v>
      </c>
      <c r="AT1125" s="6" t="str">
        <f>HYPERLINK("http://www.worldcat.org/oclc/3003584","WorldCat Record")</f>
        <v>WorldCat Record</v>
      </c>
      <c r="AU1125" s="3" t="s">
        <v>14633</v>
      </c>
      <c r="AV1125" s="3" t="s">
        <v>14634</v>
      </c>
      <c r="AW1125" s="3" t="s">
        <v>14635</v>
      </c>
      <c r="AX1125" s="3" t="s">
        <v>14635</v>
      </c>
      <c r="AY1125" s="3" t="s">
        <v>14636</v>
      </c>
      <c r="AZ1125" s="3" t="s">
        <v>74</v>
      </c>
      <c r="BB1125" s="3" t="s">
        <v>14637</v>
      </c>
      <c r="BC1125" s="3" t="s">
        <v>14638</v>
      </c>
      <c r="BD1125" s="3" t="s">
        <v>14639</v>
      </c>
    </row>
    <row r="1126" spans="1:56" ht="45.75" customHeight="1" x14ac:dyDescent="0.25">
      <c r="A1126" s="7" t="s">
        <v>58</v>
      </c>
      <c r="B1126" s="2" t="s">
        <v>14640</v>
      </c>
      <c r="C1126" s="2" t="s">
        <v>14641</v>
      </c>
      <c r="D1126" s="2" t="s">
        <v>14642</v>
      </c>
      <c r="F1126" s="3" t="s">
        <v>58</v>
      </c>
      <c r="G1126" s="3" t="s">
        <v>59</v>
      </c>
      <c r="H1126" s="3" t="s">
        <v>58</v>
      </c>
      <c r="I1126" s="3" t="s">
        <v>58</v>
      </c>
      <c r="J1126" s="3" t="s">
        <v>60</v>
      </c>
      <c r="K1126" s="2" t="s">
        <v>14643</v>
      </c>
      <c r="L1126" s="2" t="s">
        <v>14644</v>
      </c>
      <c r="M1126" s="3" t="s">
        <v>1088</v>
      </c>
      <c r="O1126" s="3" t="s">
        <v>65</v>
      </c>
      <c r="P1126" s="3" t="s">
        <v>84</v>
      </c>
      <c r="Q1126" s="2" t="s">
        <v>14645</v>
      </c>
      <c r="R1126" s="3" t="s">
        <v>67</v>
      </c>
      <c r="S1126" s="4">
        <v>5</v>
      </c>
      <c r="T1126" s="4">
        <v>5</v>
      </c>
      <c r="U1126" s="5" t="s">
        <v>14646</v>
      </c>
      <c r="V1126" s="5" t="s">
        <v>14646</v>
      </c>
      <c r="W1126" s="5" t="s">
        <v>13018</v>
      </c>
      <c r="X1126" s="5" t="s">
        <v>13018</v>
      </c>
      <c r="Y1126" s="4">
        <v>181</v>
      </c>
      <c r="Z1126" s="4">
        <v>158</v>
      </c>
      <c r="AA1126" s="4">
        <v>160</v>
      </c>
      <c r="AB1126" s="4">
        <v>2</v>
      </c>
      <c r="AC1126" s="4">
        <v>2</v>
      </c>
      <c r="AD1126" s="4">
        <v>4</v>
      </c>
      <c r="AE1126" s="4">
        <v>4</v>
      </c>
      <c r="AF1126" s="4">
        <v>2</v>
      </c>
      <c r="AG1126" s="4">
        <v>2</v>
      </c>
      <c r="AH1126" s="4">
        <v>1</v>
      </c>
      <c r="AI1126" s="4">
        <v>1</v>
      </c>
      <c r="AJ1126" s="4">
        <v>0</v>
      </c>
      <c r="AK1126" s="4">
        <v>0</v>
      </c>
      <c r="AL1126" s="4">
        <v>1</v>
      </c>
      <c r="AM1126" s="4">
        <v>1</v>
      </c>
      <c r="AN1126" s="4">
        <v>1</v>
      </c>
      <c r="AO1126" s="4">
        <v>1</v>
      </c>
      <c r="AP1126" s="3" t="s">
        <v>58</v>
      </c>
      <c r="AQ1126" s="3" t="s">
        <v>87</v>
      </c>
      <c r="AR1126" s="6" t="str">
        <f>HYPERLINK("http://catalog.hathitrust.org/Record/000384070","HathiTrust Record")</f>
        <v>HathiTrust Record</v>
      </c>
      <c r="AS1126" s="6" t="str">
        <f>HYPERLINK("https://creighton-primo.hosted.exlibrisgroup.com/primo-explore/search?tab=default_tab&amp;search_scope=EVERYTHING&amp;vid=01CRU&amp;lang=en_US&amp;offset=0&amp;query=any,contains,991000343439702656","Catalog Record")</f>
        <v>Catalog Record</v>
      </c>
      <c r="AT1126" s="6" t="str">
        <f>HYPERLINK("http://www.worldcat.org/oclc/10275845","WorldCat Record")</f>
        <v>WorldCat Record</v>
      </c>
      <c r="AU1126" s="3" t="s">
        <v>14647</v>
      </c>
      <c r="AV1126" s="3" t="s">
        <v>14648</v>
      </c>
      <c r="AW1126" s="3" t="s">
        <v>14649</v>
      </c>
      <c r="AX1126" s="3" t="s">
        <v>14649</v>
      </c>
      <c r="AY1126" s="3" t="s">
        <v>14650</v>
      </c>
      <c r="AZ1126" s="3" t="s">
        <v>74</v>
      </c>
      <c r="BB1126" s="3" t="s">
        <v>14651</v>
      </c>
      <c r="BC1126" s="3" t="s">
        <v>14652</v>
      </c>
      <c r="BD1126" s="3" t="s">
        <v>14653</v>
      </c>
    </row>
    <row r="1127" spans="1:56" ht="45.75" customHeight="1" x14ac:dyDescent="0.25">
      <c r="A1127" s="7" t="s">
        <v>58</v>
      </c>
      <c r="B1127" s="2" t="s">
        <v>14654</v>
      </c>
      <c r="C1127" s="2" t="s">
        <v>14655</v>
      </c>
      <c r="D1127" s="2" t="s">
        <v>14656</v>
      </c>
      <c r="F1127" s="3" t="s">
        <v>58</v>
      </c>
      <c r="G1127" s="3" t="s">
        <v>59</v>
      </c>
      <c r="H1127" s="3" t="s">
        <v>58</v>
      </c>
      <c r="I1127" s="3" t="s">
        <v>58</v>
      </c>
      <c r="J1127" s="3" t="s">
        <v>60</v>
      </c>
      <c r="K1127" s="2" t="s">
        <v>14657</v>
      </c>
      <c r="L1127" s="2" t="s">
        <v>14658</v>
      </c>
      <c r="M1127" s="3" t="s">
        <v>1544</v>
      </c>
      <c r="N1127" s="2" t="s">
        <v>1624</v>
      </c>
      <c r="O1127" s="3" t="s">
        <v>65</v>
      </c>
      <c r="P1127" s="3" t="s">
        <v>84</v>
      </c>
      <c r="R1127" s="3" t="s">
        <v>67</v>
      </c>
      <c r="S1127" s="4">
        <v>2</v>
      </c>
      <c r="T1127" s="4">
        <v>2</v>
      </c>
      <c r="U1127" s="5" t="s">
        <v>14659</v>
      </c>
      <c r="V1127" s="5" t="s">
        <v>14659</v>
      </c>
      <c r="W1127" s="5" t="s">
        <v>14660</v>
      </c>
      <c r="X1127" s="5" t="s">
        <v>14660</v>
      </c>
      <c r="Y1127" s="4">
        <v>277</v>
      </c>
      <c r="Z1127" s="4">
        <v>240</v>
      </c>
      <c r="AA1127" s="4">
        <v>413</v>
      </c>
      <c r="AB1127" s="4">
        <v>3</v>
      </c>
      <c r="AC1127" s="4">
        <v>5</v>
      </c>
      <c r="AD1127" s="4">
        <v>9</v>
      </c>
      <c r="AE1127" s="4">
        <v>14</v>
      </c>
      <c r="AF1127" s="4">
        <v>4</v>
      </c>
      <c r="AG1127" s="4">
        <v>6</v>
      </c>
      <c r="AH1127" s="4">
        <v>2</v>
      </c>
      <c r="AI1127" s="4">
        <v>3</v>
      </c>
      <c r="AJ1127" s="4">
        <v>5</v>
      </c>
      <c r="AK1127" s="4">
        <v>6</v>
      </c>
      <c r="AL1127" s="4">
        <v>2</v>
      </c>
      <c r="AM1127" s="4">
        <v>4</v>
      </c>
      <c r="AN1127" s="4">
        <v>0</v>
      </c>
      <c r="AO1127" s="4">
        <v>0</v>
      </c>
      <c r="AP1127" s="3" t="s">
        <v>58</v>
      </c>
      <c r="AQ1127" s="3" t="s">
        <v>87</v>
      </c>
      <c r="AR1127" s="6" t="str">
        <f>HYPERLINK("http://catalog.hathitrust.org/Record/004402635","HathiTrust Record")</f>
        <v>HathiTrust Record</v>
      </c>
      <c r="AS1127" s="6" t="str">
        <f>HYPERLINK("https://creighton-primo.hosted.exlibrisgroup.com/primo-explore/search?tab=default_tab&amp;search_scope=EVERYTHING&amp;vid=01CRU&amp;lang=en_US&amp;offset=0&amp;query=any,contains,991000796149702656","Catalog Record")</f>
        <v>Catalog Record</v>
      </c>
      <c r="AT1127" s="6" t="str">
        <f>HYPERLINK("http://www.worldcat.org/oclc/137121","WorldCat Record")</f>
        <v>WorldCat Record</v>
      </c>
      <c r="AU1127" s="3" t="s">
        <v>14661</v>
      </c>
      <c r="AV1127" s="3" t="s">
        <v>14662</v>
      </c>
      <c r="AW1127" s="3" t="s">
        <v>14663</v>
      </c>
      <c r="AX1127" s="3" t="s">
        <v>14663</v>
      </c>
      <c r="AY1127" s="3" t="s">
        <v>14664</v>
      </c>
      <c r="AZ1127" s="3" t="s">
        <v>74</v>
      </c>
      <c r="BB1127" s="3" t="s">
        <v>14665</v>
      </c>
      <c r="BC1127" s="3" t="s">
        <v>14666</v>
      </c>
      <c r="BD1127" s="3" t="s">
        <v>14667</v>
      </c>
    </row>
    <row r="1128" spans="1:56" ht="45.75" customHeight="1" x14ac:dyDescent="0.25">
      <c r="A1128" s="7" t="s">
        <v>58</v>
      </c>
      <c r="B1128" s="2" t="s">
        <v>14668</v>
      </c>
      <c r="C1128" s="2" t="s">
        <v>14669</v>
      </c>
      <c r="D1128" s="2" t="s">
        <v>14670</v>
      </c>
      <c r="F1128" s="3" t="s">
        <v>58</v>
      </c>
      <c r="G1128" s="3" t="s">
        <v>59</v>
      </c>
      <c r="H1128" s="3" t="s">
        <v>58</v>
      </c>
      <c r="I1128" s="3" t="s">
        <v>58</v>
      </c>
      <c r="J1128" s="3" t="s">
        <v>60</v>
      </c>
      <c r="K1128" s="2" t="s">
        <v>14671</v>
      </c>
      <c r="L1128" s="2" t="s">
        <v>14672</v>
      </c>
      <c r="M1128" s="3" t="s">
        <v>557</v>
      </c>
      <c r="N1128" s="2" t="s">
        <v>543</v>
      </c>
      <c r="O1128" s="3" t="s">
        <v>65</v>
      </c>
      <c r="P1128" s="3" t="s">
        <v>84</v>
      </c>
      <c r="R1128" s="3" t="s">
        <v>67</v>
      </c>
      <c r="S1128" s="4">
        <v>9</v>
      </c>
      <c r="T1128" s="4">
        <v>9</v>
      </c>
      <c r="U1128" s="5" t="s">
        <v>14673</v>
      </c>
      <c r="V1128" s="5" t="s">
        <v>14673</v>
      </c>
      <c r="W1128" s="5" t="s">
        <v>14674</v>
      </c>
      <c r="X1128" s="5" t="s">
        <v>14674</v>
      </c>
      <c r="Y1128" s="4">
        <v>194</v>
      </c>
      <c r="Z1128" s="4">
        <v>180</v>
      </c>
      <c r="AA1128" s="4">
        <v>792</v>
      </c>
      <c r="AB1128" s="4">
        <v>3</v>
      </c>
      <c r="AC1128" s="4">
        <v>5</v>
      </c>
      <c r="AD1128" s="4">
        <v>10</v>
      </c>
      <c r="AE1128" s="4">
        <v>29</v>
      </c>
      <c r="AF1128" s="4">
        <v>3</v>
      </c>
      <c r="AG1128" s="4">
        <v>10</v>
      </c>
      <c r="AH1128" s="4">
        <v>3</v>
      </c>
      <c r="AI1128" s="4">
        <v>6</v>
      </c>
      <c r="AJ1128" s="4">
        <v>6</v>
      </c>
      <c r="AK1128" s="4">
        <v>13</v>
      </c>
      <c r="AL1128" s="4">
        <v>2</v>
      </c>
      <c r="AM1128" s="4">
        <v>3</v>
      </c>
      <c r="AN1128" s="4">
        <v>0</v>
      </c>
      <c r="AO1128" s="4">
        <v>3</v>
      </c>
      <c r="AP1128" s="3" t="s">
        <v>58</v>
      </c>
      <c r="AQ1128" s="3" t="s">
        <v>58</v>
      </c>
      <c r="AS1128" s="6" t="str">
        <f>HYPERLINK("https://creighton-primo.hosted.exlibrisgroup.com/primo-explore/search?tab=default_tab&amp;search_scope=EVERYTHING&amp;vid=01CRU&amp;lang=en_US&amp;offset=0&amp;query=any,contains,991002118219702656","Catalog Record")</f>
        <v>Catalog Record</v>
      </c>
      <c r="AT1128" s="6" t="str">
        <f>HYPERLINK("http://www.worldcat.org/oclc/27146385","WorldCat Record")</f>
        <v>WorldCat Record</v>
      </c>
      <c r="AU1128" s="3" t="s">
        <v>14675</v>
      </c>
      <c r="AV1128" s="3" t="s">
        <v>14676</v>
      </c>
      <c r="AW1128" s="3" t="s">
        <v>14677</v>
      </c>
      <c r="AX1128" s="3" t="s">
        <v>14677</v>
      </c>
      <c r="AY1128" s="3" t="s">
        <v>14678</v>
      </c>
      <c r="AZ1128" s="3" t="s">
        <v>74</v>
      </c>
      <c r="BB1128" s="3" t="s">
        <v>14679</v>
      </c>
      <c r="BC1128" s="3" t="s">
        <v>14680</v>
      </c>
      <c r="BD1128" s="3" t="s">
        <v>14681</v>
      </c>
    </row>
    <row r="1129" spans="1:56" ht="45.75" customHeight="1" x14ac:dyDescent="0.25">
      <c r="A1129" s="7" t="s">
        <v>58</v>
      </c>
      <c r="B1129" s="2" t="s">
        <v>14682</v>
      </c>
      <c r="C1129" s="2" t="s">
        <v>14683</v>
      </c>
      <c r="D1129" s="2" t="s">
        <v>14684</v>
      </c>
      <c r="F1129" s="3" t="s">
        <v>58</v>
      </c>
      <c r="G1129" s="3" t="s">
        <v>59</v>
      </c>
      <c r="H1129" s="3" t="s">
        <v>58</v>
      </c>
      <c r="I1129" s="3" t="s">
        <v>58</v>
      </c>
      <c r="J1129" s="3" t="s">
        <v>60</v>
      </c>
      <c r="K1129" s="2" t="s">
        <v>14685</v>
      </c>
      <c r="L1129" s="2" t="s">
        <v>14686</v>
      </c>
      <c r="M1129" s="3" t="s">
        <v>1485</v>
      </c>
      <c r="N1129" s="2" t="s">
        <v>543</v>
      </c>
      <c r="O1129" s="3" t="s">
        <v>65</v>
      </c>
      <c r="P1129" s="3" t="s">
        <v>148</v>
      </c>
      <c r="R1129" s="3" t="s">
        <v>67</v>
      </c>
      <c r="S1129" s="4">
        <v>18</v>
      </c>
      <c r="T1129" s="4">
        <v>18</v>
      </c>
      <c r="U1129" s="5" t="s">
        <v>14516</v>
      </c>
      <c r="V1129" s="5" t="s">
        <v>14516</v>
      </c>
      <c r="W1129" s="5" t="s">
        <v>14687</v>
      </c>
      <c r="X1129" s="5" t="s">
        <v>14687</v>
      </c>
      <c r="Y1129" s="4">
        <v>1231</v>
      </c>
      <c r="Z1129" s="4">
        <v>1163</v>
      </c>
      <c r="AA1129" s="4">
        <v>1178</v>
      </c>
      <c r="AB1129" s="4">
        <v>13</v>
      </c>
      <c r="AC1129" s="4">
        <v>13</v>
      </c>
      <c r="AD1129" s="4">
        <v>41</v>
      </c>
      <c r="AE1129" s="4">
        <v>41</v>
      </c>
      <c r="AF1129" s="4">
        <v>12</v>
      </c>
      <c r="AG1129" s="4">
        <v>12</v>
      </c>
      <c r="AH1129" s="4">
        <v>6</v>
      </c>
      <c r="AI1129" s="4">
        <v>6</v>
      </c>
      <c r="AJ1129" s="4">
        <v>16</v>
      </c>
      <c r="AK1129" s="4">
        <v>16</v>
      </c>
      <c r="AL1129" s="4">
        <v>8</v>
      </c>
      <c r="AM1129" s="4">
        <v>8</v>
      </c>
      <c r="AN1129" s="4">
        <v>5</v>
      </c>
      <c r="AO1129" s="4">
        <v>5</v>
      </c>
      <c r="AP1129" s="3" t="s">
        <v>58</v>
      </c>
      <c r="AQ1129" s="3" t="s">
        <v>58</v>
      </c>
      <c r="AS1129" s="6" t="str">
        <f>HYPERLINK("https://creighton-primo.hosted.exlibrisgroup.com/primo-explore/search?tab=default_tab&amp;search_scope=EVERYTHING&amp;vid=01CRU&amp;lang=en_US&amp;offset=0&amp;query=any,contains,991003946349702656","Catalog Record")</f>
        <v>Catalog Record</v>
      </c>
      <c r="AT1129" s="6" t="str">
        <f>HYPERLINK("http://www.worldcat.org/oclc/1945521","WorldCat Record")</f>
        <v>WorldCat Record</v>
      </c>
      <c r="AU1129" s="3" t="s">
        <v>14688</v>
      </c>
      <c r="AV1129" s="3" t="s">
        <v>14689</v>
      </c>
      <c r="AW1129" s="3" t="s">
        <v>14690</v>
      </c>
      <c r="AX1129" s="3" t="s">
        <v>14690</v>
      </c>
      <c r="AY1129" s="3" t="s">
        <v>14691</v>
      </c>
      <c r="AZ1129" s="3" t="s">
        <v>74</v>
      </c>
      <c r="BB1129" s="3" t="s">
        <v>14692</v>
      </c>
      <c r="BC1129" s="3" t="s">
        <v>14693</v>
      </c>
      <c r="BD1129" s="3" t="s">
        <v>14694</v>
      </c>
    </row>
    <row r="1130" spans="1:56" ht="45.75" customHeight="1" x14ac:dyDescent="0.25">
      <c r="A1130" s="7" t="s">
        <v>58</v>
      </c>
      <c r="B1130" s="2" t="s">
        <v>14695</v>
      </c>
      <c r="C1130" s="2" t="s">
        <v>14696</v>
      </c>
      <c r="D1130" s="2" t="s">
        <v>14697</v>
      </c>
      <c r="F1130" s="3" t="s">
        <v>58</v>
      </c>
      <c r="G1130" s="3" t="s">
        <v>59</v>
      </c>
      <c r="H1130" s="3" t="s">
        <v>87</v>
      </c>
      <c r="I1130" s="3" t="s">
        <v>58</v>
      </c>
      <c r="J1130" s="3" t="s">
        <v>60</v>
      </c>
      <c r="K1130" s="2" t="s">
        <v>14698</v>
      </c>
      <c r="L1130" s="2" t="s">
        <v>14631</v>
      </c>
      <c r="M1130" s="3" t="s">
        <v>937</v>
      </c>
      <c r="O1130" s="3" t="s">
        <v>65</v>
      </c>
      <c r="P1130" s="3" t="s">
        <v>148</v>
      </c>
      <c r="R1130" s="3" t="s">
        <v>67</v>
      </c>
      <c r="S1130" s="4">
        <v>5</v>
      </c>
      <c r="T1130" s="4">
        <v>5</v>
      </c>
      <c r="U1130" s="5" t="s">
        <v>2814</v>
      </c>
      <c r="V1130" s="5" t="s">
        <v>2814</v>
      </c>
      <c r="W1130" s="5" t="s">
        <v>9192</v>
      </c>
      <c r="X1130" s="5" t="s">
        <v>5224</v>
      </c>
      <c r="Y1130" s="4">
        <v>537</v>
      </c>
      <c r="Z1130" s="4">
        <v>482</v>
      </c>
      <c r="AA1130" s="4">
        <v>488</v>
      </c>
      <c r="AB1130" s="4">
        <v>5</v>
      </c>
      <c r="AC1130" s="4">
        <v>5</v>
      </c>
      <c r="AD1130" s="4">
        <v>17</v>
      </c>
      <c r="AE1130" s="4">
        <v>17</v>
      </c>
      <c r="AF1130" s="4">
        <v>7</v>
      </c>
      <c r="AG1130" s="4">
        <v>7</v>
      </c>
      <c r="AH1130" s="4">
        <v>4</v>
      </c>
      <c r="AI1130" s="4">
        <v>4</v>
      </c>
      <c r="AJ1130" s="4">
        <v>6</v>
      </c>
      <c r="AK1130" s="4">
        <v>6</v>
      </c>
      <c r="AL1130" s="4">
        <v>3</v>
      </c>
      <c r="AM1130" s="4">
        <v>3</v>
      </c>
      <c r="AN1130" s="4">
        <v>1</v>
      </c>
      <c r="AO1130" s="4">
        <v>1</v>
      </c>
      <c r="AP1130" s="3" t="s">
        <v>58</v>
      </c>
      <c r="AQ1130" s="3" t="s">
        <v>87</v>
      </c>
      <c r="AR1130" s="6" t="str">
        <f>HYPERLINK("http://catalog.hathitrust.org/Record/000250529","HathiTrust Record")</f>
        <v>HathiTrust Record</v>
      </c>
      <c r="AS1130" s="6" t="str">
        <f>HYPERLINK("https://creighton-primo.hosted.exlibrisgroup.com/primo-explore/search?tab=default_tab&amp;search_scope=EVERYTHING&amp;vid=01CRU&amp;lang=en_US&amp;offset=0&amp;query=any,contains,991001777899702656","Catalog Record")</f>
        <v>Catalog Record</v>
      </c>
      <c r="AT1130" s="6" t="str">
        <f>HYPERLINK("http://www.worldcat.org/oclc/2985007","WorldCat Record")</f>
        <v>WorldCat Record</v>
      </c>
      <c r="AU1130" s="3" t="s">
        <v>14699</v>
      </c>
      <c r="AV1130" s="3" t="s">
        <v>14700</v>
      </c>
      <c r="AW1130" s="3" t="s">
        <v>14701</v>
      </c>
      <c r="AX1130" s="3" t="s">
        <v>14701</v>
      </c>
      <c r="AY1130" s="3" t="s">
        <v>14702</v>
      </c>
      <c r="AZ1130" s="3" t="s">
        <v>74</v>
      </c>
      <c r="BB1130" s="3" t="s">
        <v>14703</v>
      </c>
      <c r="BC1130" s="3" t="s">
        <v>14704</v>
      </c>
      <c r="BD1130" s="3" t="s">
        <v>14705</v>
      </c>
    </row>
    <row r="1131" spans="1:56" ht="45.75" customHeight="1" x14ac:dyDescent="0.25">
      <c r="A1131" s="7" t="s">
        <v>58</v>
      </c>
      <c r="B1131" s="2" t="s">
        <v>14706</v>
      </c>
      <c r="C1131" s="2" t="s">
        <v>14707</v>
      </c>
      <c r="D1131" s="2" t="s">
        <v>14708</v>
      </c>
      <c r="F1131" s="3" t="s">
        <v>58</v>
      </c>
      <c r="G1131" s="3" t="s">
        <v>59</v>
      </c>
      <c r="H1131" s="3" t="s">
        <v>58</v>
      </c>
      <c r="I1131" s="3" t="s">
        <v>58</v>
      </c>
      <c r="J1131" s="3" t="s">
        <v>60</v>
      </c>
      <c r="K1131" s="2" t="s">
        <v>14709</v>
      </c>
      <c r="L1131" s="2" t="s">
        <v>14710</v>
      </c>
      <c r="M1131" s="3" t="s">
        <v>419</v>
      </c>
      <c r="O1131" s="3" t="s">
        <v>65</v>
      </c>
      <c r="P1131" s="3" t="s">
        <v>190</v>
      </c>
      <c r="R1131" s="3" t="s">
        <v>67</v>
      </c>
      <c r="S1131" s="4">
        <v>6</v>
      </c>
      <c r="T1131" s="4">
        <v>6</v>
      </c>
      <c r="U1131" s="5" t="s">
        <v>2814</v>
      </c>
      <c r="V1131" s="5" t="s">
        <v>2814</v>
      </c>
      <c r="W1131" s="5" t="s">
        <v>2350</v>
      </c>
      <c r="X1131" s="5" t="s">
        <v>2350</v>
      </c>
      <c r="Y1131" s="4">
        <v>492</v>
      </c>
      <c r="Z1131" s="4">
        <v>423</v>
      </c>
      <c r="AA1131" s="4">
        <v>424</v>
      </c>
      <c r="AB1131" s="4">
        <v>4</v>
      </c>
      <c r="AC1131" s="4">
        <v>4</v>
      </c>
      <c r="AD1131" s="4">
        <v>30</v>
      </c>
      <c r="AE1131" s="4">
        <v>30</v>
      </c>
      <c r="AF1131" s="4">
        <v>10</v>
      </c>
      <c r="AG1131" s="4">
        <v>10</v>
      </c>
      <c r="AH1131" s="4">
        <v>6</v>
      </c>
      <c r="AI1131" s="4">
        <v>6</v>
      </c>
      <c r="AJ1131" s="4">
        <v>13</v>
      </c>
      <c r="AK1131" s="4">
        <v>13</v>
      </c>
      <c r="AL1131" s="4">
        <v>3</v>
      </c>
      <c r="AM1131" s="4">
        <v>3</v>
      </c>
      <c r="AN1131" s="4">
        <v>4</v>
      </c>
      <c r="AO1131" s="4">
        <v>4</v>
      </c>
      <c r="AP1131" s="3" t="s">
        <v>58</v>
      </c>
      <c r="AQ1131" s="3" t="s">
        <v>87</v>
      </c>
      <c r="AR1131" s="6" t="str">
        <f>HYPERLINK("http://catalog.hathitrust.org/Record/004092498","HathiTrust Record")</f>
        <v>HathiTrust Record</v>
      </c>
      <c r="AS1131" s="6" t="str">
        <f>HYPERLINK("https://creighton-primo.hosted.exlibrisgroup.com/primo-explore/search?tab=default_tab&amp;search_scope=EVERYTHING&amp;vid=01CRU&amp;lang=en_US&amp;offset=0&amp;query=any,contains,991003472289702656","Catalog Record")</f>
        <v>Catalog Record</v>
      </c>
      <c r="AT1131" s="6" t="str">
        <f>HYPERLINK("http://www.worldcat.org/oclc/42580137","WorldCat Record")</f>
        <v>WorldCat Record</v>
      </c>
      <c r="AU1131" s="3" t="s">
        <v>14711</v>
      </c>
      <c r="AV1131" s="3" t="s">
        <v>14712</v>
      </c>
      <c r="AW1131" s="3" t="s">
        <v>14713</v>
      </c>
      <c r="AX1131" s="3" t="s">
        <v>14713</v>
      </c>
      <c r="AY1131" s="3" t="s">
        <v>14714</v>
      </c>
      <c r="AZ1131" s="3" t="s">
        <v>74</v>
      </c>
      <c r="BB1131" s="3" t="s">
        <v>14715</v>
      </c>
      <c r="BC1131" s="3" t="s">
        <v>14716</v>
      </c>
      <c r="BD1131" s="3" t="s">
        <v>14717</v>
      </c>
    </row>
    <row r="1132" spans="1:56" ht="45.75" customHeight="1" x14ac:dyDescent="0.25">
      <c r="A1132" s="7" t="s">
        <v>58</v>
      </c>
      <c r="B1132" s="2" t="s">
        <v>14718</v>
      </c>
      <c r="C1132" s="2" t="s">
        <v>14719</v>
      </c>
      <c r="D1132" s="2" t="s">
        <v>14720</v>
      </c>
      <c r="F1132" s="3" t="s">
        <v>58</v>
      </c>
      <c r="G1132" s="3" t="s">
        <v>59</v>
      </c>
      <c r="H1132" s="3" t="s">
        <v>58</v>
      </c>
      <c r="I1132" s="3" t="s">
        <v>58</v>
      </c>
      <c r="J1132" s="3" t="s">
        <v>60</v>
      </c>
      <c r="L1132" s="2" t="s">
        <v>14721</v>
      </c>
      <c r="M1132" s="3" t="s">
        <v>2324</v>
      </c>
      <c r="O1132" s="3" t="s">
        <v>65</v>
      </c>
      <c r="P1132" s="3" t="s">
        <v>148</v>
      </c>
      <c r="R1132" s="3" t="s">
        <v>67</v>
      </c>
      <c r="S1132" s="4">
        <v>6</v>
      </c>
      <c r="T1132" s="4">
        <v>6</v>
      </c>
      <c r="U1132" s="5" t="s">
        <v>14722</v>
      </c>
      <c r="V1132" s="5" t="s">
        <v>14722</v>
      </c>
      <c r="W1132" s="5" t="s">
        <v>11348</v>
      </c>
      <c r="X1132" s="5" t="s">
        <v>11348</v>
      </c>
      <c r="Y1132" s="4">
        <v>448</v>
      </c>
      <c r="Z1132" s="4">
        <v>419</v>
      </c>
      <c r="AA1132" s="4">
        <v>426</v>
      </c>
      <c r="AB1132" s="4">
        <v>4</v>
      </c>
      <c r="AC1132" s="4">
        <v>4</v>
      </c>
      <c r="AD1132" s="4">
        <v>31</v>
      </c>
      <c r="AE1132" s="4">
        <v>31</v>
      </c>
      <c r="AF1132" s="4">
        <v>7</v>
      </c>
      <c r="AG1132" s="4">
        <v>7</v>
      </c>
      <c r="AH1132" s="4">
        <v>5</v>
      </c>
      <c r="AI1132" s="4">
        <v>5</v>
      </c>
      <c r="AJ1132" s="4">
        <v>8</v>
      </c>
      <c r="AK1132" s="4">
        <v>8</v>
      </c>
      <c r="AL1132" s="4">
        <v>2</v>
      </c>
      <c r="AM1132" s="4">
        <v>2</v>
      </c>
      <c r="AN1132" s="4">
        <v>13</v>
      </c>
      <c r="AO1132" s="4">
        <v>13</v>
      </c>
      <c r="AP1132" s="3" t="s">
        <v>58</v>
      </c>
      <c r="AQ1132" s="3" t="s">
        <v>87</v>
      </c>
      <c r="AR1132" s="6" t="str">
        <f>HYPERLINK("http://catalog.hathitrust.org/Record/000194417","HathiTrust Record")</f>
        <v>HathiTrust Record</v>
      </c>
      <c r="AS1132" s="6" t="str">
        <f>HYPERLINK("https://creighton-primo.hosted.exlibrisgroup.com/primo-explore/search?tab=default_tab&amp;search_scope=EVERYTHING&amp;vid=01CRU&amp;lang=en_US&amp;offset=0&amp;query=any,contains,991000176719702656","Catalog Record")</f>
        <v>Catalog Record</v>
      </c>
      <c r="AT1132" s="6" t="str">
        <f>HYPERLINK("http://www.worldcat.org/oclc/9352555","WorldCat Record")</f>
        <v>WorldCat Record</v>
      </c>
      <c r="AU1132" s="3" t="s">
        <v>14723</v>
      </c>
      <c r="AV1132" s="3" t="s">
        <v>14724</v>
      </c>
      <c r="AW1132" s="3" t="s">
        <v>14725</v>
      </c>
      <c r="AX1132" s="3" t="s">
        <v>14725</v>
      </c>
      <c r="AY1132" s="3" t="s">
        <v>14726</v>
      </c>
      <c r="AZ1132" s="3" t="s">
        <v>74</v>
      </c>
      <c r="BB1132" s="3" t="s">
        <v>14727</v>
      </c>
      <c r="BC1132" s="3" t="s">
        <v>14728</v>
      </c>
      <c r="BD1132" s="3" t="s">
        <v>14729</v>
      </c>
    </row>
    <row r="1133" spans="1:56" ht="45.75" customHeight="1" x14ac:dyDescent="0.25">
      <c r="A1133" s="7" t="s">
        <v>58</v>
      </c>
      <c r="B1133" s="2" t="s">
        <v>14730</v>
      </c>
      <c r="C1133" s="2" t="s">
        <v>14731</v>
      </c>
      <c r="D1133" s="2" t="s">
        <v>14732</v>
      </c>
      <c r="F1133" s="3" t="s">
        <v>58</v>
      </c>
      <c r="G1133" s="3" t="s">
        <v>59</v>
      </c>
      <c r="H1133" s="3" t="s">
        <v>58</v>
      </c>
      <c r="I1133" s="3" t="s">
        <v>58</v>
      </c>
      <c r="J1133" s="3" t="s">
        <v>60</v>
      </c>
      <c r="K1133" s="2" t="s">
        <v>14733</v>
      </c>
      <c r="L1133" s="2" t="s">
        <v>14734</v>
      </c>
      <c r="M1133" s="3" t="s">
        <v>1485</v>
      </c>
      <c r="O1133" s="3" t="s">
        <v>65</v>
      </c>
      <c r="P1133" s="3" t="s">
        <v>84</v>
      </c>
      <c r="R1133" s="3" t="s">
        <v>67</v>
      </c>
      <c r="S1133" s="4">
        <v>8</v>
      </c>
      <c r="T1133" s="4">
        <v>8</v>
      </c>
      <c r="U1133" s="5" t="s">
        <v>14735</v>
      </c>
      <c r="V1133" s="5" t="s">
        <v>14735</v>
      </c>
      <c r="W1133" s="5" t="s">
        <v>14736</v>
      </c>
      <c r="X1133" s="5" t="s">
        <v>14736</v>
      </c>
      <c r="Y1133" s="4">
        <v>490</v>
      </c>
      <c r="Z1133" s="4">
        <v>441</v>
      </c>
      <c r="AA1133" s="4">
        <v>761</v>
      </c>
      <c r="AB1133" s="4">
        <v>5</v>
      </c>
      <c r="AC1133" s="4">
        <v>6</v>
      </c>
      <c r="AD1133" s="4">
        <v>28</v>
      </c>
      <c r="AE1133" s="4">
        <v>37</v>
      </c>
      <c r="AF1133" s="4">
        <v>9</v>
      </c>
      <c r="AG1133" s="4">
        <v>13</v>
      </c>
      <c r="AH1133" s="4">
        <v>7</v>
      </c>
      <c r="AI1133" s="4">
        <v>8</v>
      </c>
      <c r="AJ1133" s="4">
        <v>11</v>
      </c>
      <c r="AK1133" s="4">
        <v>15</v>
      </c>
      <c r="AL1133" s="4">
        <v>4</v>
      </c>
      <c r="AM1133" s="4">
        <v>5</v>
      </c>
      <c r="AN1133" s="4">
        <v>3</v>
      </c>
      <c r="AO1133" s="4">
        <v>5</v>
      </c>
      <c r="AP1133" s="3" t="s">
        <v>58</v>
      </c>
      <c r="AQ1133" s="3" t="s">
        <v>58</v>
      </c>
      <c r="AS1133" s="6" t="str">
        <f>HYPERLINK("https://creighton-primo.hosted.exlibrisgroup.com/primo-explore/search?tab=default_tab&amp;search_scope=EVERYTHING&amp;vid=01CRU&amp;lang=en_US&amp;offset=0&amp;query=any,contains,991004051369702656","Catalog Record")</f>
        <v>Catalog Record</v>
      </c>
      <c r="AT1133" s="6" t="str">
        <f>HYPERLINK("http://www.worldcat.org/oclc/2213129","WorldCat Record")</f>
        <v>WorldCat Record</v>
      </c>
      <c r="AU1133" s="3" t="s">
        <v>14737</v>
      </c>
      <c r="AV1133" s="3" t="s">
        <v>14738</v>
      </c>
      <c r="AW1133" s="3" t="s">
        <v>14739</v>
      </c>
      <c r="AX1133" s="3" t="s">
        <v>14739</v>
      </c>
      <c r="AY1133" s="3" t="s">
        <v>14740</v>
      </c>
      <c r="AZ1133" s="3" t="s">
        <v>74</v>
      </c>
      <c r="BB1133" s="3" t="s">
        <v>14741</v>
      </c>
      <c r="BC1133" s="3" t="s">
        <v>14742</v>
      </c>
      <c r="BD1133" s="3" t="s">
        <v>14743</v>
      </c>
    </row>
    <row r="1134" spans="1:56" ht="45.75" customHeight="1" x14ac:dyDescent="0.25">
      <c r="A1134" s="7" t="s">
        <v>58</v>
      </c>
      <c r="B1134" s="2" t="s">
        <v>14744</v>
      </c>
      <c r="C1134" s="2" t="s">
        <v>14745</v>
      </c>
      <c r="D1134" s="2" t="s">
        <v>14746</v>
      </c>
      <c r="F1134" s="3" t="s">
        <v>58</v>
      </c>
      <c r="G1134" s="3" t="s">
        <v>59</v>
      </c>
      <c r="H1134" s="3" t="s">
        <v>58</v>
      </c>
      <c r="I1134" s="3" t="s">
        <v>58</v>
      </c>
      <c r="J1134" s="3" t="s">
        <v>60</v>
      </c>
      <c r="K1134" s="2" t="s">
        <v>14747</v>
      </c>
      <c r="L1134" s="2" t="s">
        <v>14748</v>
      </c>
      <c r="M1134" s="3" t="s">
        <v>1058</v>
      </c>
      <c r="O1134" s="3" t="s">
        <v>65</v>
      </c>
      <c r="P1134" s="3" t="s">
        <v>148</v>
      </c>
      <c r="R1134" s="3" t="s">
        <v>67</v>
      </c>
      <c r="S1134" s="4">
        <v>18</v>
      </c>
      <c r="T1134" s="4">
        <v>18</v>
      </c>
      <c r="U1134" s="5" t="s">
        <v>13418</v>
      </c>
      <c r="V1134" s="5" t="s">
        <v>13418</v>
      </c>
      <c r="W1134" s="5" t="s">
        <v>14749</v>
      </c>
      <c r="X1134" s="5" t="s">
        <v>14749</v>
      </c>
      <c r="Y1134" s="4">
        <v>505</v>
      </c>
      <c r="Z1134" s="4">
        <v>455</v>
      </c>
      <c r="AA1134" s="4">
        <v>810</v>
      </c>
      <c r="AB1134" s="4">
        <v>3</v>
      </c>
      <c r="AC1134" s="4">
        <v>5</v>
      </c>
      <c r="AD1134" s="4">
        <v>22</v>
      </c>
      <c r="AE1134" s="4">
        <v>31</v>
      </c>
      <c r="AF1134" s="4">
        <v>6</v>
      </c>
      <c r="AG1134" s="4">
        <v>9</v>
      </c>
      <c r="AH1134" s="4">
        <v>7</v>
      </c>
      <c r="AI1134" s="4">
        <v>8</v>
      </c>
      <c r="AJ1134" s="4">
        <v>6</v>
      </c>
      <c r="AK1134" s="4">
        <v>11</v>
      </c>
      <c r="AL1134" s="4">
        <v>2</v>
      </c>
      <c r="AM1134" s="4">
        <v>3</v>
      </c>
      <c r="AN1134" s="4">
        <v>6</v>
      </c>
      <c r="AO1134" s="4">
        <v>6</v>
      </c>
      <c r="AP1134" s="3" t="s">
        <v>58</v>
      </c>
      <c r="AQ1134" s="3" t="s">
        <v>58</v>
      </c>
      <c r="AS1134" s="6" t="str">
        <f>HYPERLINK("https://creighton-primo.hosted.exlibrisgroup.com/primo-explore/search?tab=default_tab&amp;search_scope=EVERYTHING&amp;vid=01CRU&amp;lang=en_US&amp;offset=0&amp;query=any,contains,991001289169702656","Catalog Record")</f>
        <v>Catalog Record</v>
      </c>
      <c r="AT1134" s="6" t="str">
        <f>HYPERLINK("http://www.worldcat.org/oclc/17982227","WorldCat Record")</f>
        <v>WorldCat Record</v>
      </c>
      <c r="AU1134" s="3" t="s">
        <v>14750</v>
      </c>
      <c r="AV1134" s="3" t="s">
        <v>14751</v>
      </c>
      <c r="AW1134" s="3" t="s">
        <v>14752</v>
      </c>
      <c r="AX1134" s="3" t="s">
        <v>14752</v>
      </c>
      <c r="AY1134" s="3" t="s">
        <v>14753</v>
      </c>
      <c r="AZ1134" s="3" t="s">
        <v>74</v>
      </c>
      <c r="BB1134" s="3" t="s">
        <v>14754</v>
      </c>
      <c r="BC1134" s="3" t="s">
        <v>14755</v>
      </c>
      <c r="BD1134" s="3" t="s">
        <v>14756</v>
      </c>
    </row>
    <row r="1135" spans="1:56" ht="45.75" customHeight="1" x14ac:dyDescent="0.25">
      <c r="A1135" s="7" t="s">
        <v>58</v>
      </c>
      <c r="B1135" s="2" t="s">
        <v>14757</v>
      </c>
      <c r="C1135" s="2" t="s">
        <v>14758</v>
      </c>
      <c r="D1135" s="2" t="s">
        <v>14759</v>
      </c>
      <c r="F1135" s="3" t="s">
        <v>58</v>
      </c>
      <c r="G1135" s="3" t="s">
        <v>59</v>
      </c>
      <c r="H1135" s="3" t="s">
        <v>58</v>
      </c>
      <c r="I1135" s="3" t="s">
        <v>58</v>
      </c>
      <c r="J1135" s="3" t="s">
        <v>60</v>
      </c>
      <c r="K1135" s="2" t="s">
        <v>14760</v>
      </c>
      <c r="L1135" s="2" t="s">
        <v>14761</v>
      </c>
      <c r="M1135" s="3" t="s">
        <v>1986</v>
      </c>
      <c r="O1135" s="3" t="s">
        <v>65</v>
      </c>
      <c r="P1135" s="3" t="s">
        <v>5198</v>
      </c>
      <c r="R1135" s="3" t="s">
        <v>67</v>
      </c>
      <c r="S1135" s="4">
        <v>3</v>
      </c>
      <c r="T1135" s="4">
        <v>3</v>
      </c>
      <c r="U1135" s="5" t="s">
        <v>14762</v>
      </c>
      <c r="V1135" s="5" t="s">
        <v>14762</v>
      </c>
      <c r="W1135" s="5" t="s">
        <v>6282</v>
      </c>
      <c r="X1135" s="5" t="s">
        <v>6282</v>
      </c>
      <c r="Y1135" s="4">
        <v>290</v>
      </c>
      <c r="Z1135" s="4">
        <v>279</v>
      </c>
      <c r="AA1135" s="4">
        <v>379</v>
      </c>
      <c r="AB1135" s="4">
        <v>4</v>
      </c>
      <c r="AC1135" s="4">
        <v>4</v>
      </c>
      <c r="AD1135" s="4">
        <v>15</v>
      </c>
      <c r="AE1135" s="4">
        <v>17</v>
      </c>
      <c r="AF1135" s="4">
        <v>3</v>
      </c>
      <c r="AG1135" s="4">
        <v>4</v>
      </c>
      <c r="AH1135" s="4">
        <v>4</v>
      </c>
      <c r="AI1135" s="4">
        <v>4</v>
      </c>
      <c r="AJ1135" s="4">
        <v>5</v>
      </c>
      <c r="AK1135" s="4">
        <v>6</v>
      </c>
      <c r="AL1135" s="4">
        <v>3</v>
      </c>
      <c r="AM1135" s="4">
        <v>3</v>
      </c>
      <c r="AN1135" s="4">
        <v>1</v>
      </c>
      <c r="AO1135" s="4">
        <v>1</v>
      </c>
      <c r="AP1135" s="3" t="s">
        <v>58</v>
      </c>
      <c r="AQ1135" s="3" t="s">
        <v>87</v>
      </c>
      <c r="AR1135" s="6" t="str">
        <f>HYPERLINK("http://catalog.hathitrust.org/Record/002239115","HathiTrust Record")</f>
        <v>HathiTrust Record</v>
      </c>
      <c r="AS1135" s="6" t="str">
        <f>HYPERLINK("https://creighton-primo.hosted.exlibrisgroup.com/primo-explore/search?tab=default_tab&amp;search_scope=EVERYTHING&amp;vid=01CRU&amp;lang=en_US&amp;offset=0&amp;query=any,contains,991003348309702656","Catalog Record")</f>
        <v>Catalog Record</v>
      </c>
      <c r="AT1135" s="6" t="str">
        <f>HYPERLINK("http://www.worldcat.org/oclc/880379","WorldCat Record")</f>
        <v>WorldCat Record</v>
      </c>
      <c r="AU1135" s="3" t="s">
        <v>14763</v>
      </c>
      <c r="AV1135" s="3" t="s">
        <v>14764</v>
      </c>
      <c r="AW1135" s="3" t="s">
        <v>14765</v>
      </c>
      <c r="AX1135" s="3" t="s">
        <v>14765</v>
      </c>
      <c r="AY1135" s="3" t="s">
        <v>14766</v>
      </c>
      <c r="AZ1135" s="3" t="s">
        <v>74</v>
      </c>
      <c r="BC1135" s="3" t="s">
        <v>14767</v>
      </c>
      <c r="BD1135" s="3" t="s">
        <v>14768</v>
      </c>
    </row>
    <row r="1136" spans="1:56" ht="45.75" customHeight="1" x14ac:dyDescent="0.25">
      <c r="A1136" s="7" t="s">
        <v>58</v>
      </c>
      <c r="B1136" s="2" t="s">
        <v>14769</v>
      </c>
      <c r="C1136" s="2" t="s">
        <v>14770</v>
      </c>
      <c r="D1136" s="2" t="s">
        <v>14771</v>
      </c>
      <c r="F1136" s="3" t="s">
        <v>58</v>
      </c>
      <c r="G1136" s="3" t="s">
        <v>59</v>
      </c>
      <c r="H1136" s="3" t="s">
        <v>58</v>
      </c>
      <c r="I1136" s="3" t="s">
        <v>58</v>
      </c>
      <c r="J1136" s="3" t="s">
        <v>60</v>
      </c>
      <c r="K1136" s="2" t="s">
        <v>14772</v>
      </c>
      <c r="L1136" s="2" t="s">
        <v>14773</v>
      </c>
      <c r="M1136" s="3" t="s">
        <v>419</v>
      </c>
      <c r="O1136" s="3" t="s">
        <v>65</v>
      </c>
      <c r="P1136" s="3" t="s">
        <v>84</v>
      </c>
      <c r="R1136" s="3" t="s">
        <v>67</v>
      </c>
      <c r="S1136" s="4">
        <v>6</v>
      </c>
      <c r="T1136" s="4">
        <v>6</v>
      </c>
      <c r="U1136" s="5" t="s">
        <v>14530</v>
      </c>
      <c r="V1136" s="5" t="s">
        <v>14530</v>
      </c>
      <c r="W1136" s="5" t="s">
        <v>14774</v>
      </c>
      <c r="X1136" s="5" t="s">
        <v>14774</v>
      </c>
      <c r="Y1136" s="4">
        <v>68</v>
      </c>
      <c r="Z1136" s="4">
        <v>65</v>
      </c>
      <c r="AA1136" s="4">
        <v>65</v>
      </c>
      <c r="AB1136" s="4">
        <v>1</v>
      </c>
      <c r="AC1136" s="4">
        <v>1</v>
      </c>
      <c r="AD1136" s="4">
        <v>4</v>
      </c>
      <c r="AE1136" s="4">
        <v>4</v>
      </c>
      <c r="AF1136" s="4">
        <v>0</v>
      </c>
      <c r="AG1136" s="4">
        <v>0</v>
      </c>
      <c r="AH1136" s="4">
        <v>1</v>
      </c>
      <c r="AI1136" s="4">
        <v>1</v>
      </c>
      <c r="AJ1136" s="4">
        <v>2</v>
      </c>
      <c r="AK1136" s="4">
        <v>2</v>
      </c>
      <c r="AL1136" s="4">
        <v>0</v>
      </c>
      <c r="AM1136" s="4">
        <v>0</v>
      </c>
      <c r="AN1136" s="4">
        <v>1</v>
      </c>
      <c r="AO1136" s="4">
        <v>1</v>
      </c>
      <c r="AP1136" s="3" t="s">
        <v>58</v>
      </c>
      <c r="AQ1136" s="3" t="s">
        <v>58</v>
      </c>
      <c r="AS1136" s="6" t="str">
        <f>HYPERLINK("https://creighton-primo.hosted.exlibrisgroup.com/primo-explore/search?tab=default_tab&amp;search_scope=EVERYTHING&amp;vid=01CRU&amp;lang=en_US&amp;offset=0&amp;query=any,contains,991003265429702656","Catalog Record")</f>
        <v>Catalog Record</v>
      </c>
      <c r="AT1136" s="6" t="str">
        <f>HYPERLINK("http://www.worldcat.org/oclc/44531381","WorldCat Record")</f>
        <v>WorldCat Record</v>
      </c>
      <c r="AU1136" s="3" t="s">
        <v>14775</v>
      </c>
      <c r="AV1136" s="3" t="s">
        <v>14776</v>
      </c>
      <c r="AW1136" s="3" t="s">
        <v>14777</v>
      </c>
      <c r="AX1136" s="3" t="s">
        <v>14777</v>
      </c>
      <c r="AY1136" s="3" t="s">
        <v>14778</v>
      </c>
      <c r="AZ1136" s="3" t="s">
        <v>74</v>
      </c>
      <c r="BB1136" s="3" t="s">
        <v>14779</v>
      </c>
      <c r="BC1136" s="3" t="s">
        <v>14780</v>
      </c>
      <c r="BD1136" s="3" t="s">
        <v>14781</v>
      </c>
    </row>
    <row r="1137" spans="1:56" ht="45.75" customHeight="1" x14ac:dyDescent="0.25">
      <c r="A1137" s="7" t="s">
        <v>58</v>
      </c>
      <c r="B1137" s="2" t="s">
        <v>14782</v>
      </c>
      <c r="C1137" s="2" t="s">
        <v>14783</v>
      </c>
      <c r="D1137" s="2" t="s">
        <v>14784</v>
      </c>
      <c r="F1137" s="3" t="s">
        <v>58</v>
      </c>
      <c r="G1137" s="3" t="s">
        <v>59</v>
      </c>
      <c r="H1137" s="3" t="s">
        <v>58</v>
      </c>
      <c r="I1137" s="3" t="s">
        <v>58</v>
      </c>
      <c r="J1137" s="3" t="s">
        <v>60</v>
      </c>
      <c r="K1137" s="2" t="s">
        <v>14785</v>
      </c>
      <c r="L1137" s="2" t="s">
        <v>14786</v>
      </c>
      <c r="M1137" s="3" t="s">
        <v>2506</v>
      </c>
      <c r="O1137" s="3" t="s">
        <v>65</v>
      </c>
      <c r="P1137" s="3" t="s">
        <v>587</v>
      </c>
      <c r="R1137" s="3" t="s">
        <v>67</v>
      </c>
      <c r="S1137" s="4">
        <v>1</v>
      </c>
      <c r="T1137" s="4">
        <v>1</v>
      </c>
      <c r="U1137" s="5" t="s">
        <v>14530</v>
      </c>
      <c r="V1137" s="5" t="s">
        <v>14530</v>
      </c>
      <c r="W1137" s="5" t="s">
        <v>1342</v>
      </c>
      <c r="X1137" s="5" t="s">
        <v>1342</v>
      </c>
      <c r="Y1137" s="4">
        <v>88</v>
      </c>
      <c r="Z1137" s="4">
        <v>81</v>
      </c>
      <c r="AA1137" s="4">
        <v>194</v>
      </c>
      <c r="AB1137" s="4">
        <v>2</v>
      </c>
      <c r="AC1137" s="4">
        <v>3</v>
      </c>
      <c r="AD1137" s="4">
        <v>4</v>
      </c>
      <c r="AE1137" s="4">
        <v>11</v>
      </c>
      <c r="AF1137" s="4">
        <v>1</v>
      </c>
      <c r="AG1137" s="4">
        <v>2</v>
      </c>
      <c r="AH1137" s="4">
        <v>0</v>
      </c>
      <c r="AI1137" s="4">
        <v>4</v>
      </c>
      <c r="AJ1137" s="4">
        <v>1</v>
      </c>
      <c r="AK1137" s="4">
        <v>4</v>
      </c>
      <c r="AL1137" s="4">
        <v>1</v>
      </c>
      <c r="AM1137" s="4">
        <v>1</v>
      </c>
      <c r="AN1137" s="4">
        <v>1</v>
      </c>
      <c r="AO1137" s="4">
        <v>3</v>
      </c>
      <c r="AP1137" s="3" t="s">
        <v>58</v>
      </c>
      <c r="AQ1137" s="3" t="s">
        <v>58</v>
      </c>
      <c r="AS1137" s="6" t="str">
        <f>HYPERLINK("https://creighton-primo.hosted.exlibrisgroup.com/primo-explore/search?tab=default_tab&amp;search_scope=EVERYTHING&amp;vid=01CRU&amp;lang=en_US&amp;offset=0&amp;query=any,contains,991000613559702656","Catalog Record")</f>
        <v>Catalog Record</v>
      </c>
      <c r="AT1137" s="6" t="str">
        <f>HYPERLINK("http://www.worldcat.org/oclc/101016","WorldCat Record")</f>
        <v>WorldCat Record</v>
      </c>
      <c r="AU1137" s="3" t="s">
        <v>14787</v>
      </c>
      <c r="AV1137" s="3" t="s">
        <v>14788</v>
      </c>
      <c r="AW1137" s="3" t="s">
        <v>14789</v>
      </c>
      <c r="AX1137" s="3" t="s">
        <v>14789</v>
      </c>
      <c r="AY1137" s="3" t="s">
        <v>14790</v>
      </c>
      <c r="AZ1137" s="3" t="s">
        <v>74</v>
      </c>
      <c r="BC1137" s="3" t="s">
        <v>14791</v>
      </c>
      <c r="BD1137" s="3" t="s">
        <v>14792</v>
      </c>
    </row>
    <row r="1138" spans="1:56" ht="45.75" customHeight="1" x14ac:dyDescent="0.25">
      <c r="A1138" s="7" t="s">
        <v>58</v>
      </c>
      <c r="B1138" s="2" t="s">
        <v>14793</v>
      </c>
      <c r="C1138" s="2" t="s">
        <v>14794</v>
      </c>
      <c r="D1138" s="2" t="s">
        <v>14795</v>
      </c>
      <c r="F1138" s="3" t="s">
        <v>58</v>
      </c>
      <c r="G1138" s="3" t="s">
        <v>59</v>
      </c>
      <c r="H1138" s="3" t="s">
        <v>87</v>
      </c>
      <c r="I1138" s="3" t="s">
        <v>58</v>
      </c>
      <c r="J1138" s="3" t="s">
        <v>60</v>
      </c>
      <c r="K1138" s="2" t="s">
        <v>14796</v>
      </c>
      <c r="L1138" s="2" t="s">
        <v>14797</v>
      </c>
      <c r="M1138" s="3" t="s">
        <v>14798</v>
      </c>
      <c r="O1138" s="3" t="s">
        <v>65</v>
      </c>
      <c r="P1138" s="3" t="s">
        <v>66</v>
      </c>
      <c r="Q1138" s="2" t="s">
        <v>14799</v>
      </c>
      <c r="R1138" s="3" t="s">
        <v>67</v>
      </c>
      <c r="S1138" s="4">
        <v>3</v>
      </c>
      <c r="T1138" s="4">
        <v>3</v>
      </c>
      <c r="U1138" s="5" t="s">
        <v>14617</v>
      </c>
      <c r="V1138" s="5" t="s">
        <v>14617</v>
      </c>
      <c r="W1138" s="5" t="s">
        <v>9192</v>
      </c>
      <c r="X1138" s="5" t="s">
        <v>9192</v>
      </c>
      <c r="Y1138" s="4">
        <v>294</v>
      </c>
      <c r="Z1138" s="4">
        <v>279</v>
      </c>
      <c r="AA1138" s="4">
        <v>539</v>
      </c>
      <c r="AB1138" s="4">
        <v>5</v>
      </c>
      <c r="AC1138" s="4">
        <v>6</v>
      </c>
      <c r="AD1138" s="4">
        <v>22</v>
      </c>
      <c r="AE1138" s="4">
        <v>41</v>
      </c>
      <c r="AF1138" s="4">
        <v>7</v>
      </c>
      <c r="AG1138" s="4">
        <v>12</v>
      </c>
      <c r="AH1138" s="4">
        <v>4</v>
      </c>
      <c r="AI1138" s="4">
        <v>7</v>
      </c>
      <c r="AJ1138" s="4">
        <v>12</v>
      </c>
      <c r="AK1138" s="4">
        <v>16</v>
      </c>
      <c r="AL1138" s="4">
        <v>3</v>
      </c>
      <c r="AM1138" s="4">
        <v>3</v>
      </c>
      <c r="AN1138" s="4">
        <v>3</v>
      </c>
      <c r="AO1138" s="4">
        <v>12</v>
      </c>
      <c r="AP1138" s="3" t="s">
        <v>87</v>
      </c>
      <c r="AQ1138" s="3" t="s">
        <v>58</v>
      </c>
      <c r="AR1138" s="6" t="str">
        <f>HYPERLINK("http://catalog.hathitrust.org/Record/001134618","HathiTrust Record")</f>
        <v>HathiTrust Record</v>
      </c>
      <c r="AS1138" s="6" t="str">
        <f>HYPERLINK("https://creighton-primo.hosted.exlibrisgroup.com/primo-explore/search?tab=default_tab&amp;search_scope=EVERYTHING&amp;vid=01CRU&amp;lang=en_US&amp;offset=0&amp;query=any,contains,991001632529702656","Catalog Record")</f>
        <v>Catalog Record</v>
      </c>
      <c r="AT1138" s="6" t="str">
        <f>HYPERLINK("http://www.worldcat.org/oclc/376705","WorldCat Record")</f>
        <v>WorldCat Record</v>
      </c>
      <c r="AU1138" s="3" t="s">
        <v>14800</v>
      </c>
      <c r="AV1138" s="3" t="s">
        <v>14801</v>
      </c>
      <c r="AW1138" s="3" t="s">
        <v>14802</v>
      </c>
      <c r="AX1138" s="3" t="s">
        <v>14802</v>
      </c>
      <c r="AY1138" s="3" t="s">
        <v>14803</v>
      </c>
      <c r="AZ1138" s="3" t="s">
        <v>74</v>
      </c>
      <c r="BC1138" s="3" t="s">
        <v>14804</v>
      </c>
      <c r="BD1138" s="3" t="s">
        <v>14805</v>
      </c>
    </row>
    <row r="1139" spans="1:56" ht="45.75" customHeight="1" x14ac:dyDescent="0.25">
      <c r="A1139" s="7" t="s">
        <v>58</v>
      </c>
      <c r="B1139" s="2" t="s">
        <v>14806</v>
      </c>
      <c r="C1139" s="2" t="s">
        <v>14807</v>
      </c>
      <c r="D1139" s="2" t="s">
        <v>14808</v>
      </c>
      <c r="F1139" s="3" t="s">
        <v>58</v>
      </c>
      <c r="G1139" s="3" t="s">
        <v>59</v>
      </c>
      <c r="H1139" s="3" t="s">
        <v>58</v>
      </c>
      <c r="I1139" s="3" t="s">
        <v>58</v>
      </c>
      <c r="J1139" s="3" t="s">
        <v>60</v>
      </c>
      <c r="K1139" s="2" t="s">
        <v>14809</v>
      </c>
      <c r="L1139" s="2" t="s">
        <v>14810</v>
      </c>
      <c r="M1139" s="3" t="s">
        <v>629</v>
      </c>
      <c r="O1139" s="3" t="s">
        <v>65</v>
      </c>
      <c r="P1139" s="3" t="s">
        <v>204</v>
      </c>
      <c r="R1139" s="3" t="s">
        <v>67</v>
      </c>
      <c r="S1139" s="4">
        <v>1</v>
      </c>
      <c r="T1139" s="4">
        <v>1</v>
      </c>
      <c r="U1139" s="5" t="s">
        <v>14530</v>
      </c>
      <c r="V1139" s="5" t="s">
        <v>14530</v>
      </c>
      <c r="W1139" s="5" t="s">
        <v>14811</v>
      </c>
      <c r="X1139" s="5" t="s">
        <v>14811</v>
      </c>
      <c r="Y1139" s="4">
        <v>422</v>
      </c>
      <c r="Z1139" s="4">
        <v>392</v>
      </c>
      <c r="AA1139" s="4">
        <v>398</v>
      </c>
      <c r="AB1139" s="4">
        <v>6</v>
      </c>
      <c r="AC1139" s="4">
        <v>6</v>
      </c>
      <c r="AD1139" s="4">
        <v>20</v>
      </c>
      <c r="AE1139" s="4">
        <v>20</v>
      </c>
      <c r="AF1139" s="4">
        <v>3</v>
      </c>
      <c r="AG1139" s="4">
        <v>3</v>
      </c>
      <c r="AH1139" s="4">
        <v>3</v>
      </c>
      <c r="AI1139" s="4">
        <v>3</v>
      </c>
      <c r="AJ1139" s="4">
        <v>8</v>
      </c>
      <c r="AK1139" s="4">
        <v>8</v>
      </c>
      <c r="AL1139" s="4">
        <v>5</v>
      </c>
      <c r="AM1139" s="4">
        <v>5</v>
      </c>
      <c r="AN1139" s="4">
        <v>4</v>
      </c>
      <c r="AO1139" s="4">
        <v>4</v>
      </c>
      <c r="AP1139" s="3" t="s">
        <v>58</v>
      </c>
      <c r="AQ1139" s="3" t="s">
        <v>58</v>
      </c>
      <c r="AS1139" s="6" t="str">
        <f>HYPERLINK("https://creighton-primo.hosted.exlibrisgroup.com/primo-explore/search?tab=default_tab&amp;search_scope=EVERYTHING&amp;vid=01CRU&amp;lang=en_US&amp;offset=0&amp;query=any,contains,991002185469702656","Catalog Record")</f>
        <v>Catalog Record</v>
      </c>
      <c r="AT1139" s="6" t="str">
        <f>HYPERLINK("http://www.worldcat.org/oclc/28147956","WorldCat Record")</f>
        <v>WorldCat Record</v>
      </c>
      <c r="AU1139" s="3" t="s">
        <v>14812</v>
      </c>
      <c r="AV1139" s="3" t="s">
        <v>14813</v>
      </c>
      <c r="AW1139" s="3" t="s">
        <v>14814</v>
      </c>
      <c r="AX1139" s="3" t="s">
        <v>14814</v>
      </c>
      <c r="AY1139" s="3" t="s">
        <v>14815</v>
      </c>
      <c r="AZ1139" s="3" t="s">
        <v>74</v>
      </c>
      <c r="BB1139" s="3" t="s">
        <v>14816</v>
      </c>
      <c r="BC1139" s="3" t="s">
        <v>14817</v>
      </c>
      <c r="BD1139" s="3" t="s">
        <v>14818</v>
      </c>
    </row>
    <row r="1140" spans="1:56" ht="45.75" customHeight="1" x14ac:dyDescent="0.25">
      <c r="A1140" s="7" t="s">
        <v>58</v>
      </c>
      <c r="B1140" s="2" t="s">
        <v>14819</v>
      </c>
      <c r="C1140" s="2" t="s">
        <v>14820</v>
      </c>
      <c r="D1140" s="2" t="s">
        <v>14821</v>
      </c>
      <c r="F1140" s="3" t="s">
        <v>58</v>
      </c>
      <c r="G1140" s="3" t="s">
        <v>59</v>
      </c>
      <c r="H1140" s="3" t="s">
        <v>58</v>
      </c>
      <c r="I1140" s="3" t="s">
        <v>58</v>
      </c>
      <c r="J1140" s="3" t="s">
        <v>60</v>
      </c>
      <c r="K1140" s="2" t="s">
        <v>14822</v>
      </c>
      <c r="L1140" s="2" t="s">
        <v>14823</v>
      </c>
      <c r="M1140" s="3" t="s">
        <v>2324</v>
      </c>
      <c r="O1140" s="3" t="s">
        <v>65</v>
      </c>
      <c r="P1140" s="3" t="s">
        <v>84</v>
      </c>
      <c r="R1140" s="3" t="s">
        <v>67</v>
      </c>
      <c r="S1140" s="4">
        <v>11</v>
      </c>
      <c r="T1140" s="4">
        <v>11</v>
      </c>
      <c r="U1140" s="5" t="s">
        <v>2814</v>
      </c>
      <c r="V1140" s="5" t="s">
        <v>2814</v>
      </c>
      <c r="W1140" s="5" t="s">
        <v>13481</v>
      </c>
      <c r="X1140" s="5" t="s">
        <v>13481</v>
      </c>
      <c r="Y1140" s="4">
        <v>665</v>
      </c>
      <c r="Z1140" s="4">
        <v>605</v>
      </c>
      <c r="AA1140" s="4">
        <v>611</v>
      </c>
      <c r="AB1140" s="4">
        <v>8</v>
      </c>
      <c r="AC1140" s="4">
        <v>8</v>
      </c>
      <c r="AD1140" s="4">
        <v>33</v>
      </c>
      <c r="AE1140" s="4">
        <v>33</v>
      </c>
      <c r="AF1140" s="4">
        <v>13</v>
      </c>
      <c r="AG1140" s="4">
        <v>13</v>
      </c>
      <c r="AH1140" s="4">
        <v>6</v>
      </c>
      <c r="AI1140" s="4">
        <v>6</v>
      </c>
      <c r="AJ1140" s="4">
        <v>13</v>
      </c>
      <c r="AK1140" s="4">
        <v>13</v>
      </c>
      <c r="AL1140" s="4">
        <v>6</v>
      </c>
      <c r="AM1140" s="4">
        <v>6</v>
      </c>
      <c r="AN1140" s="4">
        <v>2</v>
      </c>
      <c r="AO1140" s="4">
        <v>2</v>
      </c>
      <c r="AP1140" s="3" t="s">
        <v>58</v>
      </c>
      <c r="AQ1140" s="3" t="s">
        <v>87</v>
      </c>
      <c r="AR1140" s="6" t="str">
        <f>HYPERLINK("http://catalog.hathitrust.org/Record/000608924","HathiTrust Record")</f>
        <v>HathiTrust Record</v>
      </c>
      <c r="AS1140" s="6" t="str">
        <f>HYPERLINK("https://creighton-primo.hosted.exlibrisgroup.com/primo-explore/search?tab=default_tab&amp;search_scope=EVERYTHING&amp;vid=01CRU&amp;lang=en_US&amp;offset=0&amp;query=any,contains,991000179429702656","Catalog Record")</f>
        <v>Catalog Record</v>
      </c>
      <c r="AT1140" s="6" t="str">
        <f>HYPERLINK("http://www.worldcat.org/oclc/9371088","WorldCat Record")</f>
        <v>WorldCat Record</v>
      </c>
      <c r="AU1140" s="3" t="s">
        <v>14824</v>
      </c>
      <c r="AV1140" s="3" t="s">
        <v>14825</v>
      </c>
      <c r="AW1140" s="3" t="s">
        <v>14826</v>
      </c>
      <c r="AX1140" s="3" t="s">
        <v>14826</v>
      </c>
      <c r="AY1140" s="3" t="s">
        <v>14827</v>
      </c>
      <c r="AZ1140" s="3" t="s">
        <v>74</v>
      </c>
      <c r="BB1140" s="3" t="s">
        <v>14828</v>
      </c>
      <c r="BC1140" s="3" t="s">
        <v>14829</v>
      </c>
      <c r="BD1140" s="3" t="s">
        <v>14830</v>
      </c>
    </row>
    <row r="1141" spans="1:56" ht="45.75" customHeight="1" x14ac:dyDescent="0.25">
      <c r="A1141" s="7" t="s">
        <v>58</v>
      </c>
      <c r="B1141" s="2" t="s">
        <v>14831</v>
      </c>
      <c r="C1141" s="2" t="s">
        <v>14832</v>
      </c>
      <c r="D1141" s="2" t="s">
        <v>14833</v>
      </c>
      <c r="F1141" s="3" t="s">
        <v>58</v>
      </c>
      <c r="G1141" s="3" t="s">
        <v>59</v>
      </c>
      <c r="H1141" s="3" t="s">
        <v>58</v>
      </c>
      <c r="I1141" s="3" t="s">
        <v>58</v>
      </c>
      <c r="J1141" s="3" t="s">
        <v>60</v>
      </c>
      <c r="L1141" s="2" t="s">
        <v>14834</v>
      </c>
      <c r="M1141" s="3" t="s">
        <v>116</v>
      </c>
      <c r="O1141" s="3" t="s">
        <v>65</v>
      </c>
      <c r="P1141" s="3" t="s">
        <v>84</v>
      </c>
      <c r="R1141" s="3" t="s">
        <v>67</v>
      </c>
      <c r="S1141" s="4">
        <v>7</v>
      </c>
      <c r="T1141" s="4">
        <v>7</v>
      </c>
      <c r="U1141" s="5" t="s">
        <v>14835</v>
      </c>
      <c r="V1141" s="5" t="s">
        <v>14835</v>
      </c>
      <c r="W1141" s="5" t="s">
        <v>10347</v>
      </c>
      <c r="X1141" s="5" t="s">
        <v>10347</v>
      </c>
      <c r="Y1141" s="4">
        <v>568</v>
      </c>
      <c r="Z1141" s="4">
        <v>511</v>
      </c>
      <c r="AA1141" s="4">
        <v>529</v>
      </c>
      <c r="AB1141" s="4">
        <v>3</v>
      </c>
      <c r="AC1141" s="4">
        <v>3</v>
      </c>
      <c r="AD1141" s="4">
        <v>28</v>
      </c>
      <c r="AE1141" s="4">
        <v>28</v>
      </c>
      <c r="AF1141" s="4">
        <v>8</v>
      </c>
      <c r="AG1141" s="4">
        <v>8</v>
      </c>
      <c r="AH1141" s="4">
        <v>5</v>
      </c>
      <c r="AI1141" s="4">
        <v>5</v>
      </c>
      <c r="AJ1141" s="4">
        <v>8</v>
      </c>
      <c r="AK1141" s="4">
        <v>8</v>
      </c>
      <c r="AL1141" s="4">
        <v>2</v>
      </c>
      <c r="AM1141" s="4">
        <v>2</v>
      </c>
      <c r="AN1141" s="4">
        <v>9</v>
      </c>
      <c r="AO1141" s="4">
        <v>9</v>
      </c>
      <c r="AP1141" s="3" t="s">
        <v>58</v>
      </c>
      <c r="AQ1141" s="3" t="s">
        <v>58</v>
      </c>
      <c r="AS1141" s="6" t="str">
        <f>HYPERLINK("https://creighton-primo.hosted.exlibrisgroup.com/primo-explore/search?tab=default_tab&amp;search_scope=EVERYTHING&amp;vid=01CRU&amp;lang=en_US&amp;offset=0&amp;query=any,contains,991002958159702656","Catalog Record")</f>
        <v>Catalog Record</v>
      </c>
      <c r="AT1141" s="6" t="str">
        <f>HYPERLINK("http://www.worldcat.org/oclc/39521365","WorldCat Record")</f>
        <v>WorldCat Record</v>
      </c>
      <c r="AU1141" s="3" t="s">
        <v>14836</v>
      </c>
      <c r="AV1141" s="3" t="s">
        <v>14837</v>
      </c>
      <c r="AW1141" s="3" t="s">
        <v>14838</v>
      </c>
      <c r="AX1141" s="3" t="s">
        <v>14838</v>
      </c>
      <c r="AY1141" s="3" t="s">
        <v>14839</v>
      </c>
      <c r="AZ1141" s="3" t="s">
        <v>74</v>
      </c>
      <c r="BB1141" s="3" t="s">
        <v>14840</v>
      </c>
      <c r="BC1141" s="3" t="s">
        <v>14841</v>
      </c>
      <c r="BD1141" s="3" t="s">
        <v>14842</v>
      </c>
    </row>
    <row r="1142" spans="1:56" ht="45.75" customHeight="1" x14ac:dyDescent="0.25">
      <c r="A1142" s="7" t="s">
        <v>58</v>
      </c>
      <c r="B1142" s="2" t="s">
        <v>14843</v>
      </c>
      <c r="C1142" s="2" t="s">
        <v>14844</v>
      </c>
      <c r="D1142" s="2" t="s">
        <v>14845</v>
      </c>
      <c r="F1142" s="3" t="s">
        <v>58</v>
      </c>
      <c r="G1142" s="3" t="s">
        <v>59</v>
      </c>
      <c r="H1142" s="3" t="s">
        <v>87</v>
      </c>
      <c r="I1142" s="3" t="s">
        <v>58</v>
      </c>
      <c r="J1142" s="3" t="s">
        <v>60</v>
      </c>
      <c r="K1142" s="2" t="s">
        <v>14846</v>
      </c>
      <c r="L1142" s="2" t="s">
        <v>14847</v>
      </c>
      <c r="M1142" s="3" t="s">
        <v>2506</v>
      </c>
      <c r="O1142" s="3" t="s">
        <v>65</v>
      </c>
      <c r="P1142" s="3" t="s">
        <v>148</v>
      </c>
      <c r="R1142" s="3" t="s">
        <v>67</v>
      </c>
      <c r="S1142" s="4">
        <v>4</v>
      </c>
      <c r="T1142" s="4">
        <v>4</v>
      </c>
      <c r="U1142" s="5" t="s">
        <v>2814</v>
      </c>
      <c r="V1142" s="5" t="s">
        <v>2814</v>
      </c>
      <c r="W1142" s="5" t="s">
        <v>14848</v>
      </c>
      <c r="X1142" s="5" t="s">
        <v>14848</v>
      </c>
      <c r="Y1142" s="4">
        <v>897</v>
      </c>
      <c r="Z1142" s="4">
        <v>750</v>
      </c>
      <c r="AA1142" s="4">
        <v>760</v>
      </c>
      <c r="AB1142" s="4">
        <v>7</v>
      </c>
      <c r="AC1142" s="4">
        <v>7</v>
      </c>
      <c r="AD1142" s="4">
        <v>39</v>
      </c>
      <c r="AE1142" s="4">
        <v>39</v>
      </c>
      <c r="AF1142" s="4">
        <v>12</v>
      </c>
      <c r="AG1142" s="4">
        <v>12</v>
      </c>
      <c r="AH1142" s="4">
        <v>5</v>
      </c>
      <c r="AI1142" s="4">
        <v>5</v>
      </c>
      <c r="AJ1142" s="4">
        <v>16</v>
      </c>
      <c r="AK1142" s="4">
        <v>16</v>
      </c>
      <c r="AL1142" s="4">
        <v>3</v>
      </c>
      <c r="AM1142" s="4">
        <v>3</v>
      </c>
      <c r="AN1142" s="4">
        <v>9</v>
      </c>
      <c r="AO1142" s="4">
        <v>9</v>
      </c>
      <c r="AP1142" s="3" t="s">
        <v>58</v>
      </c>
      <c r="AQ1142" s="3" t="s">
        <v>87</v>
      </c>
      <c r="AR1142" s="6" t="str">
        <f>HYPERLINK("http://catalog.hathitrust.org/Record/001135122","HathiTrust Record")</f>
        <v>HathiTrust Record</v>
      </c>
      <c r="AS1142" s="6" t="str">
        <f>HYPERLINK("https://creighton-primo.hosted.exlibrisgroup.com/primo-explore/search?tab=default_tab&amp;search_scope=EVERYTHING&amp;vid=01CRU&amp;lang=en_US&amp;offset=0&amp;query=any,contains,991001703519702656","Catalog Record")</f>
        <v>Catalog Record</v>
      </c>
      <c r="AT1142" s="6" t="str">
        <f>HYPERLINK("http://www.worldcat.org/oclc/99759","WorldCat Record")</f>
        <v>WorldCat Record</v>
      </c>
      <c r="AU1142" s="3" t="s">
        <v>14849</v>
      </c>
      <c r="AV1142" s="3" t="s">
        <v>14850</v>
      </c>
      <c r="AW1142" s="3" t="s">
        <v>14851</v>
      </c>
      <c r="AX1142" s="3" t="s">
        <v>14851</v>
      </c>
      <c r="AY1142" s="3" t="s">
        <v>14852</v>
      </c>
      <c r="AZ1142" s="3" t="s">
        <v>74</v>
      </c>
      <c r="BB1142" s="3" t="s">
        <v>14853</v>
      </c>
      <c r="BC1142" s="3" t="s">
        <v>14854</v>
      </c>
      <c r="BD1142" s="3" t="s">
        <v>14855</v>
      </c>
    </row>
    <row r="1143" spans="1:56" ht="45.75" customHeight="1" x14ac:dyDescent="0.25">
      <c r="A1143" s="7" t="s">
        <v>58</v>
      </c>
      <c r="B1143" s="2" t="s">
        <v>14856</v>
      </c>
      <c r="C1143" s="2" t="s">
        <v>14857</v>
      </c>
      <c r="D1143" s="2" t="s">
        <v>14858</v>
      </c>
      <c r="F1143" s="3" t="s">
        <v>58</v>
      </c>
      <c r="G1143" s="3" t="s">
        <v>59</v>
      </c>
      <c r="H1143" s="3" t="s">
        <v>58</v>
      </c>
      <c r="I1143" s="3" t="s">
        <v>58</v>
      </c>
      <c r="J1143" s="3" t="s">
        <v>60</v>
      </c>
      <c r="K1143" s="2" t="s">
        <v>14859</v>
      </c>
      <c r="L1143" s="2" t="s">
        <v>14860</v>
      </c>
      <c r="M1143" s="3" t="s">
        <v>14861</v>
      </c>
      <c r="O1143" s="3" t="s">
        <v>65</v>
      </c>
      <c r="P1143" s="3" t="s">
        <v>84</v>
      </c>
      <c r="R1143" s="3" t="s">
        <v>67</v>
      </c>
      <c r="S1143" s="4">
        <v>1</v>
      </c>
      <c r="T1143" s="4">
        <v>1</v>
      </c>
      <c r="U1143" s="5" t="s">
        <v>14673</v>
      </c>
      <c r="V1143" s="5" t="s">
        <v>14673</v>
      </c>
      <c r="W1143" s="5" t="s">
        <v>9192</v>
      </c>
      <c r="X1143" s="5" t="s">
        <v>9192</v>
      </c>
      <c r="Y1143" s="4">
        <v>1714</v>
      </c>
      <c r="Z1143" s="4">
        <v>1628</v>
      </c>
      <c r="AA1143" s="4">
        <v>1639</v>
      </c>
      <c r="AB1143" s="4">
        <v>14</v>
      </c>
      <c r="AC1143" s="4">
        <v>14</v>
      </c>
      <c r="AD1143" s="4">
        <v>60</v>
      </c>
      <c r="AE1143" s="4">
        <v>60</v>
      </c>
      <c r="AF1143" s="4">
        <v>21</v>
      </c>
      <c r="AG1143" s="4">
        <v>21</v>
      </c>
      <c r="AH1143" s="4">
        <v>9</v>
      </c>
      <c r="AI1143" s="4">
        <v>9</v>
      </c>
      <c r="AJ1143" s="4">
        <v>23</v>
      </c>
      <c r="AK1143" s="4">
        <v>23</v>
      </c>
      <c r="AL1143" s="4">
        <v>7</v>
      </c>
      <c r="AM1143" s="4">
        <v>7</v>
      </c>
      <c r="AN1143" s="4">
        <v>11</v>
      </c>
      <c r="AO1143" s="4">
        <v>11</v>
      </c>
      <c r="AP1143" s="3" t="s">
        <v>58</v>
      </c>
      <c r="AQ1143" s="3" t="s">
        <v>87</v>
      </c>
      <c r="AR1143" s="6" t="str">
        <f>HYPERLINK("http://catalog.hathitrust.org/Record/001135124","HathiTrust Record")</f>
        <v>HathiTrust Record</v>
      </c>
      <c r="AS1143" s="6" t="str">
        <f>HYPERLINK("https://creighton-primo.hosted.exlibrisgroup.com/primo-explore/search?tab=default_tab&amp;search_scope=EVERYTHING&amp;vid=01CRU&amp;lang=en_US&amp;offset=0&amp;query=any,contains,991003425829702656","Catalog Record")</f>
        <v>Catalog Record</v>
      </c>
      <c r="AT1143" s="6" t="str">
        <f>HYPERLINK("http://www.worldcat.org/oclc/964581","WorldCat Record")</f>
        <v>WorldCat Record</v>
      </c>
      <c r="AU1143" s="3" t="s">
        <v>14862</v>
      </c>
      <c r="AV1143" s="3" t="s">
        <v>14863</v>
      </c>
      <c r="AW1143" s="3" t="s">
        <v>14864</v>
      </c>
      <c r="AX1143" s="3" t="s">
        <v>14864</v>
      </c>
      <c r="AY1143" s="3" t="s">
        <v>14865</v>
      </c>
      <c r="AZ1143" s="3" t="s">
        <v>74</v>
      </c>
      <c r="BC1143" s="3" t="s">
        <v>14866</v>
      </c>
      <c r="BD1143" s="3" t="s">
        <v>14867</v>
      </c>
    </row>
    <row r="1144" spans="1:56" ht="45.75" customHeight="1" x14ac:dyDescent="0.25">
      <c r="A1144" s="7" t="s">
        <v>58</v>
      </c>
      <c r="B1144" s="2" t="s">
        <v>14868</v>
      </c>
      <c r="C1144" s="2" t="s">
        <v>14869</v>
      </c>
      <c r="D1144" s="2" t="s">
        <v>14870</v>
      </c>
      <c r="F1144" s="3" t="s">
        <v>58</v>
      </c>
      <c r="G1144" s="3" t="s">
        <v>59</v>
      </c>
      <c r="H1144" s="3" t="s">
        <v>87</v>
      </c>
      <c r="I1144" s="3" t="s">
        <v>58</v>
      </c>
      <c r="J1144" s="3" t="s">
        <v>60</v>
      </c>
      <c r="K1144" s="2" t="s">
        <v>14871</v>
      </c>
      <c r="L1144" s="2" t="s">
        <v>14872</v>
      </c>
      <c r="M1144" s="3" t="s">
        <v>1998</v>
      </c>
      <c r="N1144" s="2" t="s">
        <v>4473</v>
      </c>
      <c r="O1144" s="3" t="s">
        <v>65</v>
      </c>
      <c r="P1144" s="3" t="s">
        <v>84</v>
      </c>
      <c r="R1144" s="3" t="s">
        <v>67</v>
      </c>
      <c r="S1144" s="4">
        <v>7</v>
      </c>
      <c r="T1144" s="4">
        <v>7</v>
      </c>
      <c r="U1144" s="5" t="s">
        <v>2814</v>
      </c>
      <c r="V1144" s="5" t="s">
        <v>2814</v>
      </c>
      <c r="W1144" s="5" t="s">
        <v>9192</v>
      </c>
      <c r="X1144" s="5" t="s">
        <v>9192</v>
      </c>
      <c r="Y1144" s="4">
        <v>378</v>
      </c>
      <c r="Z1144" s="4">
        <v>312</v>
      </c>
      <c r="AA1144" s="4">
        <v>313</v>
      </c>
      <c r="AB1144" s="4">
        <v>4</v>
      </c>
      <c r="AC1144" s="4">
        <v>4</v>
      </c>
      <c r="AD1144" s="4">
        <v>16</v>
      </c>
      <c r="AE1144" s="4">
        <v>16</v>
      </c>
      <c r="AF1144" s="4">
        <v>6</v>
      </c>
      <c r="AG1144" s="4">
        <v>6</v>
      </c>
      <c r="AH1144" s="4">
        <v>4</v>
      </c>
      <c r="AI1144" s="4">
        <v>4</v>
      </c>
      <c r="AJ1144" s="4">
        <v>6</v>
      </c>
      <c r="AK1144" s="4">
        <v>6</v>
      </c>
      <c r="AL1144" s="4">
        <v>2</v>
      </c>
      <c r="AM1144" s="4">
        <v>2</v>
      </c>
      <c r="AN1144" s="4">
        <v>2</v>
      </c>
      <c r="AO1144" s="4">
        <v>2</v>
      </c>
      <c r="AP1144" s="3" t="s">
        <v>58</v>
      </c>
      <c r="AQ1144" s="3" t="s">
        <v>58</v>
      </c>
      <c r="AS1144" s="6" t="str">
        <f>HYPERLINK("https://creighton-primo.hosted.exlibrisgroup.com/primo-explore/search?tab=default_tab&amp;search_scope=EVERYTHING&amp;vid=01CRU&amp;lang=en_US&amp;offset=0&amp;query=any,contains,991001683949702656","Catalog Record")</f>
        <v>Catalog Record</v>
      </c>
      <c r="AT1144" s="6" t="str">
        <f>HYPERLINK("http://www.worldcat.org/oclc/827889","WorldCat Record")</f>
        <v>WorldCat Record</v>
      </c>
      <c r="AU1144" s="3" t="s">
        <v>14873</v>
      </c>
      <c r="AV1144" s="3" t="s">
        <v>14874</v>
      </c>
      <c r="AW1144" s="3" t="s">
        <v>14875</v>
      </c>
      <c r="AX1144" s="3" t="s">
        <v>14875</v>
      </c>
      <c r="AY1144" s="3" t="s">
        <v>14876</v>
      </c>
      <c r="AZ1144" s="3" t="s">
        <v>74</v>
      </c>
      <c r="BB1144" s="3" t="s">
        <v>14877</v>
      </c>
      <c r="BC1144" s="3" t="s">
        <v>14878</v>
      </c>
      <c r="BD1144" s="3" t="s">
        <v>14879</v>
      </c>
    </row>
    <row r="1145" spans="1:56" ht="45.75" customHeight="1" x14ac:dyDescent="0.25">
      <c r="A1145" s="7" t="s">
        <v>58</v>
      </c>
      <c r="B1145" s="2" t="s">
        <v>14880</v>
      </c>
      <c r="C1145" s="2" t="s">
        <v>14881</v>
      </c>
      <c r="D1145" s="2" t="s">
        <v>14882</v>
      </c>
      <c r="F1145" s="3" t="s">
        <v>58</v>
      </c>
      <c r="G1145" s="3" t="s">
        <v>59</v>
      </c>
      <c r="H1145" s="3" t="s">
        <v>58</v>
      </c>
      <c r="I1145" s="3" t="s">
        <v>58</v>
      </c>
      <c r="J1145" s="3" t="s">
        <v>60</v>
      </c>
      <c r="K1145" s="2" t="s">
        <v>14883</v>
      </c>
      <c r="L1145" s="2" t="s">
        <v>14884</v>
      </c>
      <c r="M1145" s="3" t="s">
        <v>189</v>
      </c>
      <c r="O1145" s="3" t="s">
        <v>65</v>
      </c>
      <c r="P1145" s="3" t="s">
        <v>84</v>
      </c>
      <c r="R1145" s="3" t="s">
        <v>67</v>
      </c>
      <c r="S1145" s="4">
        <v>1</v>
      </c>
      <c r="T1145" s="4">
        <v>1</v>
      </c>
      <c r="U1145" s="5" t="s">
        <v>14885</v>
      </c>
      <c r="V1145" s="5" t="s">
        <v>14885</v>
      </c>
      <c r="W1145" s="5" t="s">
        <v>14885</v>
      </c>
      <c r="X1145" s="5" t="s">
        <v>14885</v>
      </c>
      <c r="Y1145" s="4">
        <v>234</v>
      </c>
      <c r="Z1145" s="4">
        <v>208</v>
      </c>
      <c r="AA1145" s="4">
        <v>1121</v>
      </c>
      <c r="AB1145" s="4">
        <v>1</v>
      </c>
      <c r="AC1145" s="4">
        <v>27</v>
      </c>
      <c r="AD1145" s="4">
        <v>5</v>
      </c>
      <c r="AE1145" s="4">
        <v>34</v>
      </c>
      <c r="AF1145" s="4">
        <v>1</v>
      </c>
      <c r="AG1145" s="4">
        <v>8</v>
      </c>
      <c r="AH1145" s="4">
        <v>2</v>
      </c>
      <c r="AI1145" s="4">
        <v>6</v>
      </c>
      <c r="AJ1145" s="4">
        <v>4</v>
      </c>
      <c r="AK1145" s="4">
        <v>9</v>
      </c>
      <c r="AL1145" s="4">
        <v>0</v>
      </c>
      <c r="AM1145" s="4">
        <v>14</v>
      </c>
      <c r="AN1145" s="4">
        <v>0</v>
      </c>
      <c r="AO1145" s="4">
        <v>1</v>
      </c>
      <c r="AP1145" s="3" t="s">
        <v>58</v>
      </c>
      <c r="AQ1145" s="3" t="s">
        <v>58</v>
      </c>
      <c r="AS1145" s="6" t="str">
        <f>HYPERLINK("https://creighton-primo.hosted.exlibrisgroup.com/primo-explore/search?tab=default_tab&amp;search_scope=EVERYTHING&amp;vid=01CRU&amp;lang=en_US&amp;offset=0&amp;query=any,contains,991005290699702656","Catalog Record")</f>
        <v>Catalog Record</v>
      </c>
      <c r="AT1145" s="6" t="str">
        <f>HYPERLINK("http://www.worldcat.org/oclc/227033781","WorldCat Record")</f>
        <v>WorldCat Record</v>
      </c>
      <c r="AU1145" s="3" t="s">
        <v>14886</v>
      </c>
      <c r="AV1145" s="3" t="s">
        <v>14887</v>
      </c>
      <c r="AW1145" s="3" t="s">
        <v>14888</v>
      </c>
      <c r="AX1145" s="3" t="s">
        <v>14888</v>
      </c>
      <c r="AY1145" s="3" t="s">
        <v>14889</v>
      </c>
      <c r="AZ1145" s="3" t="s">
        <v>74</v>
      </c>
      <c r="BB1145" s="3" t="s">
        <v>14890</v>
      </c>
      <c r="BC1145" s="3" t="s">
        <v>14891</v>
      </c>
      <c r="BD1145" s="3" t="s">
        <v>14892</v>
      </c>
    </row>
    <row r="1146" spans="1:56" ht="45.75" customHeight="1" x14ac:dyDescent="0.25">
      <c r="A1146" s="7" t="s">
        <v>58</v>
      </c>
      <c r="B1146" s="2" t="s">
        <v>14893</v>
      </c>
      <c r="C1146" s="2" t="s">
        <v>14894</v>
      </c>
      <c r="D1146" s="2" t="s">
        <v>14895</v>
      </c>
      <c r="F1146" s="3" t="s">
        <v>58</v>
      </c>
      <c r="G1146" s="3" t="s">
        <v>59</v>
      </c>
      <c r="H1146" s="3" t="s">
        <v>58</v>
      </c>
      <c r="I1146" s="3" t="s">
        <v>58</v>
      </c>
      <c r="J1146" s="3" t="s">
        <v>60</v>
      </c>
      <c r="K1146" s="2" t="s">
        <v>14896</v>
      </c>
      <c r="L1146" s="2" t="s">
        <v>14897</v>
      </c>
      <c r="M1146" s="3" t="s">
        <v>713</v>
      </c>
      <c r="O1146" s="3" t="s">
        <v>65</v>
      </c>
      <c r="P1146" s="3" t="s">
        <v>66</v>
      </c>
      <c r="R1146" s="3" t="s">
        <v>67</v>
      </c>
      <c r="S1146" s="4">
        <v>7</v>
      </c>
      <c r="T1146" s="4">
        <v>7</v>
      </c>
      <c r="U1146" s="5" t="s">
        <v>14004</v>
      </c>
      <c r="V1146" s="5" t="s">
        <v>14004</v>
      </c>
      <c r="W1146" s="5" t="s">
        <v>11348</v>
      </c>
      <c r="X1146" s="5" t="s">
        <v>11348</v>
      </c>
      <c r="Y1146" s="4">
        <v>340</v>
      </c>
      <c r="Z1146" s="4">
        <v>320</v>
      </c>
      <c r="AA1146" s="4">
        <v>322</v>
      </c>
      <c r="AB1146" s="4">
        <v>4</v>
      </c>
      <c r="AC1146" s="4">
        <v>4</v>
      </c>
      <c r="AD1146" s="4">
        <v>15</v>
      </c>
      <c r="AE1146" s="4">
        <v>15</v>
      </c>
      <c r="AF1146" s="4">
        <v>7</v>
      </c>
      <c r="AG1146" s="4">
        <v>7</v>
      </c>
      <c r="AH1146" s="4">
        <v>3</v>
      </c>
      <c r="AI1146" s="4">
        <v>3</v>
      </c>
      <c r="AJ1146" s="4">
        <v>7</v>
      </c>
      <c r="AK1146" s="4">
        <v>7</v>
      </c>
      <c r="AL1146" s="4">
        <v>3</v>
      </c>
      <c r="AM1146" s="4">
        <v>3</v>
      </c>
      <c r="AN1146" s="4">
        <v>0</v>
      </c>
      <c r="AO1146" s="4">
        <v>0</v>
      </c>
      <c r="AP1146" s="3" t="s">
        <v>58</v>
      </c>
      <c r="AQ1146" s="3" t="s">
        <v>87</v>
      </c>
      <c r="AR1146" s="6" t="str">
        <f>HYPERLINK("http://catalog.hathitrust.org/Record/000770949","HathiTrust Record")</f>
        <v>HathiTrust Record</v>
      </c>
      <c r="AS1146" s="6" t="str">
        <f>HYPERLINK("https://creighton-primo.hosted.exlibrisgroup.com/primo-explore/search?tab=default_tab&amp;search_scope=EVERYTHING&amp;vid=01CRU&amp;lang=en_US&amp;offset=0&amp;query=any,contains,991005133019702656","Catalog Record")</f>
        <v>Catalog Record</v>
      </c>
      <c r="AT1146" s="6" t="str">
        <f>HYPERLINK("http://www.worldcat.org/oclc/7574165","WorldCat Record")</f>
        <v>WorldCat Record</v>
      </c>
      <c r="AU1146" s="3" t="s">
        <v>14898</v>
      </c>
      <c r="AV1146" s="3" t="s">
        <v>14899</v>
      </c>
      <c r="AW1146" s="3" t="s">
        <v>14900</v>
      </c>
      <c r="AX1146" s="3" t="s">
        <v>14900</v>
      </c>
      <c r="AY1146" s="3" t="s">
        <v>14901</v>
      </c>
      <c r="AZ1146" s="3" t="s">
        <v>74</v>
      </c>
      <c r="BB1146" s="3" t="s">
        <v>14902</v>
      </c>
      <c r="BC1146" s="3" t="s">
        <v>14903</v>
      </c>
      <c r="BD1146" s="3" t="s">
        <v>14904</v>
      </c>
    </row>
    <row r="1147" spans="1:56" ht="45.75" customHeight="1" x14ac:dyDescent="0.25">
      <c r="A1147" s="7" t="s">
        <v>58</v>
      </c>
      <c r="B1147" s="2" t="s">
        <v>14905</v>
      </c>
      <c r="C1147" s="2" t="s">
        <v>14906</v>
      </c>
      <c r="D1147" s="2" t="s">
        <v>14907</v>
      </c>
      <c r="F1147" s="3" t="s">
        <v>58</v>
      </c>
      <c r="G1147" s="3" t="s">
        <v>59</v>
      </c>
      <c r="H1147" s="3" t="s">
        <v>58</v>
      </c>
      <c r="I1147" s="3" t="s">
        <v>58</v>
      </c>
      <c r="J1147" s="3" t="s">
        <v>60</v>
      </c>
      <c r="K1147" s="2" t="s">
        <v>13686</v>
      </c>
      <c r="L1147" s="2" t="s">
        <v>14908</v>
      </c>
      <c r="M1147" s="3" t="s">
        <v>1544</v>
      </c>
      <c r="O1147" s="3" t="s">
        <v>65</v>
      </c>
      <c r="P1147" s="3" t="s">
        <v>84</v>
      </c>
      <c r="R1147" s="3" t="s">
        <v>67</v>
      </c>
      <c r="S1147" s="4">
        <v>12</v>
      </c>
      <c r="T1147" s="4">
        <v>12</v>
      </c>
      <c r="U1147" s="5" t="s">
        <v>14909</v>
      </c>
      <c r="V1147" s="5" t="s">
        <v>14909</v>
      </c>
      <c r="W1147" s="5" t="s">
        <v>11348</v>
      </c>
      <c r="X1147" s="5" t="s">
        <v>11348</v>
      </c>
      <c r="Y1147" s="4">
        <v>921</v>
      </c>
      <c r="Z1147" s="4">
        <v>796</v>
      </c>
      <c r="AA1147" s="4">
        <v>841</v>
      </c>
      <c r="AB1147" s="4">
        <v>10</v>
      </c>
      <c r="AC1147" s="4">
        <v>10</v>
      </c>
      <c r="AD1147" s="4">
        <v>45</v>
      </c>
      <c r="AE1147" s="4">
        <v>48</v>
      </c>
      <c r="AF1147" s="4">
        <v>16</v>
      </c>
      <c r="AG1147" s="4">
        <v>18</v>
      </c>
      <c r="AH1147" s="4">
        <v>7</v>
      </c>
      <c r="AI1147" s="4">
        <v>9</v>
      </c>
      <c r="AJ1147" s="4">
        <v>16</v>
      </c>
      <c r="AK1147" s="4">
        <v>17</v>
      </c>
      <c r="AL1147" s="4">
        <v>7</v>
      </c>
      <c r="AM1147" s="4">
        <v>7</v>
      </c>
      <c r="AN1147" s="4">
        <v>8</v>
      </c>
      <c r="AO1147" s="4">
        <v>8</v>
      </c>
      <c r="AP1147" s="3" t="s">
        <v>58</v>
      </c>
      <c r="AQ1147" s="3" t="s">
        <v>87</v>
      </c>
      <c r="AR1147" s="6" t="str">
        <f>HYPERLINK("http://catalog.hathitrust.org/Record/001135152","HathiTrust Record")</f>
        <v>HathiTrust Record</v>
      </c>
      <c r="AS1147" s="6" t="str">
        <f>HYPERLINK("https://creighton-primo.hosted.exlibrisgroup.com/primo-explore/search?tab=default_tab&amp;search_scope=EVERYTHING&amp;vid=01CRU&amp;lang=en_US&amp;offset=0&amp;query=any,contains,991003941249702656","Catalog Record")</f>
        <v>Catalog Record</v>
      </c>
      <c r="AT1147" s="6" t="str">
        <f>HYPERLINK("http://www.worldcat.org/oclc/36116","WorldCat Record")</f>
        <v>WorldCat Record</v>
      </c>
      <c r="AU1147" s="3" t="s">
        <v>14910</v>
      </c>
      <c r="AV1147" s="3" t="s">
        <v>14911</v>
      </c>
      <c r="AW1147" s="3" t="s">
        <v>14912</v>
      </c>
      <c r="AX1147" s="3" t="s">
        <v>14912</v>
      </c>
      <c r="AY1147" s="3" t="s">
        <v>14913</v>
      </c>
      <c r="AZ1147" s="3" t="s">
        <v>74</v>
      </c>
      <c r="BC1147" s="3" t="s">
        <v>14914</v>
      </c>
      <c r="BD1147" s="3" t="s">
        <v>14915</v>
      </c>
    </row>
    <row r="1148" spans="1:56" ht="45.75" customHeight="1" x14ac:dyDescent="0.25">
      <c r="A1148" s="7" t="s">
        <v>58</v>
      </c>
      <c r="B1148" s="2" t="s">
        <v>14916</v>
      </c>
      <c r="C1148" s="2" t="s">
        <v>14917</v>
      </c>
      <c r="D1148" s="2" t="s">
        <v>14918</v>
      </c>
      <c r="F1148" s="3" t="s">
        <v>58</v>
      </c>
      <c r="G1148" s="3" t="s">
        <v>59</v>
      </c>
      <c r="H1148" s="3" t="s">
        <v>58</v>
      </c>
      <c r="I1148" s="3" t="s">
        <v>58</v>
      </c>
      <c r="J1148" s="3" t="s">
        <v>60</v>
      </c>
      <c r="K1148" s="2" t="s">
        <v>14919</v>
      </c>
      <c r="L1148" s="2" t="s">
        <v>14920</v>
      </c>
      <c r="M1148" s="3" t="s">
        <v>937</v>
      </c>
      <c r="O1148" s="3" t="s">
        <v>65</v>
      </c>
      <c r="P1148" s="3" t="s">
        <v>14921</v>
      </c>
      <c r="Q1148" s="2" t="s">
        <v>14922</v>
      </c>
      <c r="R1148" s="3" t="s">
        <v>67</v>
      </c>
      <c r="S1148" s="4">
        <v>6</v>
      </c>
      <c r="T1148" s="4">
        <v>6</v>
      </c>
      <c r="U1148" s="5" t="s">
        <v>13702</v>
      </c>
      <c r="V1148" s="5" t="s">
        <v>13702</v>
      </c>
      <c r="W1148" s="5" t="s">
        <v>11348</v>
      </c>
      <c r="X1148" s="5" t="s">
        <v>11348</v>
      </c>
      <c r="Y1148" s="4">
        <v>88</v>
      </c>
      <c r="Z1148" s="4">
        <v>80</v>
      </c>
      <c r="AA1148" s="4">
        <v>80</v>
      </c>
      <c r="AB1148" s="4">
        <v>1</v>
      </c>
      <c r="AC1148" s="4">
        <v>1</v>
      </c>
      <c r="AD1148" s="4">
        <v>2</v>
      </c>
      <c r="AE1148" s="4">
        <v>2</v>
      </c>
      <c r="AF1148" s="4">
        <v>1</v>
      </c>
      <c r="AG1148" s="4">
        <v>1</v>
      </c>
      <c r="AH1148" s="4">
        <v>0</v>
      </c>
      <c r="AI1148" s="4">
        <v>0</v>
      </c>
      <c r="AJ1148" s="4">
        <v>1</v>
      </c>
      <c r="AK1148" s="4">
        <v>1</v>
      </c>
      <c r="AL1148" s="4">
        <v>0</v>
      </c>
      <c r="AM1148" s="4">
        <v>0</v>
      </c>
      <c r="AN1148" s="4">
        <v>0</v>
      </c>
      <c r="AO1148" s="4">
        <v>0</v>
      </c>
      <c r="AP1148" s="3" t="s">
        <v>58</v>
      </c>
      <c r="AQ1148" s="3" t="s">
        <v>58</v>
      </c>
      <c r="AS1148" s="6" t="str">
        <f>HYPERLINK("https://creighton-primo.hosted.exlibrisgroup.com/primo-explore/search?tab=default_tab&amp;search_scope=EVERYTHING&amp;vid=01CRU&amp;lang=en_US&amp;offset=0&amp;query=any,contains,991004428409702656","Catalog Record")</f>
        <v>Catalog Record</v>
      </c>
      <c r="AT1148" s="6" t="str">
        <f>HYPERLINK("http://www.worldcat.org/oclc/3413936","WorldCat Record")</f>
        <v>WorldCat Record</v>
      </c>
      <c r="AU1148" s="3" t="s">
        <v>14923</v>
      </c>
      <c r="AV1148" s="3" t="s">
        <v>14924</v>
      </c>
      <c r="AW1148" s="3" t="s">
        <v>14925</v>
      </c>
      <c r="AX1148" s="3" t="s">
        <v>14925</v>
      </c>
      <c r="AY1148" s="3" t="s">
        <v>14926</v>
      </c>
      <c r="AZ1148" s="3" t="s">
        <v>74</v>
      </c>
      <c r="BB1148" s="3" t="s">
        <v>14927</v>
      </c>
      <c r="BC1148" s="3" t="s">
        <v>14928</v>
      </c>
      <c r="BD1148" s="3" t="s">
        <v>14929</v>
      </c>
    </row>
    <row r="1149" spans="1:56" ht="45.75" customHeight="1" x14ac:dyDescent="0.25">
      <c r="A1149" s="7" t="s">
        <v>58</v>
      </c>
      <c r="B1149" s="2" t="s">
        <v>14930</v>
      </c>
      <c r="C1149" s="2" t="s">
        <v>14931</v>
      </c>
      <c r="D1149" s="2" t="s">
        <v>14932</v>
      </c>
      <c r="F1149" s="3" t="s">
        <v>58</v>
      </c>
      <c r="G1149" s="3" t="s">
        <v>59</v>
      </c>
      <c r="H1149" s="3" t="s">
        <v>58</v>
      </c>
      <c r="I1149" s="3" t="s">
        <v>58</v>
      </c>
      <c r="J1149" s="3" t="s">
        <v>60</v>
      </c>
      <c r="K1149" s="2" t="s">
        <v>14933</v>
      </c>
      <c r="L1149" s="2" t="s">
        <v>14934</v>
      </c>
      <c r="M1149" s="3" t="s">
        <v>220</v>
      </c>
      <c r="O1149" s="3" t="s">
        <v>65</v>
      </c>
      <c r="P1149" s="3" t="s">
        <v>190</v>
      </c>
      <c r="R1149" s="3" t="s">
        <v>67</v>
      </c>
      <c r="S1149" s="4">
        <v>5</v>
      </c>
      <c r="T1149" s="4">
        <v>5</v>
      </c>
      <c r="U1149" s="5" t="s">
        <v>473</v>
      </c>
      <c r="V1149" s="5" t="s">
        <v>473</v>
      </c>
      <c r="W1149" s="5" t="s">
        <v>14935</v>
      </c>
      <c r="X1149" s="5" t="s">
        <v>14935</v>
      </c>
      <c r="Y1149" s="4">
        <v>251</v>
      </c>
      <c r="Z1149" s="4">
        <v>232</v>
      </c>
      <c r="AA1149" s="4">
        <v>251</v>
      </c>
      <c r="AB1149" s="4">
        <v>3</v>
      </c>
      <c r="AC1149" s="4">
        <v>3</v>
      </c>
      <c r="AD1149" s="4">
        <v>12</v>
      </c>
      <c r="AE1149" s="4">
        <v>12</v>
      </c>
      <c r="AF1149" s="4">
        <v>5</v>
      </c>
      <c r="AG1149" s="4">
        <v>5</v>
      </c>
      <c r="AH1149" s="4">
        <v>3</v>
      </c>
      <c r="AI1149" s="4">
        <v>3</v>
      </c>
      <c r="AJ1149" s="4">
        <v>5</v>
      </c>
      <c r="AK1149" s="4">
        <v>5</v>
      </c>
      <c r="AL1149" s="4">
        <v>2</v>
      </c>
      <c r="AM1149" s="4">
        <v>2</v>
      </c>
      <c r="AN1149" s="4">
        <v>0</v>
      </c>
      <c r="AO1149" s="4">
        <v>0</v>
      </c>
      <c r="AP1149" s="3" t="s">
        <v>58</v>
      </c>
      <c r="AQ1149" s="3" t="s">
        <v>58</v>
      </c>
      <c r="AS1149" s="6" t="str">
        <f>HYPERLINK("https://creighton-primo.hosted.exlibrisgroup.com/primo-explore/search?tab=default_tab&amp;search_scope=EVERYTHING&amp;vid=01CRU&amp;lang=en_US&amp;offset=0&amp;query=any,contains,991002999179702656","Catalog Record")</f>
        <v>Catalog Record</v>
      </c>
      <c r="AT1149" s="6" t="str">
        <f>HYPERLINK("http://www.worldcat.org/oclc/40599661","WorldCat Record")</f>
        <v>WorldCat Record</v>
      </c>
      <c r="AU1149" s="3" t="s">
        <v>14936</v>
      </c>
      <c r="AV1149" s="3" t="s">
        <v>14937</v>
      </c>
      <c r="AW1149" s="3" t="s">
        <v>14938</v>
      </c>
      <c r="AX1149" s="3" t="s">
        <v>14938</v>
      </c>
      <c r="AY1149" s="3" t="s">
        <v>14939</v>
      </c>
      <c r="AZ1149" s="3" t="s">
        <v>74</v>
      </c>
      <c r="BB1149" s="3" t="s">
        <v>14940</v>
      </c>
      <c r="BC1149" s="3" t="s">
        <v>14941</v>
      </c>
      <c r="BD1149" s="3" t="s">
        <v>14942</v>
      </c>
    </row>
    <row r="1150" spans="1:56" ht="45.75" customHeight="1" x14ac:dyDescent="0.25">
      <c r="A1150" s="7" t="s">
        <v>58</v>
      </c>
      <c r="B1150" s="2" t="s">
        <v>14943</v>
      </c>
      <c r="C1150" s="2" t="s">
        <v>14944</v>
      </c>
      <c r="D1150" s="2" t="s">
        <v>14945</v>
      </c>
      <c r="F1150" s="3" t="s">
        <v>58</v>
      </c>
      <c r="G1150" s="3" t="s">
        <v>59</v>
      </c>
      <c r="H1150" s="3" t="s">
        <v>58</v>
      </c>
      <c r="I1150" s="3" t="s">
        <v>58</v>
      </c>
      <c r="J1150" s="3" t="s">
        <v>60</v>
      </c>
      <c r="L1150" s="2" t="s">
        <v>14946</v>
      </c>
      <c r="M1150" s="3" t="s">
        <v>867</v>
      </c>
      <c r="O1150" s="3" t="s">
        <v>65</v>
      </c>
      <c r="P1150" s="3" t="s">
        <v>190</v>
      </c>
      <c r="R1150" s="3" t="s">
        <v>67</v>
      </c>
      <c r="S1150" s="4">
        <v>10</v>
      </c>
      <c r="T1150" s="4">
        <v>10</v>
      </c>
      <c r="U1150" s="5" t="s">
        <v>14530</v>
      </c>
      <c r="V1150" s="5" t="s">
        <v>14530</v>
      </c>
      <c r="W1150" s="5" t="s">
        <v>6557</v>
      </c>
      <c r="X1150" s="5" t="s">
        <v>6557</v>
      </c>
      <c r="Y1150" s="4">
        <v>191</v>
      </c>
      <c r="Z1150" s="4">
        <v>170</v>
      </c>
      <c r="AA1150" s="4">
        <v>171</v>
      </c>
      <c r="AB1150" s="4">
        <v>3</v>
      </c>
      <c r="AC1150" s="4">
        <v>3</v>
      </c>
      <c r="AD1150" s="4">
        <v>7</v>
      </c>
      <c r="AE1150" s="4">
        <v>7</v>
      </c>
      <c r="AF1150" s="4">
        <v>1</v>
      </c>
      <c r="AG1150" s="4">
        <v>1</v>
      </c>
      <c r="AH1150" s="4">
        <v>2</v>
      </c>
      <c r="AI1150" s="4">
        <v>2</v>
      </c>
      <c r="AJ1150" s="4">
        <v>4</v>
      </c>
      <c r="AK1150" s="4">
        <v>4</v>
      </c>
      <c r="AL1150" s="4">
        <v>2</v>
      </c>
      <c r="AM1150" s="4">
        <v>2</v>
      </c>
      <c r="AN1150" s="4">
        <v>0</v>
      </c>
      <c r="AO1150" s="4">
        <v>0</v>
      </c>
      <c r="AP1150" s="3" t="s">
        <v>58</v>
      </c>
      <c r="AQ1150" s="3" t="s">
        <v>87</v>
      </c>
      <c r="AR1150" s="6" t="str">
        <f>HYPERLINK("http://catalog.hathitrust.org/Record/008316359","HathiTrust Record")</f>
        <v>HathiTrust Record</v>
      </c>
      <c r="AS1150" s="6" t="str">
        <f>HYPERLINK("https://creighton-primo.hosted.exlibrisgroup.com/primo-explore/search?tab=default_tab&amp;search_scope=EVERYTHING&amp;vid=01CRU&amp;lang=en_US&amp;offset=0&amp;query=any,contains,991001976519702656","Catalog Record")</f>
        <v>Catalog Record</v>
      </c>
      <c r="AT1150" s="6" t="str">
        <f>HYPERLINK("http://www.worldcat.org/oclc/25050373","WorldCat Record")</f>
        <v>WorldCat Record</v>
      </c>
      <c r="AU1150" s="3" t="s">
        <v>14947</v>
      </c>
      <c r="AV1150" s="3" t="s">
        <v>14948</v>
      </c>
      <c r="AW1150" s="3" t="s">
        <v>14949</v>
      </c>
      <c r="AX1150" s="3" t="s">
        <v>14949</v>
      </c>
      <c r="AY1150" s="3" t="s">
        <v>14950</v>
      </c>
      <c r="AZ1150" s="3" t="s">
        <v>74</v>
      </c>
      <c r="BB1150" s="3" t="s">
        <v>14951</v>
      </c>
      <c r="BC1150" s="3" t="s">
        <v>14952</v>
      </c>
      <c r="BD1150" s="3" t="s">
        <v>14953</v>
      </c>
    </row>
    <row r="1151" spans="1:56" ht="45.75" customHeight="1" x14ac:dyDescent="0.25">
      <c r="A1151" s="7" t="s">
        <v>58</v>
      </c>
      <c r="B1151" s="2" t="s">
        <v>14954</v>
      </c>
      <c r="C1151" s="2" t="s">
        <v>14955</v>
      </c>
      <c r="D1151" s="2" t="s">
        <v>14956</v>
      </c>
      <c r="F1151" s="3" t="s">
        <v>58</v>
      </c>
      <c r="G1151" s="3" t="s">
        <v>59</v>
      </c>
      <c r="H1151" s="3" t="s">
        <v>58</v>
      </c>
      <c r="I1151" s="3" t="s">
        <v>58</v>
      </c>
      <c r="J1151" s="3" t="s">
        <v>60</v>
      </c>
      <c r="K1151" s="2" t="s">
        <v>14957</v>
      </c>
      <c r="L1151" s="2" t="s">
        <v>14958</v>
      </c>
      <c r="M1151" s="3" t="s">
        <v>2146</v>
      </c>
      <c r="O1151" s="3" t="s">
        <v>65</v>
      </c>
      <c r="P1151" s="3" t="s">
        <v>84</v>
      </c>
      <c r="R1151" s="3" t="s">
        <v>67</v>
      </c>
      <c r="S1151" s="4">
        <v>5</v>
      </c>
      <c r="T1151" s="4">
        <v>5</v>
      </c>
      <c r="U1151" s="5" t="s">
        <v>14959</v>
      </c>
      <c r="V1151" s="5" t="s">
        <v>14959</v>
      </c>
      <c r="W1151" s="5" t="s">
        <v>14960</v>
      </c>
      <c r="X1151" s="5" t="s">
        <v>14960</v>
      </c>
      <c r="Y1151" s="4">
        <v>645</v>
      </c>
      <c r="Z1151" s="4">
        <v>598</v>
      </c>
      <c r="AA1151" s="4">
        <v>669</v>
      </c>
      <c r="AB1151" s="4">
        <v>6</v>
      </c>
      <c r="AC1151" s="4">
        <v>6</v>
      </c>
      <c r="AD1151" s="4">
        <v>28</v>
      </c>
      <c r="AE1151" s="4">
        <v>31</v>
      </c>
      <c r="AF1151" s="4">
        <v>8</v>
      </c>
      <c r="AG1151" s="4">
        <v>8</v>
      </c>
      <c r="AH1151" s="4">
        <v>4</v>
      </c>
      <c r="AI1151" s="4">
        <v>5</v>
      </c>
      <c r="AJ1151" s="4">
        <v>10</v>
      </c>
      <c r="AK1151" s="4">
        <v>12</v>
      </c>
      <c r="AL1151" s="4">
        <v>4</v>
      </c>
      <c r="AM1151" s="4">
        <v>4</v>
      </c>
      <c r="AN1151" s="4">
        <v>8</v>
      </c>
      <c r="AO1151" s="4">
        <v>9</v>
      </c>
      <c r="AP1151" s="3" t="s">
        <v>58</v>
      </c>
      <c r="AQ1151" s="3" t="s">
        <v>87</v>
      </c>
      <c r="AR1151" s="6" t="str">
        <f>HYPERLINK("http://catalog.hathitrust.org/Record/001135155","HathiTrust Record")</f>
        <v>HathiTrust Record</v>
      </c>
      <c r="AS1151" s="6" t="str">
        <f>HYPERLINK("https://creighton-primo.hosted.exlibrisgroup.com/primo-explore/search?tab=default_tab&amp;search_scope=EVERYTHING&amp;vid=01CRU&amp;lang=en_US&amp;offset=0&amp;query=any,contains,991002095679702656","Catalog Record")</f>
        <v>Catalog Record</v>
      </c>
      <c r="AT1151" s="6" t="str">
        <f>HYPERLINK("http://www.worldcat.org/oclc/265539","WorldCat Record")</f>
        <v>WorldCat Record</v>
      </c>
      <c r="AU1151" s="3" t="s">
        <v>14961</v>
      </c>
      <c r="AV1151" s="3" t="s">
        <v>14962</v>
      </c>
      <c r="AW1151" s="3" t="s">
        <v>14963</v>
      </c>
      <c r="AX1151" s="3" t="s">
        <v>14963</v>
      </c>
      <c r="AY1151" s="3" t="s">
        <v>14964</v>
      </c>
      <c r="AZ1151" s="3" t="s">
        <v>74</v>
      </c>
      <c r="BC1151" s="3" t="s">
        <v>14965</v>
      </c>
      <c r="BD1151" s="3" t="s">
        <v>14966</v>
      </c>
    </row>
    <row r="1152" spans="1:56" ht="45.75" customHeight="1" x14ac:dyDescent="0.25">
      <c r="A1152" s="7" t="s">
        <v>58</v>
      </c>
      <c r="B1152" s="2" t="s">
        <v>14967</v>
      </c>
      <c r="C1152" s="2" t="s">
        <v>14968</v>
      </c>
      <c r="D1152" s="2" t="s">
        <v>14969</v>
      </c>
      <c r="F1152" s="3" t="s">
        <v>58</v>
      </c>
      <c r="G1152" s="3" t="s">
        <v>59</v>
      </c>
      <c r="H1152" s="3" t="s">
        <v>87</v>
      </c>
      <c r="I1152" s="3" t="s">
        <v>58</v>
      </c>
      <c r="J1152" s="3" t="s">
        <v>60</v>
      </c>
      <c r="K1152" s="2" t="s">
        <v>14970</v>
      </c>
      <c r="L1152" s="2" t="s">
        <v>14971</v>
      </c>
      <c r="M1152" s="3" t="s">
        <v>1674</v>
      </c>
      <c r="O1152" s="3" t="s">
        <v>65</v>
      </c>
      <c r="P1152" s="3" t="s">
        <v>84</v>
      </c>
      <c r="R1152" s="3" t="s">
        <v>67</v>
      </c>
      <c r="S1152" s="4">
        <v>2</v>
      </c>
      <c r="T1152" s="4">
        <v>2</v>
      </c>
      <c r="U1152" s="5" t="s">
        <v>14959</v>
      </c>
      <c r="V1152" s="5" t="s">
        <v>14959</v>
      </c>
      <c r="W1152" s="5" t="s">
        <v>14972</v>
      </c>
      <c r="X1152" s="5" t="s">
        <v>14972</v>
      </c>
      <c r="Y1152" s="4">
        <v>827</v>
      </c>
      <c r="Z1152" s="4">
        <v>760</v>
      </c>
      <c r="AA1152" s="4">
        <v>815</v>
      </c>
      <c r="AB1152" s="4">
        <v>10</v>
      </c>
      <c r="AC1152" s="4">
        <v>10</v>
      </c>
      <c r="AD1152" s="4">
        <v>40</v>
      </c>
      <c r="AE1152" s="4">
        <v>44</v>
      </c>
      <c r="AF1152" s="4">
        <v>12</v>
      </c>
      <c r="AG1152" s="4">
        <v>15</v>
      </c>
      <c r="AH1152" s="4">
        <v>4</v>
      </c>
      <c r="AI1152" s="4">
        <v>4</v>
      </c>
      <c r="AJ1152" s="4">
        <v>12</v>
      </c>
      <c r="AK1152" s="4">
        <v>13</v>
      </c>
      <c r="AL1152" s="4">
        <v>7</v>
      </c>
      <c r="AM1152" s="4">
        <v>7</v>
      </c>
      <c r="AN1152" s="4">
        <v>11</v>
      </c>
      <c r="AO1152" s="4">
        <v>12</v>
      </c>
      <c r="AP1152" s="3" t="s">
        <v>58</v>
      </c>
      <c r="AQ1152" s="3" t="s">
        <v>87</v>
      </c>
      <c r="AR1152" s="6" t="str">
        <f>HYPERLINK("http://catalog.hathitrust.org/Record/001135156","HathiTrust Record")</f>
        <v>HathiTrust Record</v>
      </c>
      <c r="AS1152" s="6" t="str">
        <f>HYPERLINK("https://creighton-primo.hosted.exlibrisgroup.com/primo-explore/search?tab=default_tab&amp;search_scope=EVERYTHING&amp;vid=01CRU&amp;lang=en_US&amp;offset=0&amp;query=any,contains,991001812629702656","Catalog Record")</f>
        <v>Catalog Record</v>
      </c>
      <c r="AT1152" s="6" t="str">
        <f>HYPERLINK("http://www.worldcat.org/oclc/242789","WorldCat Record")</f>
        <v>WorldCat Record</v>
      </c>
      <c r="AU1152" s="3" t="s">
        <v>14973</v>
      </c>
      <c r="AV1152" s="3" t="s">
        <v>14974</v>
      </c>
      <c r="AW1152" s="3" t="s">
        <v>14975</v>
      </c>
      <c r="AX1152" s="3" t="s">
        <v>14975</v>
      </c>
      <c r="AY1152" s="3" t="s">
        <v>14976</v>
      </c>
      <c r="AZ1152" s="3" t="s">
        <v>74</v>
      </c>
      <c r="BC1152" s="3" t="s">
        <v>14977</v>
      </c>
      <c r="BD1152" s="3" t="s">
        <v>14978</v>
      </c>
    </row>
    <row r="1153" spans="1:56" ht="45.75" customHeight="1" x14ac:dyDescent="0.25">
      <c r="A1153" s="7" t="s">
        <v>58</v>
      </c>
      <c r="B1153" s="2" t="s">
        <v>14979</v>
      </c>
      <c r="C1153" s="2" t="s">
        <v>14980</v>
      </c>
      <c r="D1153" s="2" t="s">
        <v>14981</v>
      </c>
      <c r="F1153" s="3" t="s">
        <v>58</v>
      </c>
      <c r="G1153" s="3" t="s">
        <v>59</v>
      </c>
      <c r="H1153" s="3" t="s">
        <v>58</v>
      </c>
      <c r="I1153" s="3" t="s">
        <v>58</v>
      </c>
      <c r="J1153" s="3" t="s">
        <v>60</v>
      </c>
      <c r="K1153" s="2" t="s">
        <v>14982</v>
      </c>
      <c r="L1153" s="2" t="s">
        <v>14983</v>
      </c>
      <c r="M1153" s="3" t="s">
        <v>3601</v>
      </c>
      <c r="O1153" s="3" t="s">
        <v>65</v>
      </c>
      <c r="P1153" s="3" t="s">
        <v>84</v>
      </c>
      <c r="R1153" s="3" t="s">
        <v>67</v>
      </c>
      <c r="S1153" s="4">
        <v>1</v>
      </c>
      <c r="T1153" s="4">
        <v>1</v>
      </c>
      <c r="U1153" s="5" t="s">
        <v>13753</v>
      </c>
      <c r="V1153" s="5" t="s">
        <v>13753</v>
      </c>
      <c r="W1153" s="5" t="s">
        <v>9192</v>
      </c>
      <c r="X1153" s="5" t="s">
        <v>9192</v>
      </c>
      <c r="Y1153" s="4">
        <v>807</v>
      </c>
      <c r="Z1153" s="4">
        <v>746</v>
      </c>
      <c r="AA1153" s="4">
        <v>753</v>
      </c>
      <c r="AB1153" s="4">
        <v>8</v>
      </c>
      <c r="AC1153" s="4">
        <v>8</v>
      </c>
      <c r="AD1153" s="4">
        <v>44</v>
      </c>
      <c r="AE1153" s="4">
        <v>44</v>
      </c>
      <c r="AF1153" s="4">
        <v>14</v>
      </c>
      <c r="AG1153" s="4">
        <v>14</v>
      </c>
      <c r="AH1153" s="4">
        <v>4</v>
      </c>
      <c r="AI1153" s="4">
        <v>4</v>
      </c>
      <c r="AJ1153" s="4">
        <v>15</v>
      </c>
      <c r="AK1153" s="4">
        <v>15</v>
      </c>
      <c r="AL1153" s="4">
        <v>6</v>
      </c>
      <c r="AM1153" s="4">
        <v>6</v>
      </c>
      <c r="AN1153" s="4">
        <v>9</v>
      </c>
      <c r="AO1153" s="4">
        <v>9</v>
      </c>
      <c r="AP1153" s="3" t="s">
        <v>58</v>
      </c>
      <c r="AQ1153" s="3" t="s">
        <v>87</v>
      </c>
      <c r="AR1153" s="6" t="str">
        <f>HYPERLINK("http://catalog.hathitrust.org/Record/001135163","HathiTrust Record")</f>
        <v>HathiTrust Record</v>
      </c>
      <c r="AS1153" s="6" t="str">
        <f>HYPERLINK("https://creighton-primo.hosted.exlibrisgroup.com/primo-explore/search?tab=default_tab&amp;search_scope=EVERYTHING&amp;vid=01CRU&amp;lang=en_US&amp;offset=0&amp;query=any,contains,991003075939702656","Catalog Record")</f>
        <v>Catalog Record</v>
      </c>
      <c r="AT1153" s="6" t="str">
        <f>HYPERLINK("http://www.worldcat.org/oclc/628474","WorldCat Record")</f>
        <v>WorldCat Record</v>
      </c>
      <c r="AU1153" s="3" t="s">
        <v>14984</v>
      </c>
      <c r="AV1153" s="3" t="s">
        <v>14985</v>
      </c>
      <c r="AW1153" s="3" t="s">
        <v>14986</v>
      </c>
      <c r="AX1153" s="3" t="s">
        <v>14986</v>
      </c>
      <c r="AY1153" s="3" t="s">
        <v>14987</v>
      </c>
      <c r="AZ1153" s="3" t="s">
        <v>74</v>
      </c>
      <c r="BB1153" s="3" t="s">
        <v>14988</v>
      </c>
      <c r="BC1153" s="3" t="s">
        <v>14989</v>
      </c>
      <c r="BD1153" s="3" t="s">
        <v>14990</v>
      </c>
    </row>
    <row r="1154" spans="1:56" ht="45.75" customHeight="1" x14ac:dyDescent="0.25">
      <c r="A1154" s="7" t="s">
        <v>58</v>
      </c>
      <c r="B1154" s="2" t="s">
        <v>14991</v>
      </c>
      <c r="C1154" s="2" t="s">
        <v>14992</v>
      </c>
      <c r="D1154" s="2" t="s">
        <v>14993</v>
      </c>
      <c r="F1154" s="3" t="s">
        <v>58</v>
      </c>
      <c r="G1154" s="3" t="s">
        <v>59</v>
      </c>
      <c r="H1154" s="3" t="s">
        <v>58</v>
      </c>
      <c r="I1154" s="3" t="s">
        <v>58</v>
      </c>
      <c r="J1154" s="3" t="s">
        <v>60</v>
      </c>
      <c r="K1154" s="2" t="s">
        <v>14994</v>
      </c>
      <c r="L1154" s="2" t="s">
        <v>14995</v>
      </c>
      <c r="M1154" s="3" t="s">
        <v>573</v>
      </c>
      <c r="O1154" s="3" t="s">
        <v>65</v>
      </c>
      <c r="P1154" s="3" t="s">
        <v>148</v>
      </c>
      <c r="R1154" s="3" t="s">
        <v>67</v>
      </c>
      <c r="S1154" s="4">
        <v>2</v>
      </c>
      <c r="T1154" s="4">
        <v>2</v>
      </c>
      <c r="U1154" s="5" t="s">
        <v>4515</v>
      </c>
      <c r="V1154" s="5" t="s">
        <v>4515</v>
      </c>
      <c r="W1154" s="5" t="s">
        <v>4515</v>
      </c>
      <c r="X1154" s="5" t="s">
        <v>4515</v>
      </c>
      <c r="Y1154" s="4">
        <v>690</v>
      </c>
      <c r="Z1154" s="4">
        <v>644</v>
      </c>
      <c r="AA1154" s="4">
        <v>649</v>
      </c>
      <c r="AB1154" s="4">
        <v>2</v>
      </c>
      <c r="AC1154" s="4">
        <v>2</v>
      </c>
      <c r="AD1154" s="4">
        <v>28</v>
      </c>
      <c r="AE1154" s="4">
        <v>28</v>
      </c>
      <c r="AF1154" s="4">
        <v>11</v>
      </c>
      <c r="AG1154" s="4">
        <v>11</v>
      </c>
      <c r="AH1154" s="4">
        <v>5</v>
      </c>
      <c r="AI1154" s="4">
        <v>5</v>
      </c>
      <c r="AJ1154" s="4">
        <v>18</v>
      </c>
      <c r="AK1154" s="4">
        <v>18</v>
      </c>
      <c r="AL1154" s="4">
        <v>1</v>
      </c>
      <c r="AM1154" s="4">
        <v>1</v>
      </c>
      <c r="AN1154" s="4">
        <v>2</v>
      </c>
      <c r="AO1154" s="4">
        <v>2</v>
      </c>
      <c r="AP1154" s="3" t="s">
        <v>58</v>
      </c>
      <c r="AQ1154" s="3" t="s">
        <v>58</v>
      </c>
      <c r="AS1154" s="6" t="str">
        <f>HYPERLINK("https://creighton-primo.hosted.exlibrisgroup.com/primo-explore/search?tab=default_tab&amp;search_scope=EVERYTHING&amp;vid=01CRU&amp;lang=en_US&amp;offset=0&amp;query=any,contains,991004497989702656","Catalog Record")</f>
        <v>Catalog Record</v>
      </c>
      <c r="AT1154" s="6" t="str">
        <f>HYPERLINK("http://www.worldcat.org/oclc/52514365","WorldCat Record")</f>
        <v>WorldCat Record</v>
      </c>
      <c r="AU1154" s="3" t="s">
        <v>14996</v>
      </c>
      <c r="AV1154" s="3" t="s">
        <v>14997</v>
      </c>
      <c r="AW1154" s="3" t="s">
        <v>14998</v>
      </c>
      <c r="AX1154" s="3" t="s">
        <v>14998</v>
      </c>
      <c r="AY1154" s="3" t="s">
        <v>14999</v>
      </c>
      <c r="AZ1154" s="3" t="s">
        <v>74</v>
      </c>
      <c r="BB1154" s="3" t="s">
        <v>15000</v>
      </c>
      <c r="BC1154" s="3" t="s">
        <v>15001</v>
      </c>
      <c r="BD1154" s="3" t="s">
        <v>15002</v>
      </c>
    </row>
    <row r="1155" spans="1:56" ht="45.75" customHeight="1" x14ac:dyDescent="0.25">
      <c r="A1155" s="7" t="s">
        <v>58</v>
      </c>
      <c r="B1155" s="2" t="s">
        <v>15003</v>
      </c>
      <c r="C1155" s="2" t="s">
        <v>15004</v>
      </c>
      <c r="D1155" s="2" t="s">
        <v>15005</v>
      </c>
      <c r="F1155" s="3" t="s">
        <v>58</v>
      </c>
      <c r="G1155" s="3" t="s">
        <v>59</v>
      </c>
      <c r="H1155" s="3" t="s">
        <v>58</v>
      </c>
      <c r="I1155" s="3" t="s">
        <v>58</v>
      </c>
      <c r="J1155" s="3" t="s">
        <v>60</v>
      </c>
      <c r="K1155" s="2" t="s">
        <v>15006</v>
      </c>
      <c r="L1155" s="2" t="s">
        <v>12192</v>
      </c>
      <c r="M1155" s="3" t="s">
        <v>1485</v>
      </c>
      <c r="O1155" s="3" t="s">
        <v>65</v>
      </c>
      <c r="P1155" s="3" t="s">
        <v>148</v>
      </c>
      <c r="R1155" s="3" t="s">
        <v>67</v>
      </c>
      <c r="S1155" s="4">
        <v>1</v>
      </c>
      <c r="T1155" s="4">
        <v>1</v>
      </c>
      <c r="U1155" s="5" t="s">
        <v>855</v>
      </c>
      <c r="V1155" s="5" t="s">
        <v>855</v>
      </c>
      <c r="W1155" s="5" t="s">
        <v>13991</v>
      </c>
      <c r="X1155" s="5" t="s">
        <v>13991</v>
      </c>
      <c r="Y1155" s="4">
        <v>360</v>
      </c>
      <c r="Z1155" s="4">
        <v>319</v>
      </c>
      <c r="AA1155" s="4">
        <v>325</v>
      </c>
      <c r="AB1155" s="4">
        <v>4</v>
      </c>
      <c r="AC1155" s="4">
        <v>4</v>
      </c>
      <c r="AD1155" s="4">
        <v>16</v>
      </c>
      <c r="AE1155" s="4">
        <v>16</v>
      </c>
      <c r="AF1155" s="4">
        <v>5</v>
      </c>
      <c r="AG1155" s="4">
        <v>5</v>
      </c>
      <c r="AH1155" s="4">
        <v>3</v>
      </c>
      <c r="AI1155" s="4">
        <v>3</v>
      </c>
      <c r="AJ1155" s="4">
        <v>8</v>
      </c>
      <c r="AK1155" s="4">
        <v>8</v>
      </c>
      <c r="AL1155" s="4">
        <v>3</v>
      </c>
      <c r="AM1155" s="4">
        <v>3</v>
      </c>
      <c r="AN1155" s="4">
        <v>2</v>
      </c>
      <c r="AO1155" s="4">
        <v>2</v>
      </c>
      <c r="AP1155" s="3" t="s">
        <v>58</v>
      </c>
      <c r="AQ1155" s="3" t="s">
        <v>87</v>
      </c>
      <c r="AR1155" s="6" t="str">
        <f>HYPERLINK("http://catalog.hathitrust.org/Record/009507839","HathiTrust Record")</f>
        <v>HathiTrust Record</v>
      </c>
      <c r="AS1155" s="6" t="str">
        <f>HYPERLINK("https://creighton-primo.hosted.exlibrisgroup.com/primo-explore/search?tab=default_tab&amp;search_scope=EVERYTHING&amp;vid=01CRU&amp;lang=en_US&amp;offset=0&amp;query=any,contains,991003914759702656","Catalog Record")</f>
        <v>Catalog Record</v>
      </c>
      <c r="AT1155" s="6" t="str">
        <f>HYPERLINK("http://www.worldcat.org/oclc/1858380","WorldCat Record")</f>
        <v>WorldCat Record</v>
      </c>
      <c r="AU1155" s="3" t="s">
        <v>15007</v>
      </c>
      <c r="AV1155" s="3" t="s">
        <v>15008</v>
      </c>
      <c r="AW1155" s="3" t="s">
        <v>15009</v>
      </c>
      <c r="AX1155" s="3" t="s">
        <v>15009</v>
      </c>
      <c r="AY1155" s="3" t="s">
        <v>15010</v>
      </c>
      <c r="AZ1155" s="3" t="s">
        <v>74</v>
      </c>
      <c r="BB1155" s="3" t="s">
        <v>15011</v>
      </c>
      <c r="BC1155" s="3" t="s">
        <v>15012</v>
      </c>
      <c r="BD1155" s="3" t="s">
        <v>15013</v>
      </c>
    </row>
    <row r="1156" spans="1:56" ht="45.75" customHeight="1" x14ac:dyDescent="0.25">
      <c r="A1156" s="7" t="s">
        <v>58</v>
      </c>
      <c r="B1156" s="2" t="s">
        <v>15014</v>
      </c>
      <c r="C1156" s="2" t="s">
        <v>15015</v>
      </c>
      <c r="D1156" s="2" t="s">
        <v>15016</v>
      </c>
      <c r="F1156" s="3" t="s">
        <v>58</v>
      </c>
      <c r="G1156" s="3" t="s">
        <v>59</v>
      </c>
      <c r="H1156" s="3" t="s">
        <v>58</v>
      </c>
      <c r="I1156" s="3" t="s">
        <v>58</v>
      </c>
      <c r="J1156" s="3" t="s">
        <v>60</v>
      </c>
      <c r="K1156" s="2" t="s">
        <v>15017</v>
      </c>
      <c r="L1156" s="2" t="s">
        <v>15018</v>
      </c>
      <c r="M1156" s="3" t="s">
        <v>116</v>
      </c>
      <c r="O1156" s="3" t="s">
        <v>65</v>
      </c>
      <c r="P1156" s="3" t="s">
        <v>4857</v>
      </c>
      <c r="R1156" s="3" t="s">
        <v>67</v>
      </c>
      <c r="S1156" s="4">
        <v>2</v>
      </c>
      <c r="T1156" s="4">
        <v>2</v>
      </c>
      <c r="U1156" s="5" t="s">
        <v>15019</v>
      </c>
      <c r="V1156" s="5" t="s">
        <v>15019</v>
      </c>
      <c r="W1156" s="5" t="s">
        <v>11399</v>
      </c>
      <c r="X1156" s="5" t="s">
        <v>11399</v>
      </c>
      <c r="Y1156" s="4">
        <v>539</v>
      </c>
      <c r="Z1156" s="4">
        <v>450</v>
      </c>
      <c r="AA1156" s="4">
        <v>452</v>
      </c>
      <c r="AB1156" s="4">
        <v>4</v>
      </c>
      <c r="AC1156" s="4">
        <v>4</v>
      </c>
      <c r="AD1156" s="4">
        <v>27</v>
      </c>
      <c r="AE1156" s="4">
        <v>27</v>
      </c>
      <c r="AF1156" s="4">
        <v>11</v>
      </c>
      <c r="AG1156" s="4">
        <v>11</v>
      </c>
      <c r="AH1156" s="4">
        <v>5</v>
      </c>
      <c r="AI1156" s="4">
        <v>5</v>
      </c>
      <c r="AJ1156" s="4">
        <v>13</v>
      </c>
      <c r="AK1156" s="4">
        <v>13</v>
      </c>
      <c r="AL1156" s="4">
        <v>3</v>
      </c>
      <c r="AM1156" s="4">
        <v>3</v>
      </c>
      <c r="AN1156" s="4">
        <v>1</v>
      </c>
      <c r="AO1156" s="4">
        <v>1</v>
      </c>
      <c r="AP1156" s="3" t="s">
        <v>58</v>
      </c>
      <c r="AQ1156" s="3" t="s">
        <v>87</v>
      </c>
      <c r="AR1156" s="6" t="str">
        <f>HYPERLINK("http://catalog.hathitrust.org/Record/003982383","HathiTrust Record")</f>
        <v>HathiTrust Record</v>
      </c>
      <c r="AS1156" s="6" t="str">
        <f>HYPERLINK("https://creighton-primo.hosted.exlibrisgroup.com/primo-explore/search?tab=default_tab&amp;search_scope=EVERYTHING&amp;vid=01CRU&amp;lang=en_US&amp;offset=0&amp;query=any,contains,991002896459702656","Catalog Record")</f>
        <v>Catalog Record</v>
      </c>
      <c r="AT1156" s="6" t="str">
        <f>HYPERLINK("http://www.worldcat.org/oclc/38162868","WorldCat Record")</f>
        <v>WorldCat Record</v>
      </c>
      <c r="AU1156" s="3" t="s">
        <v>15020</v>
      </c>
      <c r="AV1156" s="3" t="s">
        <v>15021</v>
      </c>
      <c r="AW1156" s="3" t="s">
        <v>15022</v>
      </c>
      <c r="AX1156" s="3" t="s">
        <v>15022</v>
      </c>
      <c r="AY1156" s="3" t="s">
        <v>15023</v>
      </c>
      <c r="AZ1156" s="3" t="s">
        <v>74</v>
      </c>
      <c r="BB1156" s="3" t="s">
        <v>15024</v>
      </c>
      <c r="BC1156" s="3" t="s">
        <v>15025</v>
      </c>
      <c r="BD1156" s="3" t="s">
        <v>15026</v>
      </c>
    </row>
    <row r="1157" spans="1:56" ht="45.75" customHeight="1" x14ac:dyDescent="0.25">
      <c r="A1157" s="7" t="s">
        <v>58</v>
      </c>
      <c r="B1157" s="2" t="s">
        <v>15027</v>
      </c>
      <c r="C1157" s="2" t="s">
        <v>15028</v>
      </c>
      <c r="D1157" s="2" t="s">
        <v>15029</v>
      </c>
      <c r="F1157" s="3" t="s">
        <v>58</v>
      </c>
      <c r="G1157" s="3" t="s">
        <v>59</v>
      </c>
      <c r="H1157" s="3" t="s">
        <v>58</v>
      </c>
      <c r="I1157" s="3" t="s">
        <v>58</v>
      </c>
      <c r="J1157" s="3" t="s">
        <v>60</v>
      </c>
      <c r="K1157" s="2" t="s">
        <v>15030</v>
      </c>
      <c r="L1157" s="2" t="s">
        <v>15031</v>
      </c>
      <c r="M1157" s="3" t="s">
        <v>100</v>
      </c>
      <c r="O1157" s="3" t="s">
        <v>65</v>
      </c>
      <c r="P1157" s="3" t="s">
        <v>132</v>
      </c>
      <c r="Q1157" s="2" t="s">
        <v>15032</v>
      </c>
      <c r="R1157" s="3" t="s">
        <v>67</v>
      </c>
      <c r="S1157" s="4">
        <v>1</v>
      </c>
      <c r="T1157" s="4">
        <v>1</v>
      </c>
      <c r="U1157" s="5" t="s">
        <v>14083</v>
      </c>
      <c r="V1157" s="5" t="s">
        <v>14083</v>
      </c>
      <c r="W1157" s="5" t="s">
        <v>9192</v>
      </c>
      <c r="X1157" s="5" t="s">
        <v>9192</v>
      </c>
      <c r="Y1157" s="4">
        <v>411</v>
      </c>
      <c r="Z1157" s="4">
        <v>377</v>
      </c>
      <c r="AA1157" s="4">
        <v>378</v>
      </c>
      <c r="AB1157" s="4">
        <v>3</v>
      </c>
      <c r="AC1157" s="4">
        <v>3</v>
      </c>
      <c r="AD1157" s="4">
        <v>15</v>
      </c>
      <c r="AE1157" s="4">
        <v>15</v>
      </c>
      <c r="AF1157" s="4">
        <v>3</v>
      </c>
      <c r="AG1157" s="4">
        <v>3</v>
      </c>
      <c r="AH1157" s="4">
        <v>3</v>
      </c>
      <c r="AI1157" s="4">
        <v>3</v>
      </c>
      <c r="AJ1157" s="4">
        <v>5</v>
      </c>
      <c r="AK1157" s="4">
        <v>5</v>
      </c>
      <c r="AL1157" s="4">
        <v>2</v>
      </c>
      <c r="AM1157" s="4">
        <v>2</v>
      </c>
      <c r="AN1157" s="4">
        <v>4</v>
      </c>
      <c r="AO1157" s="4">
        <v>4</v>
      </c>
      <c r="AP1157" s="3" t="s">
        <v>58</v>
      </c>
      <c r="AQ1157" s="3" t="s">
        <v>87</v>
      </c>
      <c r="AR1157" s="6" t="str">
        <f>HYPERLINK("http://catalog.hathitrust.org/Record/000027703","HathiTrust Record")</f>
        <v>HathiTrust Record</v>
      </c>
      <c r="AS1157" s="6" t="str">
        <f>HYPERLINK("https://creighton-primo.hosted.exlibrisgroup.com/primo-explore/search?tab=default_tab&amp;search_scope=EVERYTHING&amp;vid=01CRU&amp;lang=en_US&amp;offset=0&amp;query=any,contains,991003849719702656","Catalog Record")</f>
        <v>Catalog Record</v>
      </c>
      <c r="AT1157" s="6" t="str">
        <f>HYPERLINK("http://www.worldcat.org/oclc/1637706","WorldCat Record")</f>
        <v>WorldCat Record</v>
      </c>
      <c r="AU1157" s="3" t="s">
        <v>15033</v>
      </c>
      <c r="AV1157" s="3" t="s">
        <v>15034</v>
      </c>
      <c r="AW1157" s="3" t="s">
        <v>15035</v>
      </c>
      <c r="AX1157" s="3" t="s">
        <v>15035</v>
      </c>
      <c r="AY1157" s="3" t="s">
        <v>15036</v>
      </c>
      <c r="AZ1157" s="3" t="s">
        <v>74</v>
      </c>
      <c r="BC1157" s="3" t="s">
        <v>15037</v>
      </c>
      <c r="BD1157" s="3" t="s">
        <v>15038</v>
      </c>
    </row>
    <row r="1158" spans="1:56" ht="45.75" customHeight="1" x14ac:dyDescent="0.25">
      <c r="A1158" s="7" t="s">
        <v>58</v>
      </c>
      <c r="B1158" s="2" t="s">
        <v>15039</v>
      </c>
      <c r="C1158" s="2" t="s">
        <v>15040</v>
      </c>
      <c r="D1158" s="2" t="s">
        <v>15041</v>
      </c>
      <c r="F1158" s="3" t="s">
        <v>58</v>
      </c>
      <c r="G1158" s="3" t="s">
        <v>59</v>
      </c>
      <c r="H1158" s="3" t="s">
        <v>58</v>
      </c>
      <c r="I1158" s="3" t="s">
        <v>58</v>
      </c>
      <c r="J1158" s="3" t="s">
        <v>60</v>
      </c>
      <c r="K1158" s="2" t="s">
        <v>15042</v>
      </c>
      <c r="L1158" s="2" t="s">
        <v>15043</v>
      </c>
      <c r="M1158" s="3" t="s">
        <v>573</v>
      </c>
      <c r="O1158" s="3" t="s">
        <v>65</v>
      </c>
      <c r="P1158" s="3" t="s">
        <v>1282</v>
      </c>
      <c r="R1158" s="3" t="s">
        <v>67</v>
      </c>
      <c r="S1158" s="4">
        <v>1</v>
      </c>
      <c r="T1158" s="4">
        <v>1</v>
      </c>
      <c r="U1158" s="5" t="s">
        <v>15044</v>
      </c>
      <c r="V1158" s="5" t="s">
        <v>15044</v>
      </c>
      <c r="W1158" s="5" t="s">
        <v>3241</v>
      </c>
      <c r="X1158" s="5" t="s">
        <v>3241</v>
      </c>
      <c r="Y1158" s="4">
        <v>229</v>
      </c>
      <c r="Z1158" s="4">
        <v>155</v>
      </c>
      <c r="AA1158" s="4">
        <v>155</v>
      </c>
      <c r="AB1158" s="4">
        <v>2</v>
      </c>
      <c r="AC1158" s="4">
        <v>2</v>
      </c>
      <c r="AD1158" s="4">
        <v>6</v>
      </c>
      <c r="AE1158" s="4">
        <v>6</v>
      </c>
      <c r="AF1158" s="4">
        <v>1</v>
      </c>
      <c r="AG1158" s="4">
        <v>1</v>
      </c>
      <c r="AH1158" s="4">
        <v>2</v>
      </c>
      <c r="AI1158" s="4">
        <v>2</v>
      </c>
      <c r="AJ1158" s="4">
        <v>4</v>
      </c>
      <c r="AK1158" s="4">
        <v>4</v>
      </c>
      <c r="AL1158" s="4">
        <v>1</v>
      </c>
      <c r="AM1158" s="4">
        <v>1</v>
      </c>
      <c r="AN1158" s="4">
        <v>1</v>
      </c>
      <c r="AO1158" s="4">
        <v>1</v>
      </c>
      <c r="AP1158" s="3" t="s">
        <v>58</v>
      </c>
      <c r="AQ1158" s="3" t="s">
        <v>58</v>
      </c>
      <c r="AS1158" s="6" t="str">
        <f>HYPERLINK("https://creighton-primo.hosted.exlibrisgroup.com/primo-explore/search?tab=default_tab&amp;search_scope=EVERYTHING&amp;vid=01CRU&amp;lang=en_US&amp;offset=0&amp;query=any,contains,991004131909702656","Catalog Record")</f>
        <v>Catalog Record</v>
      </c>
      <c r="AT1158" s="6" t="str">
        <f>HYPERLINK("http://www.worldcat.org/oclc/51234928","WorldCat Record")</f>
        <v>WorldCat Record</v>
      </c>
      <c r="AU1158" s="3" t="s">
        <v>15045</v>
      </c>
      <c r="AV1158" s="3" t="s">
        <v>15046</v>
      </c>
      <c r="AW1158" s="3" t="s">
        <v>15047</v>
      </c>
      <c r="AX1158" s="3" t="s">
        <v>15047</v>
      </c>
      <c r="AY1158" s="3" t="s">
        <v>15048</v>
      </c>
      <c r="AZ1158" s="3" t="s">
        <v>74</v>
      </c>
      <c r="BB1158" s="3" t="s">
        <v>15049</v>
      </c>
      <c r="BC1158" s="3" t="s">
        <v>15050</v>
      </c>
      <c r="BD1158" s="3" t="s">
        <v>15051</v>
      </c>
    </row>
    <row r="1159" spans="1:56" ht="45.75" customHeight="1" x14ac:dyDescent="0.25">
      <c r="A1159" s="7" t="s">
        <v>58</v>
      </c>
      <c r="B1159" s="2" t="s">
        <v>15052</v>
      </c>
      <c r="C1159" s="2" t="s">
        <v>15053</v>
      </c>
      <c r="D1159" s="2" t="s">
        <v>15054</v>
      </c>
      <c r="F1159" s="3" t="s">
        <v>58</v>
      </c>
      <c r="G1159" s="3" t="s">
        <v>59</v>
      </c>
      <c r="H1159" s="3" t="s">
        <v>58</v>
      </c>
      <c r="I1159" s="3" t="s">
        <v>58</v>
      </c>
      <c r="J1159" s="3" t="s">
        <v>60</v>
      </c>
      <c r="L1159" s="2" t="s">
        <v>15055</v>
      </c>
      <c r="M1159" s="3" t="s">
        <v>800</v>
      </c>
      <c r="O1159" s="3" t="s">
        <v>65</v>
      </c>
      <c r="P1159" s="3" t="s">
        <v>175</v>
      </c>
      <c r="R1159" s="3" t="s">
        <v>67</v>
      </c>
      <c r="S1159" s="4">
        <v>14</v>
      </c>
      <c r="T1159" s="4">
        <v>14</v>
      </c>
      <c r="U1159" s="5" t="s">
        <v>14909</v>
      </c>
      <c r="V1159" s="5" t="s">
        <v>14909</v>
      </c>
      <c r="W1159" s="5" t="s">
        <v>3794</v>
      </c>
      <c r="X1159" s="5" t="s">
        <v>3794</v>
      </c>
      <c r="Y1159" s="4">
        <v>474</v>
      </c>
      <c r="Z1159" s="4">
        <v>332</v>
      </c>
      <c r="AA1159" s="4">
        <v>353</v>
      </c>
      <c r="AB1159" s="4">
        <v>2</v>
      </c>
      <c r="AC1159" s="4">
        <v>2</v>
      </c>
      <c r="AD1159" s="4">
        <v>22</v>
      </c>
      <c r="AE1159" s="4">
        <v>22</v>
      </c>
      <c r="AF1159" s="4">
        <v>7</v>
      </c>
      <c r="AG1159" s="4">
        <v>7</v>
      </c>
      <c r="AH1159" s="4">
        <v>6</v>
      </c>
      <c r="AI1159" s="4">
        <v>6</v>
      </c>
      <c r="AJ1159" s="4">
        <v>8</v>
      </c>
      <c r="AK1159" s="4">
        <v>8</v>
      </c>
      <c r="AL1159" s="4">
        <v>1</v>
      </c>
      <c r="AM1159" s="4">
        <v>1</v>
      </c>
      <c r="AN1159" s="4">
        <v>3</v>
      </c>
      <c r="AO1159" s="4">
        <v>3</v>
      </c>
      <c r="AP1159" s="3" t="s">
        <v>58</v>
      </c>
      <c r="AQ1159" s="3" t="s">
        <v>58</v>
      </c>
      <c r="AS1159" s="6" t="str">
        <f>HYPERLINK("https://creighton-primo.hosted.exlibrisgroup.com/primo-explore/search?tab=default_tab&amp;search_scope=EVERYTHING&amp;vid=01CRU&amp;lang=en_US&amp;offset=0&amp;query=any,contains,991001823119702656","Catalog Record")</f>
        <v>Catalog Record</v>
      </c>
      <c r="AT1159" s="6" t="str">
        <f>HYPERLINK("http://www.worldcat.org/oclc/22907018","WorldCat Record")</f>
        <v>WorldCat Record</v>
      </c>
      <c r="AU1159" s="3" t="s">
        <v>15056</v>
      </c>
      <c r="AV1159" s="3" t="s">
        <v>15057</v>
      </c>
      <c r="AW1159" s="3" t="s">
        <v>15058</v>
      </c>
      <c r="AX1159" s="3" t="s">
        <v>15058</v>
      </c>
      <c r="AY1159" s="3" t="s">
        <v>15059</v>
      </c>
      <c r="AZ1159" s="3" t="s">
        <v>74</v>
      </c>
      <c r="BB1159" s="3" t="s">
        <v>15060</v>
      </c>
      <c r="BC1159" s="3" t="s">
        <v>15061</v>
      </c>
      <c r="BD1159" s="3" t="s">
        <v>15062</v>
      </c>
    </row>
    <row r="1160" spans="1:56" ht="45.75" customHeight="1" x14ac:dyDescent="0.25">
      <c r="A1160" s="7" t="s">
        <v>58</v>
      </c>
      <c r="B1160" s="2" t="s">
        <v>15063</v>
      </c>
      <c r="C1160" s="2" t="s">
        <v>15064</v>
      </c>
      <c r="D1160" s="2" t="s">
        <v>15065</v>
      </c>
      <c r="F1160" s="3" t="s">
        <v>58</v>
      </c>
      <c r="G1160" s="3" t="s">
        <v>59</v>
      </c>
      <c r="H1160" s="3" t="s">
        <v>58</v>
      </c>
      <c r="I1160" s="3" t="s">
        <v>58</v>
      </c>
      <c r="J1160" s="3" t="s">
        <v>60</v>
      </c>
      <c r="K1160" s="2" t="s">
        <v>15066</v>
      </c>
      <c r="L1160" s="2" t="s">
        <v>13454</v>
      </c>
      <c r="M1160" s="3" t="s">
        <v>220</v>
      </c>
      <c r="O1160" s="3" t="s">
        <v>65</v>
      </c>
      <c r="P1160" s="3" t="s">
        <v>1282</v>
      </c>
      <c r="R1160" s="3" t="s">
        <v>67</v>
      </c>
      <c r="S1160" s="4">
        <v>6</v>
      </c>
      <c r="T1160" s="4">
        <v>6</v>
      </c>
      <c r="U1160" s="5" t="s">
        <v>2585</v>
      </c>
      <c r="V1160" s="5" t="s">
        <v>2585</v>
      </c>
      <c r="W1160" s="5" t="s">
        <v>15067</v>
      </c>
      <c r="X1160" s="5" t="s">
        <v>15067</v>
      </c>
      <c r="Y1160" s="4">
        <v>743</v>
      </c>
      <c r="Z1160" s="4">
        <v>602</v>
      </c>
      <c r="AA1160" s="4">
        <v>651</v>
      </c>
      <c r="AB1160" s="4">
        <v>5</v>
      </c>
      <c r="AC1160" s="4">
        <v>5</v>
      </c>
      <c r="AD1160" s="4">
        <v>26</v>
      </c>
      <c r="AE1160" s="4">
        <v>26</v>
      </c>
      <c r="AF1160" s="4">
        <v>12</v>
      </c>
      <c r="AG1160" s="4">
        <v>12</v>
      </c>
      <c r="AH1160" s="4">
        <v>6</v>
      </c>
      <c r="AI1160" s="4">
        <v>6</v>
      </c>
      <c r="AJ1160" s="4">
        <v>15</v>
      </c>
      <c r="AK1160" s="4">
        <v>15</v>
      </c>
      <c r="AL1160" s="4">
        <v>3</v>
      </c>
      <c r="AM1160" s="4">
        <v>3</v>
      </c>
      <c r="AN1160" s="4">
        <v>0</v>
      </c>
      <c r="AO1160" s="4">
        <v>0</v>
      </c>
      <c r="AP1160" s="3" t="s">
        <v>58</v>
      </c>
      <c r="AQ1160" s="3" t="s">
        <v>58</v>
      </c>
      <c r="AS1160" s="6" t="str">
        <f>HYPERLINK("https://creighton-primo.hosted.exlibrisgroup.com/primo-explore/search?tab=default_tab&amp;search_scope=EVERYTHING&amp;vid=01CRU&amp;lang=en_US&amp;offset=0&amp;query=any,contains,991002946869702656","Catalog Record")</f>
        <v>Catalog Record</v>
      </c>
      <c r="AT1160" s="6" t="str">
        <f>HYPERLINK("http://www.worldcat.org/oclc/39256274","WorldCat Record")</f>
        <v>WorldCat Record</v>
      </c>
      <c r="AU1160" s="3" t="s">
        <v>15068</v>
      </c>
      <c r="AV1160" s="3" t="s">
        <v>15069</v>
      </c>
      <c r="AW1160" s="3" t="s">
        <v>15070</v>
      </c>
      <c r="AX1160" s="3" t="s">
        <v>15070</v>
      </c>
      <c r="AY1160" s="3" t="s">
        <v>15071</v>
      </c>
      <c r="AZ1160" s="3" t="s">
        <v>74</v>
      </c>
      <c r="BB1160" s="3" t="s">
        <v>15072</v>
      </c>
      <c r="BC1160" s="3" t="s">
        <v>15073</v>
      </c>
      <c r="BD1160" s="3" t="s">
        <v>15074</v>
      </c>
    </row>
    <row r="1161" spans="1:56" ht="45.75" customHeight="1" x14ac:dyDescent="0.25">
      <c r="A1161" s="7" t="s">
        <v>58</v>
      </c>
      <c r="B1161" s="2" t="s">
        <v>15075</v>
      </c>
      <c r="C1161" s="2" t="s">
        <v>15076</v>
      </c>
      <c r="D1161" s="2" t="s">
        <v>15077</v>
      </c>
      <c r="F1161" s="3" t="s">
        <v>58</v>
      </c>
      <c r="G1161" s="3" t="s">
        <v>59</v>
      </c>
      <c r="H1161" s="3" t="s">
        <v>58</v>
      </c>
      <c r="I1161" s="3" t="s">
        <v>58</v>
      </c>
      <c r="J1161" s="3" t="s">
        <v>60</v>
      </c>
      <c r="K1161" s="2" t="s">
        <v>15078</v>
      </c>
      <c r="L1161" s="2" t="s">
        <v>14710</v>
      </c>
      <c r="M1161" s="3" t="s">
        <v>419</v>
      </c>
      <c r="O1161" s="3" t="s">
        <v>65</v>
      </c>
      <c r="P1161" s="3" t="s">
        <v>190</v>
      </c>
      <c r="R1161" s="3" t="s">
        <v>67</v>
      </c>
      <c r="S1161" s="4">
        <v>2</v>
      </c>
      <c r="T1161" s="4">
        <v>2</v>
      </c>
      <c r="U1161" s="5" t="s">
        <v>15079</v>
      </c>
      <c r="V1161" s="5" t="s">
        <v>15079</v>
      </c>
      <c r="W1161" s="5" t="s">
        <v>15079</v>
      </c>
      <c r="X1161" s="5" t="s">
        <v>15079</v>
      </c>
      <c r="Y1161" s="4">
        <v>275</v>
      </c>
      <c r="Z1161" s="4">
        <v>217</v>
      </c>
      <c r="AA1161" s="4">
        <v>218</v>
      </c>
      <c r="AB1161" s="4">
        <v>2</v>
      </c>
      <c r="AC1161" s="4">
        <v>2</v>
      </c>
      <c r="AD1161" s="4">
        <v>11</v>
      </c>
      <c r="AE1161" s="4">
        <v>11</v>
      </c>
      <c r="AF1161" s="4">
        <v>3</v>
      </c>
      <c r="AG1161" s="4">
        <v>3</v>
      </c>
      <c r="AH1161" s="4">
        <v>4</v>
      </c>
      <c r="AI1161" s="4">
        <v>4</v>
      </c>
      <c r="AJ1161" s="4">
        <v>8</v>
      </c>
      <c r="AK1161" s="4">
        <v>8</v>
      </c>
      <c r="AL1161" s="4">
        <v>1</v>
      </c>
      <c r="AM1161" s="4">
        <v>1</v>
      </c>
      <c r="AN1161" s="4">
        <v>0</v>
      </c>
      <c r="AO1161" s="4">
        <v>0</v>
      </c>
      <c r="AP1161" s="3" t="s">
        <v>58</v>
      </c>
      <c r="AQ1161" s="3" t="s">
        <v>58</v>
      </c>
      <c r="AS1161" s="6" t="str">
        <f>HYPERLINK("https://creighton-primo.hosted.exlibrisgroup.com/primo-explore/search?tab=default_tab&amp;search_scope=EVERYTHING&amp;vid=01CRU&amp;lang=en_US&amp;offset=0&amp;query=any,contains,991003283559702656","Catalog Record")</f>
        <v>Catalog Record</v>
      </c>
      <c r="AT1161" s="6" t="str">
        <f>HYPERLINK("http://www.worldcat.org/oclc/41516480","WorldCat Record")</f>
        <v>WorldCat Record</v>
      </c>
      <c r="AU1161" s="3" t="s">
        <v>15080</v>
      </c>
      <c r="AV1161" s="3" t="s">
        <v>15081</v>
      </c>
      <c r="AW1161" s="3" t="s">
        <v>15082</v>
      </c>
      <c r="AX1161" s="3" t="s">
        <v>15082</v>
      </c>
      <c r="AY1161" s="3" t="s">
        <v>15083</v>
      </c>
      <c r="AZ1161" s="3" t="s">
        <v>74</v>
      </c>
      <c r="BB1161" s="3" t="s">
        <v>15084</v>
      </c>
      <c r="BC1161" s="3" t="s">
        <v>15085</v>
      </c>
      <c r="BD1161" s="3" t="s">
        <v>15086</v>
      </c>
    </row>
    <row r="1162" spans="1:56" ht="45.75" customHeight="1" x14ac:dyDescent="0.25">
      <c r="A1162" s="7" t="s">
        <v>58</v>
      </c>
      <c r="B1162" s="2" t="s">
        <v>15087</v>
      </c>
      <c r="C1162" s="2" t="s">
        <v>15088</v>
      </c>
      <c r="D1162" s="2" t="s">
        <v>15089</v>
      </c>
      <c r="F1162" s="3" t="s">
        <v>58</v>
      </c>
      <c r="G1162" s="3" t="s">
        <v>59</v>
      </c>
      <c r="H1162" s="3" t="s">
        <v>58</v>
      </c>
      <c r="I1162" s="3" t="s">
        <v>58</v>
      </c>
      <c r="J1162" s="3" t="s">
        <v>60</v>
      </c>
      <c r="K1162" s="2" t="s">
        <v>15090</v>
      </c>
      <c r="L1162" s="2" t="s">
        <v>15091</v>
      </c>
      <c r="M1162" s="3" t="s">
        <v>307</v>
      </c>
      <c r="O1162" s="3" t="s">
        <v>65</v>
      </c>
      <c r="P1162" s="3" t="s">
        <v>175</v>
      </c>
      <c r="Q1162" s="2" t="s">
        <v>15092</v>
      </c>
      <c r="R1162" s="3" t="s">
        <v>67</v>
      </c>
      <c r="S1162" s="4">
        <v>4</v>
      </c>
      <c r="T1162" s="4">
        <v>4</v>
      </c>
      <c r="U1162" s="5" t="s">
        <v>11347</v>
      </c>
      <c r="V1162" s="5" t="s">
        <v>11347</v>
      </c>
      <c r="W1162" s="5" t="s">
        <v>5077</v>
      </c>
      <c r="X1162" s="5" t="s">
        <v>5077</v>
      </c>
      <c r="Y1162" s="4">
        <v>472</v>
      </c>
      <c r="Z1162" s="4">
        <v>326</v>
      </c>
      <c r="AA1162" s="4">
        <v>332</v>
      </c>
      <c r="AB1162" s="4">
        <v>3</v>
      </c>
      <c r="AC1162" s="4">
        <v>3</v>
      </c>
      <c r="AD1162" s="4">
        <v>24</v>
      </c>
      <c r="AE1162" s="4">
        <v>24</v>
      </c>
      <c r="AF1162" s="4">
        <v>11</v>
      </c>
      <c r="AG1162" s="4">
        <v>11</v>
      </c>
      <c r="AH1162" s="4">
        <v>5</v>
      </c>
      <c r="AI1162" s="4">
        <v>5</v>
      </c>
      <c r="AJ1162" s="4">
        <v>11</v>
      </c>
      <c r="AK1162" s="4">
        <v>11</v>
      </c>
      <c r="AL1162" s="4">
        <v>2</v>
      </c>
      <c r="AM1162" s="4">
        <v>2</v>
      </c>
      <c r="AN1162" s="4">
        <v>1</v>
      </c>
      <c r="AO1162" s="4">
        <v>1</v>
      </c>
      <c r="AP1162" s="3" t="s">
        <v>58</v>
      </c>
      <c r="AQ1162" s="3" t="s">
        <v>58</v>
      </c>
      <c r="AS1162" s="6" t="str">
        <f>HYPERLINK("https://creighton-primo.hosted.exlibrisgroup.com/primo-explore/search?tab=default_tab&amp;search_scope=EVERYTHING&amp;vid=01CRU&amp;lang=en_US&amp;offset=0&amp;query=any,contains,991004016779702656","Catalog Record")</f>
        <v>Catalog Record</v>
      </c>
      <c r="AT1162" s="6" t="str">
        <f>HYPERLINK("http://www.worldcat.org/oclc/31660299","WorldCat Record")</f>
        <v>WorldCat Record</v>
      </c>
      <c r="AU1162" s="3" t="s">
        <v>15093</v>
      </c>
      <c r="AV1162" s="3" t="s">
        <v>15094</v>
      </c>
      <c r="AW1162" s="3" t="s">
        <v>15095</v>
      </c>
      <c r="AX1162" s="3" t="s">
        <v>15095</v>
      </c>
      <c r="AY1162" s="3" t="s">
        <v>15096</v>
      </c>
      <c r="AZ1162" s="3" t="s">
        <v>74</v>
      </c>
      <c r="BB1162" s="3" t="s">
        <v>15097</v>
      </c>
      <c r="BC1162" s="3" t="s">
        <v>15098</v>
      </c>
      <c r="BD1162" s="3" t="s">
        <v>15099</v>
      </c>
    </row>
    <row r="1163" spans="1:56" ht="45.75" customHeight="1" x14ac:dyDescent="0.25">
      <c r="A1163" s="7" t="s">
        <v>58</v>
      </c>
      <c r="B1163" s="2" t="s">
        <v>15100</v>
      </c>
      <c r="C1163" s="2" t="s">
        <v>15101</v>
      </c>
      <c r="D1163" s="2" t="s">
        <v>15102</v>
      </c>
      <c r="F1163" s="3" t="s">
        <v>58</v>
      </c>
      <c r="G1163" s="3" t="s">
        <v>59</v>
      </c>
      <c r="H1163" s="3" t="s">
        <v>58</v>
      </c>
      <c r="I1163" s="3" t="s">
        <v>58</v>
      </c>
      <c r="J1163" s="3" t="s">
        <v>60</v>
      </c>
      <c r="K1163" s="2" t="s">
        <v>15103</v>
      </c>
      <c r="L1163" s="2" t="s">
        <v>15104</v>
      </c>
      <c r="M1163" s="3" t="s">
        <v>2146</v>
      </c>
      <c r="O1163" s="3" t="s">
        <v>65</v>
      </c>
      <c r="P1163" s="3" t="s">
        <v>84</v>
      </c>
      <c r="Q1163" s="2" t="s">
        <v>15105</v>
      </c>
      <c r="R1163" s="3" t="s">
        <v>67</v>
      </c>
      <c r="S1163" s="4">
        <v>2</v>
      </c>
      <c r="T1163" s="4">
        <v>2</v>
      </c>
      <c r="U1163" s="5" t="s">
        <v>3560</v>
      </c>
      <c r="V1163" s="5" t="s">
        <v>3560</v>
      </c>
      <c r="W1163" s="5" t="s">
        <v>15106</v>
      </c>
      <c r="X1163" s="5" t="s">
        <v>15106</v>
      </c>
      <c r="Y1163" s="4">
        <v>449</v>
      </c>
      <c r="Z1163" s="4">
        <v>413</v>
      </c>
      <c r="AA1163" s="4">
        <v>458</v>
      </c>
      <c r="AB1163" s="4">
        <v>5</v>
      </c>
      <c r="AC1163" s="4">
        <v>5</v>
      </c>
      <c r="AD1163" s="4">
        <v>25</v>
      </c>
      <c r="AE1163" s="4">
        <v>26</v>
      </c>
      <c r="AF1163" s="4">
        <v>8</v>
      </c>
      <c r="AG1163" s="4">
        <v>8</v>
      </c>
      <c r="AH1163" s="4">
        <v>7</v>
      </c>
      <c r="AI1163" s="4">
        <v>7</v>
      </c>
      <c r="AJ1163" s="4">
        <v>11</v>
      </c>
      <c r="AK1163" s="4">
        <v>11</v>
      </c>
      <c r="AL1163" s="4">
        <v>4</v>
      </c>
      <c r="AM1163" s="4">
        <v>4</v>
      </c>
      <c r="AN1163" s="4">
        <v>1</v>
      </c>
      <c r="AO1163" s="4">
        <v>2</v>
      </c>
      <c r="AP1163" s="3" t="s">
        <v>58</v>
      </c>
      <c r="AQ1163" s="3" t="s">
        <v>58</v>
      </c>
      <c r="AS1163" s="6" t="str">
        <f>HYPERLINK("https://creighton-primo.hosted.exlibrisgroup.com/primo-explore/search?tab=default_tab&amp;search_scope=EVERYTHING&amp;vid=01CRU&amp;lang=en_US&amp;offset=0&amp;query=any,contains,991002095709702656","Catalog Record")</f>
        <v>Catalog Record</v>
      </c>
      <c r="AT1163" s="6" t="str">
        <f>HYPERLINK("http://www.worldcat.org/oclc/265542","WorldCat Record")</f>
        <v>WorldCat Record</v>
      </c>
      <c r="AU1163" s="3" t="s">
        <v>15107</v>
      </c>
      <c r="AV1163" s="3" t="s">
        <v>15108</v>
      </c>
      <c r="AW1163" s="3" t="s">
        <v>15109</v>
      </c>
      <c r="AX1163" s="3" t="s">
        <v>15109</v>
      </c>
      <c r="AY1163" s="3" t="s">
        <v>15110</v>
      </c>
      <c r="AZ1163" s="3" t="s">
        <v>74</v>
      </c>
      <c r="BC1163" s="3" t="s">
        <v>15111</v>
      </c>
      <c r="BD1163" s="3" t="s">
        <v>15112</v>
      </c>
    </row>
    <row r="1164" spans="1:56" ht="45.75" customHeight="1" x14ac:dyDescent="0.25">
      <c r="A1164" s="7" t="s">
        <v>58</v>
      </c>
      <c r="B1164" s="2" t="s">
        <v>15113</v>
      </c>
      <c r="C1164" s="2" t="s">
        <v>15114</v>
      </c>
      <c r="D1164" s="2" t="s">
        <v>15115</v>
      </c>
      <c r="F1164" s="3" t="s">
        <v>58</v>
      </c>
      <c r="G1164" s="3" t="s">
        <v>59</v>
      </c>
      <c r="H1164" s="3" t="s">
        <v>58</v>
      </c>
      <c r="I1164" s="3" t="s">
        <v>58</v>
      </c>
      <c r="J1164" s="3" t="s">
        <v>60</v>
      </c>
      <c r="K1164" s="2" t="s">
        <v>15116</v>
      </c>
      <c r="L1164" s="2" t="s">
        <v>15117</v>
      </c>
      <c r="M1164" s="3" t="s">
        <v>1058</v>
      </c>
      <c r="O1164" s="3" t="s">
        <v>65</v>
      </c>
      <c r="P1164" s="3" t="s">
        <v>148</v>
      </c>
      <c r="R1164" s="3" t="s">
        <v>67</v>
      </c>
      <c r="S1164" s="4">
        <v>3</v>
      </c>
      <c r="T1164" s="4">
        <v>3</v>
      </c>
      <c r="U1164" s="5" t="s">
        <v>15118</v>
      </c>
      <c r="V1164" s="5" t="s">
        <v>15118</v>
      </c>
      <c r="W1164" s="5" t="s">
        <v>9575</v>
      </c>
      <c r="X1164" s="5" t="s">
        <v>9575</v>
      </c>
      <c r="Y1164" s="4">
        <v>733</v>
      </c>
      <c r="Z1164" s="4">
        <v>620</v>
      </c>
      <c r="AA1164" s="4">
        <v>714</v>
      </c>
      <c r="AB1164" s="4">
        <v>5</v>
      </c>
      <c r="AC1164" s="4">
        <v>6</v>
      </c>
      <c r="AD1164" s="4">
        <v>31</v>
      </c>
      <c r="AE1164" s="4">
        <v>36</v>
      </c>
      <c r="AF1164" s="4">
        <v>11</v>
      </c>
      <c r="AG1164" s="4">
        <v>15</v>
      </c>
      <c r="AH1164" s="4">
        <v>9</v>
      </c>
      <c r="AI1164" s="4">
        <v>9</v>
      </c>
      <c r="AJ1164" s="4">
        <v>13</v>
      </c>
      <c r="AK1164" s="4">
        <v>17</v>
      </c>
      <c r="AL1164" s="4">
        <v>4</v>
      </c>
      <c r="AM1164" s="4">
        <v>5</v>
      </c>
      <c r="AN1164" s="4">
        <v>1</v>
      </c>
      <c r="AO1164" s="4">
        <v>1</v>
      </c>
      <c r="AP1164" s="3" t="s">
        <v>58</v>
      </c>
      <c r="AQ1164" s="3" t="s">
        <v>58</v>
      </c>
      <c r="AS1164" s="6" t="str">
        <f>HYPERLINK("https://creighton-primo.hosted.exlibrisgroup.com/primo-explore/search?tab=default_tab&amp;search_scope=EVERYTHING&amp;vid=01CRU&amp;lang=en_US&amp;offset=0&amp;query=any,contains,991001125729702656","Catalog Record")</f>
        <v>Catalog Record</v>
      </c>
      <c r="AT1164" s="6" t="str">
        <f>HYPERLINK("http://www.worldcat.org/oclc/16648260","WorldCat Record")</f>
        <v>WorldCat Record</v>
      </c>
      <c r="AU1164" s="3" t="s">
        <v>15119</v>
      </c>
      <c r="AV1164" s="3" t="s">
        <v>15120</v>
      </c>
      <c r="AW1164" s="3" t="s">
        <v>15121</v>
      </c>
      <c r="AX1164" s="3" t="s">
        <v>15121</v>
      </c>
      <c r="AY1164" s="3" t="s">
        <v>15122</v>
      </c>
      <c r="AZ1164" s="3" t="s">
        <v>74</v>
      </c>
      <c r="BB1164" s="3" t="s">
        <v>15123</v>
      </c>
      <c r="BC1164" s="3" t="s">
        <v>15124</v>
      </c>
      <c r="BD1164" s="3" t="s">
        <v>15125</v>
      </c>
    </row>
    <row r="1165" spans="1:56" ht="45.75" customHeight="1" x14ac:dyDescent="0.25">
      <c r="A1165" s="7" t="s">
        <v>58</v>
      </c>
      <c r="B1165" s="2" t="s">
        <v>15126</v>
      </c>
      <c r="C1165" s="2" t="s">
        <v>15127</v>
      </c>
      <c r="D1165" s="2" t="s">
        <v>15128</v>
      </c>
      <c r="F1165" s="3" t="s">
        <v>58</v>
      </c>
      <c r="G1165" s="3" t="s">
        <v>59</v>
      </c>
      <c r="H1165" s="3" t="s">
        <v>58</v>
      </c>
      <c r="I1165" s="3" t="s">
        <v>58</v>
      </c>
      <c r="J1165" s="3" t="s">
        <v>60</v>
      </c>
      <c r="K1165" s="2" t="s">
        <v>15129</v>
      </c>
      <c r="L1165" s="2" t="s">
        <v>15130</v>
      </c>
      <c r="M1165" s="3" t="s">
        <v>6241</v>
      </c>
      <c r="O1165" s="3" t="s">
        <v>65</v>
      </c>
      <c r="P1165" s="3" t="s">
        <v>148</v>
      </c>
      <c r="Q1165" s="2" t="s">
        <v>15131</v>
      </c>
      <c r="R1165" s="3" t="s">
        <v>67</v>
      </c>
      <c r="S1165" s="4">
        <v>7</v>
      </c>
      <c r="T1165" s="4">
        <v>7</v>
      </c>
      <c r="U1165" s="5" t="s">
        <v>15132</v>
      </c>
      <c r="V1165" s="5" t="s">
        <v>15132</v>
      </c>
      <c r="W1165" s="5" t="s">
        <v>9192</v>
      </c>
      <c r="X1165" s="5" t="s">
        <v>9192</v>
      </c>
      <c r="Y1165" s="4">
        <v>755</v>
      </c>
      <c r="Z1165" s="4">
        <v>623</v>
      </c>
      <c r="AA1165" s="4">
        <v>638</v>
      </c>
      <c r="AB1165" s="4">
        <v>5</v>
      </c>
      <c r="AC1165" s="4">
        <v>5</v>
      </c>
      <c r="AD1165" s="4">
        <v>31</v>
      </c>
      <c r="AE1165" s="4">
        <v>32</v>
      </c>
      <c r="AF1165" s="4">
        <v>11</v>
      </c>
      <c r="AG1165" s="4">
        <v>11</v>
      </c>
      <c r="AH1165" s="4">
        <v>7</v>
      </c>
      <c r="AI1165" s="4">
        <v>8</v>
      </c>
      <c r="AJ1165" s="4">
        <v>17</v>
      </c>
      <c r="AK1165" s="4">
        <v>17</v>
      </c>
      <c r="AL1165" s="4">
        <v>4</v>
      </c>
      <c r="AM1165" s="4">
        <v>4</v>
      </c>
      <c r="AN1165" s="4">
        <v>0</v>
      </c>
      <c r="AO1165" s="4">
        <v>0</v>
      </c>
      <c r="AP1165" s="3" t="s">
        <v>58</v>
      </c>
      <c r="AQ1165" s="3" t="s">
        <v>58</v>
      </c>
      <c r="AR1165" s="6" t="str">
        <f>HYPERLINK("http://catalog.hathitrust.org/Record/000341974","HathiTrust Record")</f>
        <v>HathiTrust Record</v>
      </c>
      <c r="AS1165" s="6" t="str">
        <f>HYPERLINK("https://creighton-primo.hosted.exlibrisgroup.com/primo-explore/search?tab=default_tab&amp;search_scope=EVERYTHING&amp;vid=01CRU&amp;lang=en_US&amp;offset=0&amp;query=any,contains,991002326669702656","Catalog Record")</f>
        <v>Catalog Record</v>
      </c>
      <c r="AT1165" s="6" t="str">
        <f>HYPERLINK("http://www.worldcat.org/oclc/30303450","WorldCat Record")</f>
        <v>WorldCat Record</v>
      </c>
      <c r="AU1165" s="3" t="s">
        <v>15133</v>
      </c>
      <c r="AV1165" s="3" t="s">
        <v>15134</v>
      </c>
      <c r="AW1165" s="3" t="s">
        <v>15135</v>
      </c>
      <c r="AX1165" s="3" t="s">
        <v>15135</v>
      </c>
      <c r="AY1165" s="3" t="s">
        <v>15136</v>
      </c>
      <c r="AZ1165" s="3" t="s">
        <v>74</v>
      </c>
      <c r="BC1165" s="3" t="s">
        <v>15137</v>
      </c>
      <c r="BD1165" s="3" t="s">
        <v>15138</v>
      </c>
    </row>
    <row r="1166" spans="1:56" ht="45.75" customHeight="1" x14ac:dyDescent="0.25">
      <c r="A1166" s="7" t="s">
        <v>58</v>
      </c>
      <c r="B1166" s="2" t="s">
        <v>15139</v>
      </c>
      <c r="C1166" s="2" t="s">
        <v>15140</v>
      </c>
      <c r="D1166" s="2" t="s">
        <v>15141</v>
      </c>
      <c r="F1166" s="3" t="s">
        <v>58</v>
      </c>
      <c r="G1166" s="3" t="s">
        <v>59</v>
      </c>
      <c r="H1166" s="3" t="s">
        <v>58</v>
      </c>
      <c r="I1166" s="3" t="s">
        <v>58</v>
      </c>
      <c r="J1166" s="3" t="s">
        <v>60</v>
      </c>
      <c r="K1166" s="2" t="s">
        <v>15142</v>
      </c>
      <c r="L1166" s="2" t="s">
        <v>15143</v>
      </c>
      <c r="M1166" s="3" t="s">
        <v>1998</v>
      </c>
      <c r="O1166" s="3" t="s">
        <v>65</v>
      </c>
      <c r="P1166" s="3" t="s">
        <v>587</v>
      </c>
      <c r="R1166" s="3" t="s">
        <v>67</v>
      </c>
      <c r="S1166" s="4">
        <v>1</v>
      </c>
      <c r="T1166" s="4">
        <v>1</v>
      </c>
      <c r="U1166" s="5" t="s">
        <v>15118</v>
      </c>
      <c r="V1166" s="5" t="s">
        <v>15118</v>
      </c>
      <c r="W1166" s="5" t="s">
        <v>15106</v>
      </c>
      <c r="X1166" s="5" t="s">
        <v>15106</v>
      </c>
      <c r="Y1166" s="4">
        <v>89</v>
      </c>
      <c r="Z1166" s="4">
        <v>76</v>
      </c>
      <c r="AA1166" s="4">
        <v>384</v>
      </c>
      <c r="AB1166" s="4">
        <v>1</v>
      </c>
      <c r="AC1166" s="4">
        <v>3</v>
      </c>
      <c r="AD1166" s="4">
        <v>2</v>
      </c>
      <c r="AE1166" s="4">
        <v>24</v>
      </c>
      <c r="AF1166" s="4">
        <v>0</v>
      </c>
      <c r="AG1166" s="4">
        <v>6</v>
      </c>
      <c r="AH1166" s="4">
        <v>1</v>
      </c>
      <c r="AI1166" s="4">
        <v>8</v>
      </c>
      <c r="AJ1166" s="4">
        <v>1</v>
      </c>
      <c r="AK1166" s="4">
        <v>13</v>
      </c>
      <c r="AL1166" s="4">
        <v>0</v>
      </c>
      <c r="AM1166" s="4">
        <v>2</v>
      </c>
      <c r="AN1166" s="4">
        <v>0</v>
      </c>
      <c r="AO1166" s="4">
        <v>2</v>
      </c>
      <c r="AP1166" s="3" t="s">
        <v>58</v>
      </c>
      <c r="AQ1166" s="3" t="s">
        <v>87</v>
      </c>
      <c r="AR1166" s="6" t="str">
        <f>HYPERLINK("http://catalog.hathitrust.org/Record/009441146","HathiTrust Record")</f>
        <v>HathiTrust Record</v>
      </c>
      <c r="AS1166" s="6" t="str">
        <f>HYPERLINK("https://creighton-primo.hosted.exlibrisgroup.com/primo-explore/search?tab=default_tab&amp;search_scope=EVERYTHING&amp;vid=01CRU&amp;lang=en_US&amp;offset=0&amp;query=any,contains,991003528019702656","Catalog Record")</f>
        <v>Catalog Record</v>
      </c>
      <c r="AT1166" s="6" t="str">
        <f>HYPERLINK("http://www.worldcat.org/oclc/1091679","WorldCat Record")</f>
        <v>WorldCat Record</v>
      </c>
      <c r="AU1166" s="3" t="s">
        <v>15144</v>
      </c>
      <c r="AV1166" s="3" t="s">
        <v>15145</v>
      </c>
      <c r="AW1166" s="3" t="s">
        <v>15146</v>
      </c>
      <c r="AX1166" s="3" t="s">
        <v>15146</v>
      </c>
      <c r="AY1166" s="3" t="s">
        <v>15147</v>
      </c>
      <c r="AZ1166" s="3" t="s">
        <v>74</v>
      </c>
      <c r="BB1166" s="3" t="s">
        <v>15148</v>
      </c>
      <c r="BC1166" s="3" t="s">
        <v>15149</v>
      </c>
      <c r="BD1166" s="3" t="s">
        <v>15150</v>
      </c>
    </row>
    <row r="1167" spans="1:56" ht="45.75" customHeight="1" x14ac:dyDescent="0.25">
      <c r="A1167" s="7" t="s">
        <v>58</v>
      </c>
      <c r="B1167" s="2" t="s">
        <v>15151</v>
      </c>
      <c r="C1167" s="2" t="s">
        <v>15152</v>
      </c>
      <c r="D1167" s="2" t="s">
        <v>15153</v>
      </c>
      <c r="F1167" s="3" t="s">
        <v>58</v>
      </c>
      <c r="G1167" s="3" t="s">
        <v>59</v>
      </c>
      <c r="H1167" s="3" t="s">
        <v>58</v>
      </c>
      <c r="I1167" s="3" t="s">
        <v>58</v>
      </c>
      <c r="J1167" s="3" t="s">
        <v>60</v>
      </c>
      <c r="K1167" s="2" t="s">
        <v>15154</v>
      </c>
      <c r="L1167" s="2" t="s">
        <v>15155</v>
      </c>
      <c r="M1167" s="3" t="s">
        <v>1998</v>
      </c>
      <c r="N1167" s="2" t="s">
        <v>4473</v>
      </c>
      <c r="O1167" s="3" t="s">
        <v>65</v>
      </c>
      <c r="P1167" s="3" t="s">
        <v>84</v>
      </c>
      <c r="R1167" s="3" t="s">
        <v>67</v>
      </c>
      <c r="S1167" s="4">
        <v>1</v>
      </c>
      <c r="T1167" s="4">
        <v>1</v>
      </c>
      <c r="U1167" s="5" t="s">
        <v>15118</v>
      </c>
      <c r="V1167" s="5" t="s">
        <v>15118</v>
      </c>
      <c r="W1167" s="5" t="s">
        <v>5890</v>
      </c>
      <c r="X1167" s="5" t="s">
        <v>5890</v>
      </c>
      <c r="Y1167" s="4">
        <v>1025</v>
      </c>
      <c r="Z1167" s="4">
        <v>942</v>
      </c>
      <c r="AA1167" s="4">
        <v>1085</v>
      </c>
      <c r="AB1167" s="4">
        <v>3</v>
      </c>
      <c r="AC1167" s="4">
        <v>3</v>
      </c>
      <c r="AD1167" s="4">
        <v>35</v>
      </c>
      <c r="AE1167" s="4">
        <v>43</v>
      </c>
      <c r="AF1167" s="4">
        <v>18</v>
      </c>
      <c r="AG1167" s="4">
        <v>22</v>
      </c>
      <c r="AH1167" s="4">
        <v>6</v>
      </c>
      <c r="AI1167" s="4">
        <v>8</v>
      </c>
      <c r="AJ1167" s="4">
        <v>18</v>
      </c>
      <c r="AK1167" s="4">
        <v>21</v>
      </c>
      <c r="AL1167" s="4">
        <v>2</v>
      </c>
      <c r="AM1167" s="4">
        <v>2</v>
      </c>
      <c r="AN1167" s="4">
        <v>2</v>
      </c>
      <c r="AO1167" s="4">
        <v>2</v>
      </c>
      <c r="AP1167" s="3" t="s">
        <v>58</v>
      </c>
      <c r="AQ1167" s="3" t="s">
        <v>58</v>
      </c>
      <c r="AS1167" s="6" t="str">
        <f>HYPERLINK("https://creighton-primo.hosted.exlibrisgroup.com/primo-explore/search?tab=default_tab&amp;search_scope=EVERYTHING&amp;vid=01CRU&amp;lang=en_US&amp;offset=0&amp;query=any,contains,991003283279702656","Catalog Record")</f>
        <v>Catalog Record</v>
      </c>
      <c r="AT1167" s="6" t="str">
        <f>HYPERLINK("http://www.worldcat.org/oclc/805081","WorldCat Record")</f>
        <v>WorldCat Record</v>
      </c>
      <c r="AU1167" s="3" t="s">
        <v>15156</v>
      </c>
      <c r="AV1167" s="3" t="s">
        <v>15157</v>
      </c>
      <c r="AW1167" s="3" t="s">
        <v>15158</v>
      </c>
      <c r="AX1167" s="3" t="s">
        <v>15158</v>
      </c>
      <c r="AY1167" s="3" t="s">
        <v>15159</v>
      </c>
      <c r="AZ1167" s="3" t="s">
        <v>74</v>
      </c>
      <c r="BB1167" s="3" t="s">
        <v>15160</v>
      </c>
      <c r="BC1167" s="3" t="s">
        <v>15161</v>
      </c>
      <c r="BD1167" s="3" t="s">
        <v>15162</v>
      </c>
    </row>
    <row r="1168" spans="1:56" ht="45.75" customHeight="1" x14ac:dyDescent="0.25">
      <c r="A1168" s="7" t="s">
        <v>58</v>
      </c>
      <c r="B1168" s="2" t="s">
        <v>15163</v>
      </c>
      <c r="C1168" s="2" t="s">
        <v>15164</v>
      </c>
      <c r="D1168" s="2" t="s">
        <v>15165</v>
      </c>
      <c r="F1168" s="3" t="s">
        <v>58</v>
      </c>
      <c r="G1168" s="3" t="s">
        <v>59</v>
      </c>
      <c r="H1168" s="3" t="s">
        <v>58</v>
      </c>
      <c r="I1168" s="3" t="s">
        <v>58</v>
      </c>
      <c r="J1168" s="3" t="s">
        <v>60</v>
      </c>
      <c r="K1168" s="2" t="s">
        <v>15154</v>
      </c>
      <c r="L1168" s="2" t="s">
        <v>15166</v>
      </c>
      <c r="M1168" s="3" t="s">
        <v>2324</v>
      </c>
      <c r="O1168" s="3" t="s">
        <v>65</v>
      </c>
      <c r="P1168" s="3" t="s">
        <v>84</v>
      </c>
      <c r="R1168" s="3" t="s">
        <v>67</v>
      </c>
      <c r="S1168" s="4">
        <v>1</v>
      </c>
      <c r="T1168" s="4">
        <v>1</v>
      </c>
      <c r="U1168" s="5" t="s">
        <v>15167</v>
      </c>
      <c r="V1168" s="5" t="s">
        <v>15167</v>
      </c>
      <c r="W1168" s="5" t="s">
        <v>9575</v>
      </c>
      <c r="X1168" s="5" t="s">
        <v>9575</v>
      </c>
      <c r="Y1168" s="4">
        <v>682</v>
      </c>
      <c r="Z1168" s="4">
        <v>616</v>
      </c>
      <c r="AA1168" s="4">
        <v>655</v>
      </c>
      <c r="AB1168" s="4">
        <v>6</v>
      </c>
      <c r="AC1168" s="4">
        <v>6</v>
      </c>
      <c r="AD1168" s="4">
        <v>23</v>
      </c>
      <c r="AE1168" s="4">
        <v>24</v>
      </c>
      <c r="AF1168" s="4">
        <v>6</v>
      </c>
      <c r="AG1168" s="4">
        <v>6</v>
      </c>
      <c r="AH1168" s="4">
        <v>4</v>
      </c>
      <c r="AI1168" s="4">
        <v>5</v>
      </c>
      <c r="AJ1168" s="4">
        <v>16</v>
      </c>
      <c r="AK1168" s="4">
        <v>17</v>
      </c>
      <c r="AL1168" s="4">
        <v>2</v>
      </c>
      <c r="AM1168" s="4">
        <v>2</v>
      </c>
      <c r="AN1168" s="4">
        <v>2</v>
      </c>
      <c r="AO1168" s="4">
        <v>2</v>
      </c>
      <c r="AP1168" s="3" t="s">
        <v>58</v>
      </c>
      <c r="AQ1168" s="3" t="s">
        <v>58</v>
      </c>
      <c r="AS1168" s="6" t="str">
        <f>HYPERLINK("https://creighton-primo.hosted.exlibrisgroup.com/primo-explore/search?tab=default_tab&amp;search_scope=EVERYTHING&amp;vid=01CRU&amp;lang=en_US&amp;offset=0&amp;query=any,contains,991000196669702656","Catalog Record")</f>
        <v>Catalog Record</v>
      </c>
      <c r="AT1168" s="6" t="str">
        <f>HYPERLINK("http://www.worldcat.org/oclc/9441847","WorldCat Record")</f>
        <v>WorldCat Record</v>
      </c>
      <c r="AU1168" s="3" t="s">
        <v>15168</v>
      </c>
      <c r="AV1168" s="3" t="s">
        <v>15169</v>
      </c>
      <c r="AW1168" s="3" t="s">
        <v>15170</v>
      </c>
      <c r="AX1168" s="3" t="s">
        <v>15170</v>
      </c>
      <c r="AY1168" s="3" t="s">
        <v>15171</v>
      </c>
      <c r="AZ1168" s="3" t="s">
        <v>74</v>
      </c>
      <c r="BB1168" s="3" t="s">
        <v>15172</v>
      </c>
      <c r="BC1168" s="3" t="s">
        <v>15173</v>
      </c>
      <c r="BD1168" s="3" t="s">
        <v>15174</v>
      </c>
    </row>
    <row r="1169" spans="1:56" ht="45.75" customHeight="1" x14ac:dyDescent="0.25">
      <c r="A1169" s="7" t="s">
        <v>58</v>
      </c>
      <c r="B1169" s="2" t="s">
        <v>15175</v>
      </c>
      <c r="C1169" s="2" t="s">
        <v>15176</v>
      </c>
      <c r="D1169" s="2" t="s">
        <v>15177</v>
      </c>
      <c r="F1169" s="3" t="s">
        <v>58</v>
      </c>
      <c r="G1169" s="3" t="s">
        <v>59</v>
      </c>
      <c r="H1169" s="3" t="s">
        <v>58</v>
      </c>
      <c r="I1169" s="3" t="s">
        <v>58</v>
      </c>
      <c r="J1169" s="3" t="s">
        <v>60</v>
      </c>
      <c r="K1169" s="2" t="s">
        <v>15178</v>
      </c>
      <c r="L1169" s="2" t="s">
        <v>15179</v>
      </c>
      <c r="M1169" s="3" t="s">
        <v>1485</v>
      </c>
      <c r="N1169" s="2" t="s">
        <v>4053</v>
      </c>
      <c r="O1169" s="3" t="s">
        <v>65</v>
      </c>
      <c r="P1169" s="3" t="s">
        <v>84</v>
      </c>
      <c r="R1169" s="3" t="s">
        <v>67</v>
      </c>
      <c r="S1169" s="4">
        <v>1</v>
      </c>
      <c r="T1169" s="4">
        <v>1</v>
      </c>
      <c r="U1169" s="5" t="s">
        <v>15118</v>
      </c>
      <c r="V1169" s="5" t="s">
        <v>15118</v>
      </c>
      <c r="W1169" s="5" t="s">
        <v>15180</v>
      </c>
      <c r="X1169" s="5" t="s">
        <v>15180</v>
      </c>
      <c r="Y1169" s="4">
        <v>451</v>
      </c>
      <c r="Z1169" s="4">
        <v>427</v>
      </c>
      <c r="AA1169" s="4">
        <v>532</v>
      </c>
      <c r="AB1169" s="4">
        <v>4</v>
      </c>
      <c r="AC1169" s="4">
        <v>4</v>
      </c>
      <c r="AD1169" s="4">
        <v>10</v>
      </c>
      <c r="AE1169" s="4">
        <v>14</v>
      </c>
      <c r="AF1169" s="4">
        <v>2</v>
      </c>
      <c r="AG1169" s="4">
        <v>3</v>
      </c>
      <c r="AH1169" s="4">
        <v>4</v>
      </c>
      <c r="AI1169" s="4">
        <v>7</v>
      </c>
      <c r="AJ1169" s="4">
        <v>4</v>
      </c>
      <c r="AK1169" s="4">
        <v>7</v>
      </c>
      <c r="AL1169" s="4">
        <v>2</v>
      </c>
      <c r="AM1169" s="4">
        <v>2</v>
      </c>
      <c r="AN1169" s="4">
        <v>0</v>
      </c>
      <c r="AO1169" s="4">
        <v>0</v>
      </c>
      <c r="AP1169" s="3" t="s">
        <v>58</v>
      </c>
      <c r="AQ1169" s="3" t="s">
        <v>58</v>
      </c>
      <c r="AS1169" s="6" t="str">
        <f>HYPERLINK("https://creighton-primo.hosted.exlibrisgroup.com/primo-explore/search?tab=default_tab&amp;search_scope=EVERYTHING&amp;vid=01CRU&amp;lang=en_US&amp;offset=0&amp;query=any,contains,991004298769702656","Catalog Record")</f>
        <v>Catalog Record</v>
      </c>
      <c r="AT1169" s="6" t="str">
        <f>HYPERLINK("http://www.worldcat.org/oclc/2966888","WorldCat Record")</f>
        <v>WorldCat Record</v>
      </c>
      <c r="AU1169" s="3" t="s">
        <v>15181</v>
      </c>
      <c r="AV1169" s="3" t="s">
        <v>15182</v>
      </c>
      <c r="AW1169" s="3" t="s">
        <v>15183</v>
      </c>
      <c r="AX1169" s="3" t="s">
        <v>15183</v>
      </c>
      <c r="AY1169" s="3" t="s">
        <v>15184</v>
      </c>
      <c r="AZ1169" s="3" t="s">
        <v>74</v>
      </c>
      <c r="BB1169" s="3" t="s">
        <v>15185</v>
      </c>
      <c r="BC1169" s="3" t="s">
        <v>15186</v>
      </c>
      <c r="BD1169" s="3" t="s">
        <v>15187</v>
      </c>
    </row>
    <row r="1170" spans="1:56" ht="45.75" customHeight="1" x14ac:dyDescent="0.25">
      <c r="A1170" s="7" t="s">
        <v>58</v>
      </c>
      <c r="B1170" s="2" t="s">
        <v>15188</v>
      </c>
      <c r="C1170" s="2" t="s">
        <v>15189</v>
      </c>
      <c r="D1170" s="2" t="s">
        <v>15190</v>
      </c>
      <c r="F1170" s="3" t="s">
        <v>58</v>
      </c>
      <c r="G1170" s="3" t="s">
        <v>59</v>
      </c>
      <c r="H1170" s="3" t="s">
        <v>58</v>
      </c>
      <c r="I1170" s="3" t="s">
        <v>58</v>
      </c>
      <c r="J1170" s="3" t="s">
        <v>60</v>
      </c>
      <c r="K1170" s="2" t="s">
        <v>15191</v>
      </c>
      <c r="L1170" s="2" t="s">
        <v>15192</v>
      </c>
      <c r="M1170" s="3" t="s">
        <v>713</v>
      </c>
      <c r="N1170" s="2" t="s">
        <v>543</v>
      </c>
      <c r="O1170" s="3" t="s">
        <v>65</v>
      </c>
      <c r="P1170" s="3" t="s">
        <v>84</v>
      </c>
      <c r="R1170" s="3" t="s">
        <v>67</v>
      </c>
      <c r="S1170" s="4">
        <v>1</v>
      </c>
      <c r="T1170" s="4">
        <v>1</v>
      </c>
      <c r="U1170" s="5" t="s">
        <v>15118</v>
      </c>
      <c r="V1170" s="5" t="s">
        <v>15118</v>
      </c>
      <c r="W1170" s="5" t="s">
        <v>9575</v>
      </c>
      <c r="X1170" s="5" t="s">
        <v>9575</v>
      </c>
      <c r="Y1170" s="4">
        <v>857</v>
      </c>
      <c r="Z1170" s="4">
        <v>792</v>
      </c>
      <c r="AA1170" s="4">
        <v>800</v>
      </c>
      <c r="AB1170" s="4">
        <v>4</v>
      </c>
      <c r="AC1170" s="4">
        <v>4</v>
      </c>
      <c r="AD1170" s="4">
        <v>19</v>
      </c>
      <c r="AE1170" s="4">
        <v>19</v>
      </c>
      <c r="AF1170" s="4">
        <v>10</v>
      </c>
      <c r="AG1170" s="4">
        <v>10</v>
      </c>
      <c r="AH1170" s="4">
        <v>2</v>
      </c>
      <c r="AI1170" s="4">
        <v>2</v>
      </c>
      <c r="AJ1170" s="4">
        <v>10</v>
      </c>
      <c r="AK1170" s="4">
        <v>10</v>
      </c>
      <c r="AL1170" s="4">
        <v>2</v>
      </c>
      <c r="AM1170" s="4">
        <v>2</v>
      </c>
      <c r="AN1170" s="4">
        <v>0</v>
      </c>
      <c r="AO1170" s="4">
        <v>0</v>
      </c>
      <c r="AP1170" s="3" t="s">
        <v>58</v>
      </c>
      <c r="AQ1170" s="3" t="s">
        <v>87</v>
      </c>
      <c r="AR1170" s="6" t="str">
        <f>HYPERLINK("http://catalog.hathitrust.org/Record/000263180","HathiTrust Record")</f>
        <v>HathiTrust Record</v>
      </c>
      <c r="AS1170" s="6" t="str">
        <f>HYPERLINK("https://creighton-primo.hosted.exlibrisgroup.com/primo-explore/search?tab=default_tab&amp;search_scope=EVERYTHING&amp;vid=01CRU&amp;lang=en_US&amp;offset=0&amp;query=any,contains,991005059589702656","Catalog Record")</f>
        <v>Catalog Record</v>
      </c>
      <c r="AT1170" s="6" t="str">
        <f>HYPERLINK("http://www.worldcat.org/oclc/6916251","WorldCat Record")</f>
        <v>WorldCat Record</v>
      </c>
      <c r="AU1170" s="3" t="s">
        <v>15193</v>
      </c>
      <c r="AV1170" s="3" t="s">
        <v>15194</v>
      </c>
      <c r="AW1170" s="3" t="s">
        <v>15195</v>
      </c>
      <c r="AX1170" s="3" t="s">
        <v>15195</v>
      </c>
      <c r="AY1170" s="3" t="s">
        <v>15196</v>
      </c>
      <c r="AZ1170" s="3" t="s">
        <v>74</v>
      </c>
      <c r="BB1170" s="3" t="s">
        <v>15197</v>
      </c>
      <c r="BC1170" s="3" t="s">
        <v>15198</v>
      </c>
      <c r="BD1170" s="3" t="s">
        <v>15199</v>
      </c>
    </row>
    <row r="1171" spans="1:56" ht="45.75" customHeight="1" x14ac:dyDescent="0.25">
      <c r="A1171" s="7" t="s">
        <v>58</v>
      </c>
      <c r="B1171" s="2" t="s">
        <v>15200</v>
      </c>
      <c r="C1171" s="2" t="s">
        <v>15201</v>
      </c>
      <c r="D1171" s="2" t="s">
        <v>15202</v>
      </c>
      <c r="F1171" s="3" t="s">
        <v>58</v>
      </c>
      <c r="G1171" s="3" t="s">
        <v>59</v>
      </c>
      <c r="H1171" s="3" t="s">
        <v>58</v>
      </c>
      <c r="I1171" s="3" t="s">
        <v>58</v>
      </c>
      <c r="J1171" s="3" t="s">
        <v>60</v>
      </c>
      <c r="K1171" s="2" t="s">
        <v>15203</v>
      </c>
      <c r="L1171" s="2" t="s">
        <v>15204</v>
      </c>
      <c r="M1171" s="3" t="s">
        <v>307</v>
      </c>
      <c r="O1171" s="3" t="s">
        <v>65</v>
      </c>
      <c r="P1171" s="3" t="s">
        <v>84</v>
      </c>
      <c r="R1171" s="3" t="s">
        <v>67</v>
      </c>
      <c r="S1171" s="4">
        <v>4</v>
      </c>
      <c r="T1171" s="4">
        <v>4</v>
      </c>
      <c r="U1171" s="5" t="s">
        <v>15205</v>
      </c>
      <c r="V1171" s="5" t="s">
        <v>15205</v>
      </c>
      <c r="W1171" s="5" t="s">
        <v>2311</v>
      </c>
      <c r="X1171" s="5" t="s">
        <v>2311</v>
      </c>
      <c r="Y1171" s="4">
        <v>213</v>
      </c>
      <c r="Z1171" s="4">
        <v>185</v>
      </c>
      <c r="AA1171" s="4">
        <v>226</v>
      </c>
      <c r="AB1171" s="4">
        <v>2</v>
      </c>
      <c r="AC1171" s="4">
        <v>2</v>
      </c>
      <c r="AD1171" s="4">
        <v>11</v>
      </c>
      <c r="AE1171" s="4">
        <v>13</v>
      </c>
      <c r="AF1171" s="4">
        <v>3</v>
      </c>
      <c r="AG1171" s="4">
        <v>3</v>
      </c>
      <c r="AH1171" s="4">
        <v>5</v>
      </c>
      <c r="AI1171" s="4">
        <v>6</v>
      </c>
      <c r="AJ1171" s="4">
        <v>6</v>
      </c>
      <c r="AK1171" s="4">
        <v>8</v>
      </c>
      <c r="AL1171" s="4">
        <v>1</v>
      </c>
      <c r="AM1171" s="4">
        <v>1</v>
      </c>
      <c r="AN1171" s="4">
        <v>0</v>
      </c>
      <c r="AO1171" s="4">
        <v>0</v>
      </c>
      <c r="AP1171" s="3" t="s">
        <v>58</v>
      </c>
      <c r="AQ1171" s="3" t="s">
        <v>87</v>
      </c>
      <c r="AR1171" s="6" t="str">
        <f>HYPERLINK("http://catalog.hathitrust.org/Record/003883873","HathiTrust Record")</f>
        <v>HathiTrust Record</v>
      </c>
      <c r="AS1171" s="6" t="str">
        <f>HYPERLINK("https://creighton-primo.hosted.exlibrisgroup.com/primo-explore/search?tab=default_tab&amp;search_scope=EVERYTHING&amp;vid=01CRU&amp;lang=en_US&amp;offset=0&amp;query=any,contains,991002517019702656","Catalog Record")</f>
        <v>Catalog Record</v>
      </c>
      <c r="AT1171" s="6" t="str">
        <f>HYPERLINK("http://www.worldcat.org/oclc/32739082","WorldCat Record")</f>
        <v>WorldCat Record</v>
      </c>
      <c r="AU1171" s="3" t="s">
        <v>15206</v>
      </c>
      <c r="AV1171" s="3" t="s">
        <v>15207</v>
      </c>
      <c r="AW1171" s="3" t="s">
        <v>15208</v>
      </c>
      <c r="AX1171" s="3" t="s">
        <v>15208</v>
      </c>
      <c r="AY1171" s="3" t="s">
        <v>15209</v>
      </c>
      <c r="AZ1171" s="3" t="s">
        <v>74</v>
      </c>
      <c r="BB1171" s="3" t="s">
        <v>15210</v>
      </c>
      <c r="BC1171" s="3" t="s">
        <v>15211</v>
      </c>
      <c r="BD1171" s="3" t="s">
        <v>15212</v>
      </c>
    </row>
    <row r="1172" spans="1:56" ht="45.75" customHeight="1" x14ac:dyDescent="0.25">
      <c r="A1172" s="7" t="s">
        <v>58</v>
      </c>
      <c r="B1172" s="2" t="s">
        <v>15213</v>
      </c>
      <c r="C1172" s="2" t="s">
        <v>15214</v>
      </c>
      <c r="D1172" s="2" t="s">
        <v>15215</v>
      </c>
      <c r="F1172" s="3" t="s">
        <v>58</v>
      </c>
      <c r="G1172" s="3" t="s">
        <v>59</v>
      </c>
      <c r="H1172" s="3" t="s">
        <v>58</v>
      </c>
      <c r="I1172" s="3" t="s">
        <v>58</v>
      </c>
      <c r="J1172" s="3" t="s">
        <v>60</v>
      </c>
      <c r="K1172" s="2" t="s">
        <v>13686</v>
      </c>
      <c r="L1172" s="2" t="s">
        <v>15216</v>
      </c>
      <c r="M1172" s="3" t="s">
        <v>335</v>
      </c>
      <c r="O1172" s="3" t="s">
        <v>65</v>
      </c>
      <c r="P1172" s="3" t="s">
        <v>1282</v>
      </c>
      <c r="R1172" s="3" t="s">
        <v>67</v>
      </c>
      <c r="S1172" s="4">
        <v>2</v>
      </c>
      <c r="T1172" s="4">
        <v>2</v>
      </c>
      <c r="U1172" s="5" t="s">
        <v>15217</v>
      </c>
      <c r="V1172" s="5" t="s">
        <v>15217</v>
      </c>
      <c r="W1172" s="5" t="s">
        <v>15218</v>
      </c>
      <c r="X1172" s="5" t="s">
        <v>15218</v>
      </c>
      <c r="Y1172" s="4">
        <v>323</v>
      </c>
      <c r="Z1172" s="4">
        <v>253</v>
      </c>
      <c r="AA1172" s="4">
        <v>256</v>
      </c>
      <c r="AB1172" s="4">
        <v>1</v>
      </c>
      <c r="AC1172" s="4">
        <v>1</v>
      </c>
      <c r="AD1172" s="4">
        <v>5</v>
      </c>
      <c r="AE1172" s="4">
        <v>5</v>
      </c>
      <c r="AF1172" s="4">
        <v>1</v>
      </c>
      <c r="AG1172" s="4">
        <v>1</v>
      </c>
      <c r="AH1172" s="4">
        <v>2</v>
      </c>
      <c r="AI1172" s="4">
        <v>2</v>
      </c>
      <c r="AJ1172" s="4">
        <v>3</v>
      </c>
      <c r="AK1172" s="4">
        <v>3</v>
      </c>
      <c r="AL1172" s="4">
        <v>0</v>
      </c>
      <c r="AM1172" s="4">
        <v>0</v>
      </c>
      <c r="AN1172" s="4">
        <v>0</v>
      </c>
      <c r="AO1172" s="4">
        <v>0</v>
      </c>
      <c r="AP1172" s="3" t="s">
        <v>58</v>
      </c>
      <c r="AQ1172" s="3" t="s">
        <v>58</v>
      </c>
      <c r="AS1172" s="6" t="str">
        <f>HYPERLINK("https://creighton-primo.hosted.exlibrisgroup.com/primo-explore/search?tab=default_tab&amp;search_scope=EVERYTHING&amp;vid=01CRU&amp;lang=en_US&amp;offset=0&amp;query=any,contains,991005359549702656","Catalog Record")</f>
        <v>Catalog Record</v>
      </c>
      <c r="AT1172" s="6" t="str">
        <f>HYPERLINK("http://www.worldcat.org/oclc/430736584","WorldCat Record")</f>
        <v>WorldCat Record</v>
      </c>
      <c r="AU1172" s="3" t="s">
        <v>15219</v>
      </c>
      <c r="AV1172" s="3" t="s">
        <v>15220</v>
      </c>
      <c r="AW1172" s="3" t="s">
        <v>15221</v>
      </c>
      <c r="AX1172" s="3" t="s">
        <v>15221</v>
      </c>
      <c r="AY1172" s="3" t="s">
        <v>15222</v>
      </c>
      <c r="AZ1172" s="3" t="s">
        <v>74</v>
      </c>
      <c r="BB1172" s="3" t="s">
        <v>15223</v>
      </c>
      <c r="BC1172" s="3" t="s">
        <v>15224</v>
      </c>
      <c r="BD1172" s="3" t="s">
        <v>15225</v>
      </c>
    </row>
    <row r="1173" spans="1:56" ht="45.75" customHeight="1" x14ac:dyDescent="0.25">
      <c r="A1173" s="7" t="s">
        <v>58</v>
      </c>
      <c r="B1173" s="2" t="s">
        <v>15226</v>
      </c>
      <c r="C1173" s="2" t="s">
        <v>15227</v>
      </c>
      <c r="D1173" s="2" t="s">
        <v>15228</v>
      </c>
      <c r="F1173" s="3" t="s">
        <v>58</v>
      </c>
      <c r="G1173" s="3" t="s">
        <v>59</v>
      </c>
      <c r="H1173" s="3" t="s">
        <v>58</v>
      </c>
      <c r="I1173" s="3" t="s">
        <v>58</v>
      </c>
      <c r="J1173" s="3" t="s">
        <v>60</v>
      </c>
      <c r="K1173" s="2" t="s">
        <v>15229</v>
      </c>
      <c r="L1173" s="2" t="s">
        <v>15230</v>
      </c>
      <c r="M1173" s="3" t="s">
        <v>131</v>
      </c>
      <c r="O1173" s="3" t="s">
        <v>65</v>
      </c>
      <c r="P1173" s="3" t="s">
        <v>66</v>
      </c>
      <c r="Q1173" s="2" t="s">
        <v>15231</v>
      </c>
      <c r="R1173" s="3" t="s">
        <v>67</v>
      </c>
      <c r="S1173" s="4">
        <v>1</v>
      </c>
      <c r="T1173" s="4">
        <v>1</v>
      </c>
      <c r="U1173" s="5" t="s">
        <v>15232</v>
      </c>
      <c r="V1173" s="5" t="s">
        <v>15232</v>
      </c>
      <c r="W1173" s="5" t="s">
        <v>15232</v>
      </c>
      <c r="X1173" s="5" t="s">
        <v>15232</v>
      </c>
      <c r="Y1173" s="4">
        <v>310</v>
      </c>
      <c r="Z1173" s="4">
        <v>263</v>
      </c>
      <c r="AA1173" s="4">
        <v>268</v>
      </c>
      <c r="AB1173" s="4">
        <v>2</v>
      </c>
      <c r="AC1173" s="4">
        <v>2</v>
      </c>
      <c r="AD1173" s="4">
        <v>11</v>
      </c>
      <c r="AE1173" s="4">
        <v>11</v>
      </c>
      <c r="AF1173" s="4">
        <v>4</v>
      </c>
      <c r="AG1173" s="4">
        <v>4</v>
      </c>
      <c r="AH1173" s="4">
        <v>4</v>
      </c>
      <c r="AI1173" s="4">
        <v>4</v>
      </c>
      <c r="AJ1173" s="4">
        <v>6</v>
      </c>
      <c r="AK1173" s="4">
        <v>6</v>
      </c>
      <c r="AL1173" s="4">
        <v>1</v>
      </c>
      <c r="AM1173" s="4">
        <v>1</v>
      </c>
      <c r="AN1173" s="4">
        <v>0</v>
      </c>
      <c r="AO1173" s="4">
        <v>0</v>
      </c>
      <c r="AP1173" s="3" t="s">
        <v>58</v>
      </c>
      <c r="AQ1173" s="3" t="s">
        <v>58</v>
      </c>
      <c r="AS1173" s="6" t="str">
        <f>HYPERLINK("https://creighton-primo.hosted.exlibrisgroup.com/primo-explore/search?tab=default_tab&amp;search_scope=EVERYTHING&amp;vid=01CRU&amp;lang=en_US&amp;offset=0&amp;query=any,contains,991005115979702656","Catalog Record")</f>
        <v>Catalog Record</v>
      </c>
      <c r="AT1173" s="6" t="str">
        <f>HYPERLINK("http://www.worldcat.org/oclc/67392592","WorldCat Record")</f>
        <v>WorldCat Record</v>
      </c>
      <c r="AU1173" s="3" t="s">
        <v>15233</v>
      </c>
      <c r="AV1173" s="3" t="s">
        <v>15234</v>
      </c>
      <c r="AW1173" s="3" t="s">
        <v>15235</v>
      </c>
      <c r="AX1173" s="3" t="s">
        <v>15235</v>
      </c>
      <c r="AY1173" s="3" t="s">
        <v>15236</v>
      </c>
      <c r="AZ1173" s="3" t="s">
        <v>74</v>
      </c>
      <c r="BB1173" s="3" t="s">
        <v>15237</v>
      </c>
      <c r="BC1173" s="3" t="s">
        <v>15238</v>
      </c>
      <c r="BD1173" s="3" t="s">
        <v>15239</v>
      </c>
    </row>
    <row r="1174" spans="1:56" ht="45.75" customHeight="1" x14ac:dyDescent="0.25">
      <c r="A1174" s="7" t="s">
        <v>58</v>
      </c>
      <c r="B1174" s="2" t="s">
        <v>15240</v>
      </c>
      <c r="C1174" s="2" t="s">
        <v>15241</v>
      </c>
      <c r="D1174" s="2" t="s">
        <v>15242</v>
      </c>
      <c r="F1174" s="3" t="s">
        <v>58</v>
      </c>
      <c r="G1174" s="3" t="s">
        <v>59</v>
      </c>
      <c r="H1174" s="3" t="s">
        <v>58</v>
      </c>
      <c r="I1174" s="3" t="s">
        <v>58</v>
      </c>
      <c r="J1174" s="3" t="s">
        <v>60</v>
      </c>
      <c r="K1174" s="2" t="s">
        <v>15243</v>
      </c>
      <c r="L1174" s="2" t="s">
        <v>12267</v>
      </c>
      <c r="M1174" s="3" t="s">
        <v>713</v>
      </c>
      <c r="O1174" s="3" t="s">
        <v>65</v>
      </c>
      <c r="P1174" s="3" t="s">
        <v>132</v>
      </c>
      <c r="R1174" s="3" t="s">
        <v>67</v>
      </c>
      <c r="S1174" s="4">
        <v>3</v>
      </c>
      <c r="T1174" s="4">
        <v>3</v>
      </c>
      <c r="U1174" s="5" t="s">
        <v>12193</v>
      </c>
      <c r="V1174" s="5" t="s">
        <v>12193</v>
      </c>
      <c r="W1174" s="5" t="s">
        <v>11348</v>
      </c>
      <c r="X1174" s="5" t="s">
        <v>11348</v>
      </c>
      <c r="Y1174" s="4">
        <v>549</v>
      </c>
      <c r="Z1174" s="4">
        <v>426</v>
      </c>
      <c r="AA1174" s="4">
        <v>432</v>
      </c>
      <c r="AB1174" s="4">
        <v>4</v>
      </c>
      <c r="AC1174" s="4">
        <v>4</v>
      </c>
      <c r="AD1174" s="4">
        <v>18</v>
      </c>
      <c r="AE1174" s="4">
        <v>19</v>
      </c>
      <c r="AF1174" s="4">
        <v>6</v>
      </c>
      <c r="AG1174" s="4">
        <v>6</v>
      </c>
      <c r="AH1174" s="4">
        <v>4</v>
      </c>
      <c r="AI1174" s="4">
        <v>4</v>
      </c>
      <c r="AJ1174" s="4">
        <v>7</v>
      </c>
      <c r="AK1174" s="4">
        <v>8</v>
      </c>
      <c r="AL1174" s="4">
        <v>3</v>
      </c>
      <c r="AM1174" s="4">
        <v>3</v>
      </c>
      <c r="AN1174" s="4">
        <v>1</v>
      </c>
      <c r="AO1174" s="4">
        <v>1</v>
      </c>
      <c r="AP1174" s="3" t="s">
        <v>58</v>
      </c>
      <c r="AQ1174" s="3" t="s">
        <v>58</v>
      </c>
      <c r="AS1174" s="6" t="str">
        <f>HYPERLINK("https://creighton-primo.hosted.exlibrisgroup.com/primo-explore/search?tab=default_tab&amp;search_scope=EVERYTHING&amp;vid=01CRU&amp;lang=en_US&amp;offset=0&amp;query=any,contains,991004936709702656","Catalog Record")</f>
        <v>Catalog Record</v>
      </c>
      <c r="AT1174" s="6" t="str">
        <f>HYPERLINK("http://www.worldcat.org/oclc/6143759","WorldCat Record")</f>
        <v>WorldCat Record</v>
      </c>
      <c r="AU1174" s="3" t="s">
        <v>15244</v>
      </c>
      <c r="AV1174" s="3" t="s">
        <v>15245</v>
      </c>
      <c r="AW1174" s="3" t="s">
        <v>15246</v>
      </c>
      <c r="AX1174" s="3" t="s">
        <v>15246</v>
      </c>
      <c r="AY1174" s="3" t="s">
        <v>15247</v>
      </c>
      <c r="AZ1174" s="3" t="s">
        <v>74</v>
      </c>
      <c r="BB1174" s="3" t="s">
        <v>15248</v>
      </c>
      <c r="BC1174" s="3" t="s">
        <v>15249</v>
      </c>
      <c r="BD1174" s="3" t="s">
        <v>15250</v>
      </c>
    </row>
    <row r="1175" spans="1:56" ht="45.75" customHeight="1" x14ac:dyDescent="0.25">
      <c r="A1175" s="7" t="s">
        <v>58</v>
      </c>
      <c r="B1175" s="2" t="s">
        <v>15251</v>
      </c>
      <c r="C1175" s="2" t="s">
        <v>15252</v>
      </c>
      <c r="D1175" s="2" t="s">
        <v>15253</v>
      </c>
      <c r="F1175" s="3" t="s">
        <v>58</v>
      </c>
      <c r="G1175" s="3" t="s">
        <v>59</v>
      </c>
      <c r="H1175" s="3" t="s">
        <v>58</v>
      </c>
      <c r="I1175" s="3" t="s">
        <v>58</v>
      </c>
      <c r="J1175" s="3" t="s">
        <v>60</v>
      </c>
      <c r="K1175" s="2" t="s">
        <v>15254</v>
      </c>
      <c r="L1175" s="2" t="s">
        <v>15255</v>
      </c>
      <c r="M1175" s="3" t="s">
        <v>290</v>
      </c>
      <c r="O1175" s="3" t="s">
        <v>65</v>
      </c>
      <c r="P1175" s="3" t="s">
        <v>84</v>
      </c>
      <c r="R1175" s="3" t="s">
        <v>67</v>
      </c>
      <c r="S1175" s="4">
        <v>1</v>
      </c>
      <c r="T1175" s="4">
        <v>1</v>
      </c>
      <c r="U1175" s="5" t="s">
        <v>6146</v>
      </c>
      <c r="V1175" s="5" t="s">
        <v>6146</v>
      </c>
      <c r="W1175" s="5" t="s">
        <v>6146</v>
      </c>
      <c r="X1175" s="5" t="s">
        <v>6146</v>
      </c>
      <c r="Y1175" s="4">
        <v>325</v>
      </c>
      <c r="Z1175" s="4">
        <v>269</v>
      </c>
      <c r="AA1175" s="4">
        <v>292</v>
      </c>
      <c r="AB1175" s="4">
        <v>2</v>
      </c>
      <c r="AC1175" s="4">
        <v>2</v>
      </c>
      <c r="AD1175" s="4">
        <v>15</v>
      </c>
      <c r="AE1175" s="4">
        <v>16</v>
      </c>
      <c r="AF1175" s="4">
        <v>6</v>
      </c>
      <c r="AG1175" s="4">
        <v>7</v>
      </c>
      <c r="AH1175" s="4">
        <v>4</v>
      </c>
      <c r="AI1175" s="4">
        <v>4</v>
      </c>
      <c r="AJ1175" s="4">
        <v>8</v>
      </c>
      <c r="AK1175" s="4">
        <v>9</v>
      </c>
      <c r="AL1175" s="4">
        <v>1</v>
      </c>
      <c r="AM1175" s="4">
        <v>1</v>
      </c>
      <c r="AN1175" s="4">
        <v>1</v>
      </c>
      <c r="AO1175" s="4">
        <v>1</v>
      </c>
      <c r="AP1175" s="3" t="s">
        <v>58</v>
      </c>
      <c r="AQ1175" s="3" t="s">
        <v>87</v>
      </c>
      <c r="AR1175" s="6" t="str">
        <f>HYPERLINK("http://catalog.hathitrust.org/Record/004584392","HathiTrust Record")</f>
        <v>HathiTrust Record</v>
      </c>
      <c r="AS1175" s="6" t="str">
        <f>HYPERLINK("https://creighton-primo.hosted.exlibrisgroup.com/primo-explore/search?tab=default_tab&amp;search_scope=EVERYTHING&amp;vid=01CRU&amp;lang=en_US&amp;offset=0&amp;query=any,contains,991003656519702656","Catalog Record")</f>
        <v>Catalog Record</v>
      </c>
      <c r="AT1175" s="6" t="str">
        <f>HYPERLINK("http://www.worldcat.org/oclc/46422041","WorldCat Record")</f>
        <v>WorldCat Record</v>
      </c>
      <c r="AU1175" s="3" t="s">
        <v>15256</v>
      </c>
      <c r="AV1175" s="3" t="s">
        <v>15257</v>
      </c>
      <c r="AW1175" s="3" t="s">
        <v>15258</v>
      </c>
      <c r="AX1175" s="3" t="s">
        <v>15258</v>
      </c>
      <c r="AY1175" s="3" t="s">
        <v>15259</v>
      </c>
      <c r="AZ1175" s="3" t="s">
        <v>74</v>
      </c>
      <c r="BB1175" s="3" t="s">
        <v>15260</v>
      </c>
      <c r="BC1175" s="3" t="s">
        <v>15261</v>
      </c>
      <c r="BD1175" s="3" t="s">
        <v>15262</v>
      </c>
    </row>
    <row r="1176" spans="1:56" ht="45.75" customHeight="1" x14ac:dyDescent="0.25">
      <c r="A1176" s="7" t="s">
        <v>58</v>
      </c>
      <c r="B1176" s="2" t="s">
        <v>15263</v>
      </c>
      <c r="C1176" s="2" t="s">
        <v>15264</v>
      </c>
      <c r="D1176" s="2" t="s">
        <v>15265</v>
      </c>
      <c r="F1176" s="3" t="s">
        <v>58</v>
      </c>
      <c r="G1176" s="3" t="s">
        <v>59</v>
      </c>
      <c r="H1176" s="3" t="s">
        <v>58</v>
      </c>
      <c r="I1176" s="3" t="s">
        <v>58</v>
      </c>
      <c r="J1176" s="3" t="s">
        <v>60</v>
      </c>
      <c r="K1176" s="2" t="s">
        <v>15254</v>
      </c>
      <c r="L1176" s="2" t="s">
        <v>15266</v>
      </c>
      <c r="M1176" s="3" t="s">
        <v>1254</v>
      </c>
      <c r="O1176" s="3" t="s">
        <v>65</v>
      </c>
      <c r="P1176" s="3" t="s">
        <v>15267</v>
      </c>
      <c r="R1176" s="3" t="s">
        <v>67</v>
      </c>
      <c r="S1176" s="4">
        <v>6</v>
      </c>
      <c r="T1176" s="4">
        <v>6</v>
      </c>
      <c r="U1176" s="5" t="s">
        <v>12193</v>
      </c>
      <c r="V1176" s="5" t="s">
        <v>12193</v>
      </c>
      <c r="W1176" s="5" t="s">
        <v>11348</v>
      </c>
      <c r="X1176" s="5" t="s">
        <v>11348</v>
      </c>
      <c r="Y1176" s="4">
        <v>469</v>
      </c>
      <c r="Z1176" s="4">
        <v>361</v>
      </c>
      <c r="AA1176" s="4">
        <v>405</v>
      </c>
      <c r="AB1176" s="4">
        <v>3</v>
      </c>
      <c r="AC1176" s="4">
        <v>3</v>
      </c>
      <c r="AD1176" s="4">
        <v>17</v>
      </c>
      <c r="AE1176" s="4">
        <v>18</v>
      </c>
      <c r="AF1176" s="4">
        <v>6</v>
      </c>
      <c r="AG1176" s="4">
        <v>7</v>
      </c>
      <c r="AH1176" s="4">
        <v>4</v>
      </c>
      <c r="AI1176" s="4">
        <v>4</v>
      </c>
      <c r="AJ1176" s="4">
        <v>7</v>
      </c>
      <c r="AK1176" s="4">
        <v>8</v>
      </c>
      <c r="AL1176" s="4">
        <v>2</v>
      </c>
      <c r="AM1176" s="4">
        <v>2</v>
      </c>
      <c r="AN1176" s="4">
        <v>1</v>
      </c>
      <c r="AO1176" s="4">
        <v>1</v>
      </c>
      <c r="AP1176" s="3" t="s">
        <v>58</v>
      </c>
      <c r="AQ1176" s="3" t="s">
        <v>58</v>
      </c>
      <c r="AS1176" s="6" t="str">
        <f>HYPERLINK("https://creighton-primo.hosted.exlibrisgroup.com/primo-explore/search?tab=default_tab&amp;search_scope=EVERYTHING&amp;vid=01CRU&amp;lang=en_US&amp;offset=0&amp;query=any,contains,991000450159702656","Catalog Record")</f>
        <v>Catalog Record</v>
      </c>
      <c r="AT1176" s="6" t="str">
        <f>HYPERLINK("http://www.worldcat.org/oclc/10878084","WorldCat Record")</f>
        <v>WorldCat Record</v>
      </c>
      <c r="AU1176" s="3" t="s">
        <v>15268</v>
      </c>
      <c r="AV1176" s="3" t="s">
        <v>15269</v>
      </c>
      <c r="AW1176" s="3" t="s">
        <v>15270</v>
      </c>
      <c r="AX1176" s="3" t="s">
        <v>15270</v>
      </c>
      <c r="AY1176" s="3" t="s">
        <v>15271</v>
      </c>
      <c r="AZ1176" s="3" t="s">
        <v>74</v>
      </c>
      <c r="BB1176" s="3" t="s">
        <v>15272</v>
      </c>
      <c r="BC1176" s="3" t="s">
        <v>15273</v>
      </c>
      <c r="BD1176" s="3" t="s">
        <v>15274</v>
      </c>
    </row>
    <row r="1177" spans="1:56" ht="45.75" customHeight="1" x14ac:dyDescent="0.25">
      <c r="A1177" s="7" t="s">
        <v>58</v>
      </c>
      <c r="B1177" s="2" t="s">
        <v>15275</v>
      </c>
      <c r="C1177" s="2" t="s">
        <v>15276</v>
      </c>
      <c r="D1177" s="2" t="s">
        <v>15277</v>
      </c>
      <c r="F1177" s="3" t="s">
        <v>58</v>
      </c>
      <c r="G1177" s="3" t="s">
        <v>59</v>
      </c>
      <c r="H1177" s="3" t="s">
        <v>58</v>
      </c>
      <c r="I1177" s="3" t="s">
        <v>58</v>
      </c>
      <c r="J1177" s="3" t="s">
        <v>60</v>
      </c>
      <c r="K1177" s="2" t="s">
        <v>15278</v>
      </c>
      <c r="L1177" s="2" t="s">
        <v>15279</v>
      </c>
      <c r="M1177" s="3" t="s">
        <v>800</v>
      </c>
      <c r="O1177" s="3" t="s">
        <v>65</v>
      </c>
      <c r="P1177" s="3" t="s">
        <v>175</v>
      </c>
      <c r="R1177" s="3" t="s">
        <v>67</v>
      </c>
      <c r="S1177" s="4">
        <v>2</v>
      </c>
      <c r="T1177" s="4">
        <v>2</v>
      </c>
      <c r="U1177" s="5" t="s">
        <v>12193</v>
      </c>
      <c r="V1177" s="5" t="s">
        <v>12193</v>
      </c>
      <c r="W1177" s="5" t="s">
        <v>2133</v>
      </c>
      <c r="X1177" s="5" t="s">
        <v>2133</v>
      </c>
      <c r="Y1177" s="4">
        <v>45</v>
      </c>
      <c r="Z1177" s="4">
        <v>10</v>
      </c>
      <c r="AA1177" s="4">
        <v>347</v>
      </c>
      <c r="AB1177" s="4">
        <v>1</v>
      </c>
      <c r="AC1177" s="4">
        <v>3</v>
      </c>
      <c r="AD1177" s="4">
        <v>1</v>
      </c>
      <c r="AE1177" s="4">
        <v>19</v>
      </c>
      <c r="AF1177" s="4">
        <v>0</v>
      </c>
      <c r="AG1177" s="4">
        <v>6</v>
      </c>
      <c r="AH1177" s="4">
        <v>1</v>
      </c>
      <c r="AI1177" s="4">
        <v>7</v>
      </c>
      <c r="AJ1177" s="4">
        <v>1</v>
      </c>
      <c r="AK1177" s="4">
        <v>10</v>
      </c>
      <c r="AL1177" s="4">
        <v>0</v>
      </c>
      <c r="AM1177" s="4">
        <v>2</v>
      </c>
      <c r="AN1177" s="4">
        <v>0</v>
      </c>
      <c r="AO1177" s="4">
        <v>0</v>
      </c>
      <c r="AP1177" s="3" t="s">
        <v>58</v>
      </c>
      <c r="AQ1177" s="3" t="s">
        <v>58</v>
      </c>
      <c r="AS1177" s="6" t="str">
        <f>HYPERLINK("https://creighton-primo.hosted.exlibrisgroup.com/primo-explore/search?tab=default_tab&amp;search_scope=EVERYTHING&amp;vid=01CRU&amp;lang=en_US&amp;offset=0&amp;query=any,contains,991003687209702656","Catalog Record")</f>
        <v>Catalog Record</v>
      </c>
      <c r="AT1177" s="6" t="str">
        <f>HYPERLINK("http://www.worldcat.org/oclc/59819318","WorldCat Record")</f>
        <v>WorldCat Record</v>
      </c>
      <c r="AU1177" s="3" t="s">
        <v>15280</v>
      </c>
      <c r="AV1177" s="3" t="s">
        <v>15281</v>
      </c>
      <c r="AW1177" s="3" t="s">
        <v>15282</v>
      </c>
      <c r="AX1177" s="3" t="s">
        <v>15282</v>
      </c>
      <c r="AY1177" s="3" t="s">
        <v>15283</v>
      </c>
      <c r="AZ1177" s="3" t="s">
        <v>74</v>
      </c>
      <c r="BB1177" s="3" t="s">
        <v>15284</v>
      </c>
      <c r="BC1177" s="3" t="s">
        <v>15285</v>
      </c>
      <c r="BD1177" s="3" t="s">
        <v>15286</v>
      </c>
    </row>
    <row r="1178" spans="1:56" ht="45.75" customHeight="1" x14ac:dyDescent="0.25">
      <c r="A1178" s="7" t="s">
        <v>58</v>
      </c>
      <c r="B1178" s="2" t="s">
        <v>15287</v>
      </c>
      <c r="C1178" s="2" t="s">
        <v>15288</v>
      </c>
      <c r="D1178" s="2" t="s">
        <v>15289</v>
      </c>
      <c r="F1178" s="3" t="s">
        <v>58</v>
      </c>
      <c r="G1178" s="3" t="s">
        <v>59</v>
      </c>
      <c r="H1178" s="3" t="s">
        <v>58</v>
      </c>
      <c r="I1178" s="3" t="s">
        <v>58</v>
      </c>
      <c r="J1178" s="3" t="s">
        <v>60</v>
      </c>
      <c r="K1178" s="2" t="s">
        <v>15290</v>
      </c>
      <c r="L1178" s="2" t="s">
        <v>15291</v>
      </c>
      <c r="M1178" s="3" t="s">
        <v>1032</v>
      </c>
      <c r="O1178" s="3" t="s">
        <v>65</v>
      </c>
      <c r="P1178" s="3" t="s">
        <v>175</v>
      </c>
      <c r="Q1178" s="2" t="s">
        <v>15292</v>
      </c>
      <c r="R1178" s="3" t="s">
        <v>67</v>
      </c>
      <c r="S1178" s="4">
        <v>4</v>
      </c>
      <c r="T1178" s="4">
        <v>4</v>
      </c>
      <c r="U1178" s="5" t="s">
        <v>502</v>
      </c>
      <c r="V1178" s="5" t="s">
        <v>502</v>
      </c>
      <c r="W1178" s="5" t="s">
        <v>15293</v>
      </c>
      <c r="X1178" s="5" t="s">
        <v>15293</v>
      </c>
      <c r="Y1178" s="4">
        <v>321</v>
      </c>
      <c r="Z1178" s="4">
        <v>271</v>
      </c>
      <c r="AA1178" s="4">
        <v>295</v>
      </c>
      <c r="AB1178" s="4">
        <v>2</v>
      </c>
      <c r="AC1178" s="4">
        <v>2</v>
      </c>
      <c r="AD1178" s="4">
        <v>16</v>
      </c>
      <c r="AE1178" s="4">
        <v>16</v>
      </c>
      <c r="AF1178" s="4">
        <v>6</v>
      </c>
      <c r="AG1178" s="4">
        <v>6</v>
      </c>
      <c r="AH1178" s="4">
        <v>5</v>
      </c>
      <c r="AI1178" s="4">
        <v>5</v>
      </c>
      <c r="AJ1178" s="4">
        <v>10</v>
      </c>
      <c r="AK1178" s="4">
        <v>10</v>
      </c>
      <c r="AL1178" s="4">
        <v>1</v>
      </c>
      <c r="AM1178" s="4">
        <v>1</v>
      </c>
      <c r="AN1178" s="4">
        <v>0</v>
      </c>
      <c r="AO1178" s="4">
        <v>0</v>
      </c>
      <c r="AP1178" s="3" t="s">
        <v>58</v>
      </c>
      <c r="AQ1178" s="3" t="s">
        <v>58</v>
      </c>
      <c r="AS1178" s="6" t="str">
        <f>HYPERLINK("https://creighton-primo.hosted.exlibrisgroup.com/primo-explore/search?tab=default_tab&amp;search_scope=EVERYTHING&amp;vid=01CRU&amp;lang=en_US&amp;offset=0&amp;query=any,contains,991002753909702656","Catalog Record")</f>
        <v>Catalog Record</v>
      </c>
      <c r="AT1178" s="6" t="str">
        <f>HYPERLINK("http://www.worldcat.org/oclc/36130693","WorldCat Record")</f>
        <v>WorldCat Record</v>
      </c>
      <c r="AU1178" s="3" t="s">
        <v>15294</v>
      </c>
      <c r="AV1178" s="3" t="s">
        <v>15295</v>
      </c>
      <c r="AW1178" s="3" t="s">
        <v>15296</v>
      </c>
      <c r="AX1178" s="3" t="s">
        <v>15296</v>
      </c>
      <c r="AY1178" s="3" t="s">
        <v>15297</v>
      </c>
      <c r="AZ1178" s="3" t="s">
        <v>74</v>
      </c>
      <c r="BB1178" s="3" t="s">
        <v>15298</v>
      </c>
      <c r="BC1178" s="3" t="s">
        <v>15299</v>
      </c>
      <c r="BD1178" s="3" t="s">
        <v>15300</v>
      </c>
    </row>
    <row r="1179" spans="1:56" ht="45.75" customHeight="1" x14ac:dyDescent="0.25">
      <c r="A1179" s="7" t="s">
        <v>58</v>
      </c>
      <c r="B1179" s="2" t="s">
        <v>15301</v>
      </c>
      <c r="C1179" s="2" t="s">
        <v>15302</v>
      </c>
      <c r="D1179" s="2" t="s">
        <v>15303</v>
      </c>
      <c r="F1179" s="3" t="s">
        <v>58</v>
      </c>
      <c r="G1179" s="3" t="s">
        <v>59</v>
      </c>
      <c r="H1179" s="3" t="s">
        <v>58</v>
      </c>
      <c r="I1179" s="3" t="s">
        <v>58</v>
      </c>
      <c r="J1179" s="3" t="s">
        <v>60</v>
      </c>
      <c r="K1179" s="2" t="s">
        <v>15304</v>
      </c>
      <c r="L1179" s="2" t="s">
        <v>15305</v>
      </c>
      <c r="M1179" s="3" t="s">
        <v>2324</v>
      </c>
      <c r="O1179" s="3" t="s">
        <v>1527</v>
      </c>
      <c r="P1179" s="3" t="s">
        <v>1528</v>
      </c>
      <c r="Q1179" s="2" t="s">
        <v>15306</v>
      </c>
      <c r="R1179" s="3" t="s">
        <v>67</v>
      </c>
      <c r="S1179" s="4">
        <v>0</v>
      </c>
      <c r="T1179" s="4">
        <v>0</v>
      </c>
      <c r="U1179" s="5" t="s">
        <v>15307</v>
      </c>
      <c r="V1179" s="5" t="s">
        <v>15307</v>
      </c>
      <c r="W1179" s="5" t="s">
        <v>11348</v>
      </c>
      <c r="X1179" s="5" t="s">
        <v>11348</v>
      </c>
      <c r="Y1179" s="4">
        <v>29</v>
      </c>
      <c r="Z1179" s="4">
        <v>17</v>
      </c>
      <c r="AA1179" s="4">
        <v>18</v>
      </c>
      <c r="AB1179" s="4">
        <v>1</v>
      </c>
      <c r="AC1179" s="4">
        <v>1</v>
      </c>
      <c r="AD1179" s="4">
        <v>0</v>
      </c>
      <c r="AE1179" s="4">
        <v>0</v>
      </c>
      <c r="AF1179" s="4">
        <v>0</v>
      </c>
      <c r="AG1179" s="4">
        <v>0</v>
      </c>
      <c r="AH1179" s="4">
        <v>0</v>
      </c>
      <c r="AI1179" s="4">
        <v>0</v>
      </c>
      <c r="AJ1179" s="4">
        <v>0</v>
      </c>
      <c r="AK1179" s="4">
        <v>0</v>
      </c>
      <c r="AL1179" s="4">
        <v>0</v>
      </c>
      <c r="AM1179" s="4">
        <v>0</v>
      </c>
      <c r="AN1179" s="4">
        <v>0</v>
      </c>
      <c r="AO1179" s="4">
        <v>0</v>
      </c>
      <c r="AP1179" s="3" t="s">
        <v>58</v>
      </c>
      <c r="AQ1179" s="3" t="s">
        <v>87</v>
      </c>
      <c r="AR1179" s="6" t="str">
        <f>HYPERLINK("http://catalog.hathitrust.org/Record/009512966","HathiTrust Record")</f>
        <v>HathiTrust Record</v>
      </c>
      <c r="AS1179" s="6" t="str">
        <f>HYPERLINK("https://creighton-primo.hosted.exlibrisgroup.com/primo-explore/search?tab=default_tab&amp;search_scope=EVERYTHING&amp;vid=01CRU&amp;lang=en_US&amp;offset=0&amp;query=any,contains,991000930029702656","Catalog Record")</f>
        <v>Catalog Record</v>
      </c>
      <c r="AT1179" s="6" t="str">
        <f>HYPERLINK("http://www.worldcat.org/oclc/14259373","WorldCat Record")</f>
        <v>WorldCat Record</v>
      </c>
      <c r="AU1179" s="3" t="s">
        <v>15308</v>
      </c>
      <c r="AV1179" s="3" t="s">
        <v>15309</v>
      </c>
      <c r="AW1179" s="3" t="s">
        <v>15310</v>
      </c>
      <c r="AX1179" s="3" t="s">
        <v>15310</v>
      </c>
      <c r="AY1179" s="3" t="s">
        <v>15311</v>
      </c>
      <c r="AZ1179" s="3" t="s">
        <v>74</v>
      </c>
      <c r="BB1179" s="3" t="s">
        <v>15312</v>
      </c>
      <c r="BC1179" s="3" t="s">
        <v>15313</v>
      </c>
      <c r="BD1179" s="3" t="s">
        <v>15314</v>
      </c>
    </row>
    <row r="1180" spans="1:56" ht="45.75" customHeight="1" x14ac:dyDescent="0.25">
      <c r="A1180" s="7" t="s">
        <v>58</v>
      </c>
      <c r="B1180" s="2" t="s">
        <v>15315</v>
      </c>
      <c r="C1180" s="2" t="s">
        <v>15316</v>
      </c>
      <c r="D1180" s="2" t="s">
        <v>15317</v>
      </c>
      <c r="F1180" s="3" t="s">
        <v>58</v>
      </c>
      <c r="G1180" s="3" t="s">
        <v>59</v>
      </c>
      <c r="H1180" s="3" t="s">
        <v>58</v>
      </c>
      <c r="I1180" s="3" t="s">
        <v>58</v>
      </c>
      <c r="J1180" s="3" t="s">
        <v>60</v>
      </c>
      <c r="L1180" s="2" t="s">
        <v>15318</v>
      </c>
      <c r="M1180" s="3" t="s">
        <v>220</v>
      </c>
      <c r="O1180" s="3" t="s">
        <v>5719</v>
      </c>
      <c r="P1180" s="3" t="s">
        <v>6595</v>
      </c>
      <c r="Q1180" s="2" t="s">
        <v>15319</v>
      </c>
      <c r="R1180" s="3" t="s">
        <v>67</v>
      </c>
      <c r="S1180" s="4">
        <v>1</v>
      </c>
      <c r="T1180" s="4">
        <v>1</v>
      </c>
      <c r="U1180" s="5" t="s">
        <v>13611</v>
      </c>
      <c r="V1180" s="5" t="s">
        <v>13611</v>
      </c>
      <c r="W1180" s="5" t="s">
        <v>13611</v>
      </c>
      <c r="X1180" s="5" t="s">
        <v>13611</v>
      </c>
      <c r="Y1180" s="4">
        <v>53</v>
      </c>
      <c r="Z1180" s="4">
        <v>30</v>
      </c>
      <c r="AA1180" s="4">
        <v>30</v>
      </c>
      <c r="AB1180" s="4">
        <v>1</v>
      </c>
      <c r="AC1180" s="4">
        <v>1</v>
      </c>
      <c r="AD1180" s="4">
        <v>0</v>
      </c>
      <c r="AE1180" s="4">
        <v>0</v>
      </c>
      <c r="AF1180" s="4">
        <v>0</v>
      </c>
      <c r="AG1180" s="4">
        <v>0</v>
      </c>
      <c r="AH1180" s="4">
        <v>0</v>
      </c>
      <c r="AI1180" s="4">
        <v>0</v>
      </c>
      <c r="AJ1180" s="4">
        <v>0</v>
      </c>
      <c r="AK1180" s="4">
        <v>0</v>
      </c>
      <c r="AL1180" s="4">
        <v>0</v>
      </c>
      <c r="AM1180" s="4">
        <v>0</v>
      </c>
      <c r="AN1180" s="4">
        <v>0</v>
      </c>
      <c r="AO1180" s="4">
        <v>0</v>
      </c>
      <c r="AP1180" s="3" t="s">
        <v>58</v>
      </c>
      <c r="AQ1180" s="3" t="s">
        <v>58</v>
      </c>
      <c r="AS1180" s="6" t="str">
        <f>HYPERLINK("https://creighton-primo.hosted.exlibrisgroup.com/primo-explore/search?tab=default_tab&amp;search_scope=EVERYTHING&amp;vid=01CRU&amp;lang=en_US&amp;offset=0&amp;query=any,contains,991003476649702656","Catalog Record")</f>
        <v>Catalog Record</v>
      </c>
      <c r="AT1180" s="6" t="str">
        <f>HYPERLINK("http://www.worldcat.org/oclc/43403144","WorldCat Record")</f>
        <v>WorldCat Record</v>
      </c>
      <c r="AU1180" s="3" t="s">
        <v>15320</v>
      </c>
      <c r="AV1180" s="3" t="s">
        <v>15321</v>
      </c>
      <c r="AW1180" s="3" t="s">
        <v>15322</v>
      </c>
      <c r="AX1180" s="3" t="s">
        <v>15322</v>
      </c>
      <c r="AY1180" s="3" t="s">
        <v>15323</v>
      </c>
      <c r="AZ1180" s="3" t="s">
        <v>74</v>
      </c>
      <c r="BB1180" s="3" t="s">
        <v>15324</v>
      </c>
      <c r="BC1180" s="3" t="s">
        <v>15325</v>
      </c>
      <c r="BD1180" s="3" t="s">
        <v>15326</v>
      </c>
    </row>
    <row r="1181" spans="1:56" ht="45.75" customHeight="1" x14ac:dyDescent="0.25">
      <c r="A1181" s="7" t="s">
        <v>58</v>
      </c>
      <c r="B1181" s="2" t="s">
        <v>15327</v>
      </c>
      <c r="C1181" s="2" t="s">
        <v>15328</v>
      </c>
      <c r="D1181" s="2" t="s">
        <v>15329</v>
      </c>
      <c r="F1181" s="3" t="s">
        <v>58</v>
      </c>
      <c r="G1181" s="3" t="s">
        <v>59</v>
      </c>
      <c r="H1181" s="3" t="s">
        <v>58</v>
      </c>
      <c r="I1181" s="3" t="s">
        <v>58</v>
      </c>
      <c r="J1181" s="3" t="s">
        <v>60</v>
      </c>
      <c r="L1181" s="2" t="s">
        <v>15330</v>
      </c>
      <c r="M1181" s="3" t="s">
        <v>923</v>
      </c>
      <c r="O1181" s="3" t="s">
        <v>65</v>
      </c>
      <c r="P1181" s="3" t="s">
        <v>148</v>
      </c>
      <c r="R1181" s="3" t="s">
        <v>67</v>
      </c>
      <c r="S1181" s="4">
        <v>10</v>
      </c>
      <c r="T1181" s="4">
        <v>10</v>
      </c>
      <c r="U1181" s="5" t="s">
        <v>15331</v>
      </c>
      <c r="V1181" s="5" t="s">
        <v>15331</v>
      </c>
      <c r="W1181" s="5" t="s">
        <v>15332</v>
      </c>
      <c r="X1181" s="5" t="s">
        <v>15332</v>
      </c>
      <c r="Y1181" s="4">
        <v>398</v>
      </c>
      <c r="Z1181" s="4">
        <v>341</v>
      </c>
      <c r="AA1181" s="4">
        <v>348</v>
      </c>
      <c r="AB1181" s="4">
        <v>5</v>
      </c>
      <c r="AC1181" s="4">
        <v>5</v>
      </c>
      <c r="AD1181" s="4">
        <v>9</v>
      </c>
      <c r="AE1181" s="4">
        <v>9</v>
      </c>
      <c r="AF1181" s="4">
        <v>3</v>
      </c>
      <c r="AG1181" s="4">
        <v>3</v>
      </c>
      <c r="AH1181" s="4">
        <v>1</v>
      </c>
      <c r="AI1181" s="4">
        <v>1</v>
      </c>
      <c r="AJ1181" s="4">
        <v>2</v>
      </c>
      <c r="AK1181" s="4">
        <v>2</v>
      </c>
      <c r="AL1181" s="4">
        <v>3</v>
      </c>
      <c r="AM1181" s="4">
        <v>3</v>
      </c>
      <c r="AN1181" s="4">
        <v>0</v>
      </c>
      <c r="AO1181" s="4">
        <v>0</v>
      </c>
      <c r="AP1181" s="3" t="s">
        <v>58</v>
      </c>
      <c r="AQ1181" s="3" t="s">
        <v>87</v>
      </c>
      <c r="AR1181" s="6" t="str">
        <f>HYPERLINK("http://catalog.hathitrust.org/Record/007559464","HathiTrust Record")</f>
        <v>HathiTrust Record</v>
      </c>
      <c r="AS1181" s="6" t="str">
        <f>HYPERLINK("https://creighton-primo.hosted.exlibrisgroup.com/primo-explore/search?tab=default_tab&amp;search_scope=EVERYTHING&amp;vid=01CRU&amp;lang=en_US&amp;offset=0&amp;query=any,contains,991005125189702656","Catalog Record")</f>
        <v>Catalog Record</v>
      </c>
      <c r="AT1181" s="6" t="str">
        <f>HYPERLINK("http://www.worldcat.org/oclc/7553059","WorldCat Record")</f>
        <v>WorldCat Record</v>
      </c>
      <c r="AU1181" s="3" t="s">
        <v>15333</v>
      </c>
      <c r="AV1181" s="3" t="s">
        <v>15334</v>
      </c>
      <c r="AW1181" s="3" t="s">
        <v>15335</v>
      </c>
      <c r="AX1181" s="3" t="s">
        <v>15335</v>
      </c>
      <c r="AY1181" s="3" t="s">
        <v>15336</v>
      </c>
      <c r="AZ1181" s="3" t="s">
        <v>74</v>
      </c>
      <c r="BB1181" s="3" t="s">
        <v>15337</v>
      </c>
      <c r="BC1181" s="3" t="s">
        <v>15338</v>
      </c>
      <c r="BD1181" s="3" t="s">
        <v>15339</v>
      </c>
    </row>
    <row r="1182" spans="1:56" ht="45.75" customHeight="1" x14ac:dyDescent="0.25">
      <c r="A1182" s="7" t="s">
        <v>58</v>
      </c>
      <c r="B1182" s="2" t="s">
        <v>15340</v>
      </c>
      <c r="C1182" s="2" t="s">
        <v>15341</v>
      </c>
      <c r="D1182" s="2" t="s">
        <v>15342</v>
      </c>
      <c r="F1182" s="3" t="s">
        <v>58</v>
      </c>
      <c r="G1182" s="3" t="s">
        <v>59</v>
      </c>
      <c r="H1182" s="3" t="s">
        <v>58</v>
      </c>
      <c r="I1182" s="3" t="s">
        <v>58</v>
      </c>
      <c r="J1182" s="3" t="s">
        <v>60</v>
      </c>
      <c r="K1182" s="2" t="s">
        <v>15343</v>
      </c>
      <c r="L1182" s="2" t="s">
        <v>15344</v>
      </c>
      <c r="M1182" s="3" t="s">
        <v>3601</v>
      </c>
      <c r="O1182" s="3" t="s">
        <v>65</v>
      </c>
      <c r="P1182" s="3" t="s">
        <v>84</v>
      </c>
      <c r="R1182" s="3" t="s">
        <v>67</v>
      </c>
      <c r="S1182" s="4">
        <v>15</v>
      </c>
      <c r="T1182" s="4">
        <v>15</v>
      </c>
      <c r="U1182" s="5" t="s">
        <v>15345</v>
      </c>
      <c r="V1182" s="5" t="s">
        <v>15345</v>
      </c>
      <c r="W1182" s="5" t="s">
        <v>15346</v>
      </c>
      <c r="X1182" s="5" t="s">
        <v>15346</v>
      </c>
      <c r="Y1182" s="4">
        <v>756</v>
      </c>
      <c r="Z1182" s="4">
        <v>635</v>
      </c>
      <c r="AA1182" s="4">
        <v>642</v>
      </c>
      <c r="AB1182" s="4">
        <v>8</v>
      </c>
      <c r="AC1182" s="4">
        <v>8</v>
      </c>
      <c r="AD1182" s="4">
        <v>28</v>
      </c>
      <c r="AE1182" s="4">
        <v>28</v>
      </c>
      <c r="AF1182" s="4">
        <v>11</v>
      </c>
      <c r="AG1182" s="4">
        <v>11</v>
      </c>
      <c r="AH1182" s="4">
        <v>4</v>
      </c>
      <c r="AI1182" s="4">
        <v>4</v>
      </c>
      <c r="AJ1182" s="4">
        <v>10</v>
      </c>
      <c r="AK1182" s="4">
        <v>10</v>
      </c>
      <c r="AL1182" s="4">
        <v>6</v>
      </c>
      <c r="AM1182" s="4">
        <v>6</v>
      </c>
      <c r="AN1182" s="4">
        <v>0</v>
      </c>
      <c r="AO1182" s="4">
        <v>0</v>
      </c>
      <c r="AP1182" s="3" t="s">
        <v>58</v>
      </c>
      <c r="AQ1182" s="3" t="s">
        <v>87</v>
      </c>
      <c r="AR1182" s="6" t="str">
        <f>HYPERLINK("http://catalog.hathitrust.org/Record/001132638","HathiTrust Record")</f>
        <v>HathiTrust Record</v>
      </c>
      <c r="AS1182" s="6" t="str">
        <f>HYPERLINK("https://creighton-primo.hosted.exlibrisgroup.com/primo-explore/search?tab=default_tab&amp;search_scope=EVERYTHING&amp;vid=01CRU&amp;lang=en_US&amp;offset=0&amp;query=any,contains,991002759639702656","Catalog Record")</f>
        <v>Catalog Record</v>
      </c>
      <c r="AT1182" s="6" t="str">
        <f>HYPERLINK("http://www.worldcat.org/oclc/427509","WorldCat Record")</f>
        <v>WorldCat Record</v>
      </c>
      <c r="AU1182" s="3" t="s">
        <v>15347</v>
      </c>
      <c r="AV1182" s="3" t="s">
        <v>15348</v>
      </c>
      <c r="AW1182" s="3" t="s">
        <v>15349</v>
      </c>
      <c r="AX1182" s="3" t="s">
        <v>15349</v>
      </c>
      <c r="AY1182" s="3" t="s">
        <v>15350</v>
      </c>
      <c r="AZ1182" s="3" t="s">
        <v>74</v>
      </c>
      <c r="BB1182" s="3" t="s">
        <v>15351</v>
      </c>
      <c r="BC1182" s="3" t="s">
        <v>15352</v>
      </c>
      <c r="BD1182" s="3" t="s">
        <v>15353</v>
      </c>
    </row>
    <row r="1183" spans="1:56" ht="45.75" customHeight="1" x14ac:dyDescent="0.25">
      <c r="A1183" s="7" t="s">
        <v>58</v>
      </c>
      <c r="B1183" s="2" t="s">
        <v>15354</v>
      </c>
      <c r="C1183" s="2" t="s">
        <v>15355</v>
      </c>
      <c r="D1183" s="2" t="s">
        <v>15356</v>
      </c>
      <c r="F1183" s="3" t="s">
        <v>58</v>
      </c>
      <c r="G1183" s="3" t="s">
        <v>59</v>
      </c>
      <c r="H1183" s="3" t="s">
        <v>58</v>
      </c>
      <c r="I1183" s="3" t="s">
        <v>58</v>
      </c>
      <c r="J1183" s="3" t="s">
        <v>60</v>
      </c>
      <c r="K1183" s="2" t="s">
        <v>15357</v>
      </c>
      <c r="L1183" s="2" t="s">
        <v>15358</v>
      </c>
      <c r="M1183" s="3" t="s">
        <v>923</v>
      </c>
      <c r="O1183" s="3" t="s">
        <v>65</v>
      </c>
      <c r="P1183" s="3" t="s">
        <v>84</v>
      </c>
      <c r="R1183" s="3" t="s">
        <v>67</v>
      </c>
      <c r="S1183" s="4">
        <v>16</v>
      </c>
      <c r="T1183" s="4">
        <v>16</v>
      </c>
      <c r="U1183" s="5" t="s">
        <v>2933</v>
      </c>
      <c r="V1183" s="5" t="s">
        <v>2933</v>
      </c>
      <c r="W1183" s="5" t="s">
        <v>15359</v>
      </c>
      <c r="X1183" s="5" t="s">
        <v>15359</v>
      </c>
      <c r="Y1183" s="4">
        <v>360</v>
      </c>
      <c r="Z1183" s="4">
        <v>325</v>
      </c>
      <c r="AA1183" s="4">
        <v>326</v>
      </c>
      <c r="AB1183" s="4">
        <v>2</v>
      </c>
      <c r="AC1183" s="4">
        <v>2</v>
      </c>
      <c r="AD1183" s="4">
        <v>7</v>
      </c>
      <c r="AE1183" s="4">
        <v>7</v>
      </c>
      <c r="AF1183" s="4">
        <v>1</v>
      </c>
      <c r="AG1183" s="4">
        <v>1</v>
      </c>
      <c r="AH1183" s="4">
        <v>1</v>
      </c>
      <c r="AI1183" s="4">
        <v>1</v>
      </c>
      <c r="AJ1183" s="4">
        <v>5</v>
      </c>
      <c r="AK1183" s="4">
        <v>5</v>
      </c>
      <c r="AL1183" s="4">
        <v>1</v>
      </c>
      <c r="AM1183" s="4">
        <v>1</v>
      </c>
      <c r="AN1183" s="4">
        <v>0</v>
      </c>
      <c r="AO1183" s="4">
        <v>0</v>
      </c>
      <c r="AP1183" s="3" t="s">
        <v>58</v>
      </c>
      <c r="AQ1183" s="3" t="s">
        <v>58</v>
      </c>
      <c r="AS1183" s="6" t="str">
        <f>HYPERLINK("https://creighton-primo.hosted.exlibrisgroup.com/primo-explore/search?tab=default_tab&amp;search_scope=EVERYTHING&amp;vid=01CRU&amp;lang=en_US&amp;offset=0&amp;query=any,contains,991005229919702656","Catalog Record")</f>
        <v>Catalog Record</v>
      </c>
      <c r="AT1183" s="6" t="str">
        <f>HYPERLINK("http://www.worldcat.org/oclc/8306783","WorldCat Record")</f>
        <v>WorldCat Record</v>
      </c>
      <c r="AU1183" s="3" t="s">
        <v>15360</v>
      </c>
      <c r="AV1183" s="3" t="s">
        <v>15361</v>
      </c>
      <c r="AW1183" s="3" t="s">
        <v>15362</v>
      </c>
      <c r="AX1183" s="3" t="s">
        <v>15362</v>
      </c>
      <c r="AY1183" s="3" t="s">
        <v>15363</v>
      </c>
      <c r="AZ1183" s="3" t="s">
        <v>74</v>
      </c>
      <c r="BB1183" s="3" t="s">
        <v>15364</v>
      </c>
      <c r="BC1183" s="3" t="s">
        <v>15365</v>
      </c>
      <c r="BD1183" s="3" t="s">
        <v>15366</v>
      </c>
    </row>
    <row r="1184" spans="1:56" ht="45.75" customHeight="1" x14ac:dyDescent="0.25">
      <c r="A1184" s="7" t="s">
        <v>58</v>
      </c>
      <c r="B1184" s="2" t="s">
        <v>15367</v>
      </c>
      <c r="C1184" s="2" t="s">
        <v>15368</v>
      </c>
      <c r="D1184" s="2" t="s">
        <v>15369</v>
      </c>
      <c r="F1184" s="3" t="s">
        <v>58</v>
      </c>
      <c r="G1184" s="3" t="s">
        <v>59</v>
      </c>
      <c r="H1184" s="3" t="s">
        <v>58</v>
      </c>
      <c r="I1184" s="3" t="s">
        <v>58</v>
      </c>
      <c r="J1184" s="3" t="s">
        <v>60</v>
      </c>
      <c r="L1184" s="2" t="s">
        <v>15370</v>
      </c>
      <c r="M1184" s="3" t="s">
        <v>1254</v>
      </c>
      <c r="O1184" s="3" t="s">
        <v>65</v>
      </c>
      <c r="P1184" s="3" t="s">
        <v>84</v>
      </c>
      <c r="Q1184" s="2" t="s">
        <v>15371</v>
      </c>
      <c r="R1184" s="3" t="s">
        <v>67</v>
      </c>
      <c r="S1184" s="4">
        <v>10</v>
      </c>
      <c r="T1184" s="4">
        <v>10</v>
      </c>
      <c r="U1184" s="5" t="s">
        <v>15372</v>
      </c>
      <c r="V1184" s="5" t="s">
        <v>15372</v>
      </c>
      <c r="W1184" s="5" t="s">
        <v>5890</v>
      </c>
      <c r="X1184" s="5" t="s">
        <v>5890</v>
      </c>
      <c r="Y1184" s="4">
        <v>393</v>
      </c>
      <c r="Z1184" s="4">
        <v>348</v>
      </c>
      <c r="AA1184" s="4">
        <v>354</v>
      </c>
      <c r="AB1184" s="4">
        <v>6</v>
      </c>
      <c r="AC1184" s="4">
        <v>6</v>
      </c>
      <c r="AD1184" s="4">
        <v>18</v>
      </c>
      <c r="AE1184" s="4">
        <v>18</v>
      </c>
      <c r="AF1184" s="4">
        <v>6</v>
      </c>
      <c r="AG1184" s="4">
        <v>6</v>
      </c>
      <c r="AH1184" s="4">
        <v>2</v>
      </c>
      <c r="AI1184" s="4">
        <v>2</v>
      </c>
      <c r="AJ1184" s="4">
        <v>8</v>
      </c>
      <c r="AK1184" s="4">
        <v>8</v>
      </c>
      <c r="AL1184" s="4">
        <v>5</v>
      </c>
      <c r="AM1184" s="4">
        <v>5</v>
      </c>
      <c r="AN1184" s="4">
        <v>0</v>
      </c>
      <c r="AO1184" s="4">
        <v>0</v>
      </c>
      <c r="AP1184" s="3" t="s">
        <v>58</v>
      </c>
      <c r="AQ1184" s="3" t="s">
        <v>58</v>
      </c>
      <c r="AS1184" s="6" t="str">
        <f>HYPERLINK("https://creighton-primo.hosted.exlibrisgroup.com/primo-explore/search?tab=default_tab&amp;search_scope=EVERYTHING&amp;vid=01CRU&amp;lang=en_US&amp;offset=0&amp;query=any,contains,991000291759702656","Catalog Record")</f>
        <v>Catalog Record</v>
      </c>
      <c r="AT1184" s="6" t="str">
        <f>HYPERLINK("http://www.worldcat.org/oclc/9970129","WorldCat Record")</f>
        <v>WorldCat Record</v>
      </c>
      <c r="AU1184" s="3" t="s">
        <v>15373</v>
      </c>
      <c r="AV1184" s="3" t="s">
        <v>15374</v>
      </c>
      <c r="AW1184" s="3" t="s">
        <v>15375</v>
      </c>
      <c r="AX1184" s="3" t="s">
        <v>15375</v>
      </c>
      <c r="AY1184" s="3" t="s">
        <v>15376</v>
      </c>
      <c r="AZ1184" s="3" t="s">
        <v>74</v>
      </c>
      <c r="BB1184" s="3" t="s">
        <v>15377</v>
      </c>
      <c r="BC1184" s="3" t="s">
        <v>15378</v>
      </c>
      <c r="BD1184" s="3" t="s">
        <v>15379</v>
      </c>
    </row>
    <row r="1185" spans="1:56" ht="45.75" customHeight="1" x14ac:dyDescent="0.25">
      <c r="A1185" s="7" t="s">
        <v>58</v>
      </c>
      <c r="B1185" s="2" t="s">
        <v>15380</v>
      </c>
      <c r="C1185" s="2" t="s">
        <v>15381</v>
      </c>
      <c r="D1185" s="2" t="s">
        <v>15382</v>
      </c>
      <c r="F1185" s="3" t="s">
        <v>58</v>
      </c>
      <c r="G1185" s="3" t="s">
        <v>59</v>
      </c>
      <c r="H1185" s="3" t="s">
        <v>58</v>
      </c>
      <c r="I1185" s="3" t="s">
        <v>58</v>
      </c>
      <c r="J1185" s="3" t="s">
        <v>60</v>
      </c>
      <c r="K1185" s="2" t="s">
        <v>15383</v>
      </c>
      <c r="L1185" s="2" t="s">
        <v>15384</v>
      </c>
      <c r="M1185" s="3" t="s">
        <v>1254</v>
      </c>
      <c r="O1185" s="3" t="s">
        <v>65</v>
      </c>
      <c r="P1185" s="3" t="s">
        <v>772</v>
      </c>
      <c r="R1185" s="3" t="s">
        <v>67</v>
      </c>
      <c r="S1185" s="4">
        <v>9</v>
      </c>
      <c r="T1185" s="4">
        <v>9</v>
      </c>
      <c r="U1185" s="5" t="s">
        <v>15385</v>
      </c>
      <c r="V1185" s="5" t="s">
        <v>15385</v>
      </c>
      <c r="W1185" s="5" t="s">
        <v>15386</v>
      </c>
      <c r="X1185" s="5" t="s">
        <v>15386</v>
      </c>
      <c r="Y1185" s="4">
        <v>186</v>
      </c>
      <c r="Z1185" s="4">
        <v>161</v>
      </c>
      <c r="AA1185" s="4">
        <v>831</v>
      </c>
      <c r="AB1185" s="4">
        <v>2</v>
      </c>
      <c r="AC1185" s="4">
        <v>4</v>
      </c>
      <c r="AD1185" s="4">
        <v>3</v>
      </c>
      <c r="AE1185" s="4">
        <v>14</v>
      </c>
      <c r="AF1185" s="4">
        <v>1</v>
      </c>
      <c r="AG1185" s="4">
        <v>4</v>
      </c>
      <c r="AH1185" s="4">
        <v>0</v>
      </c>
      <c r="AI1185" s="4">
        <v>3</v>
      </c>
      <c r="AJ1185" s="4">
        <v>1</v>
      </c>
      <c r="AK1185" s="4">
        <v>5</v>
      </c>
      <c r="AL1185" s="4">
        <v>1</v>
      </c>
      <c r="AM1185" s="4">
        <v>3</v>
      </c>
      <c r="AN1185" s="4">
        <v>0</v>
      </c>
      <c r="AO1185" s="4">
        <v>0</v>
      </c>
      <c r="AP1185" s="3" t="s">
        <v>58</v>
      </c>
      <c r="AQ1185" s="3" t="s">
        <v>87</v>
      </c>
      <c r="AR1185" s="6" t="str">
        <f>HYPERLINK("http://catalog.hathitrust.org/Record/000159221","HathiTrust Record")</f>
        <v>HathiTrust Record</v>
      </c>
      <c r="AS1185" s="6" t="str">
        <f>HYPERLINK("https://creighton-primo.hosted.exlibrisgroup.com/primo-explore/search?tab=default_tab&amp;search_scope=EVERYTHING&amp;vid=01CRU&amp;lang=en_US&amp;offset=0&amp;query=any,contains,991000145139702656","Catalog Record")</f>
        <v>Catalog Record</v>
      </c>
      <c r="AT1185" s="6" t="str">
        <f>HYPERLINK("http://www.worldcat.org/oclc/9193984","WorldCat Record")</f>
        <v>WorldCat Record</v>
      </c>
      <c r="AU1185" s="3" t="s">
        <v>15387</v>
      </c>
      <c r="AV1185" s="3" t="s">
        <v>15388</v>
      </c>
      <c r="AW1185" s="3" t="s">
        <v>15389</v>
      </c>
      <c r="AX1185" s="3" t="s">
        <v>15389</v>
      </c>
      <c r="AY1185" s="3" t="s">
        <v>15390</v>
      </c>
      <c r="AZ1185" s="3" t="s">
        <v>74</v>
      </c>
      <c r="BB1185" s="3" t="s">
        <v>15391</v>
      </c>
      <c r="BC1185" s="3" t="s">
        <v>15392</v>
      </c>
      <c r="BD1185" s="3" t="s">
        <v>15393</v>
      </c>
    </row>
    <row r="1186" spans="1:56" ht="45.75" customHeight="1" x14ac:dyDescent="0.25">
      <c r="A1186" s="7" t="s">
        <v>58</v>
      </c>
      <c r="B1186" s="2" t="s">
        <v>15394</v>
      </c>
      <c r="C1186" s="2" t="s">
        <v>15395</v>
      </c>
      <c r="D1186" s="2" t="s">
        <v>15396</v>
      </c>
      <c r="F1186" s="3" t="s">
        <v>58</v>
      </c>
      <c r="G1186" s="3" t="s">
        <v>59</v>
      </c>
      <c r="H1186" s="3" t="s">
        <v>58</v>
      </c>
      <c r="I1186" s="3" t="s">
        <v>58</v>
      </c>
      <c r="J1186" s="3" t="s">
        <v>60</v>
      </c>
      <c r="L1186" s="2" t="s">
        <v>15397</v>
      </c>
      <c r="M1186" s="3" t="s">
        <v>713</v>
      </c>
      <c r="O1186" s="3" t="s">
        <v>65</v>
      </c>
      <c r="P1186" s="3" t="s">
        <v>148</v>
      </c>
      <c r="R1186" s="3" t="s">
        <v>67</v>
      </c>
      <c r="S1186" s="4">
        <v>35</v>
      </c>
      <c r="T1186" s="4">
        <v>35</v>
      </c>
      <c r="U1186" s="5" t="s">
        <v>15398</v>
      </c>
      <c r="V1186" s="5" t="s">
        <v>15398</v>
      </c>
      <c r="W1186" s="5" t="s">
        <v>15399</v>
      </c>
      <c r="X1186" s="5" t="s">
        <v>15399</v>
      </c>
      <c r="Y1186" s="4">
        <v>584</v>
      </c>
      <c r="Z1186" s="4">
        <v>507</v>
      </c>
      <c r="AA1186" s="4">
        <v>514</v>
      </c>
      <c r="AB1186" s="4">
        <v>6</v>
      </c>
      <c r="AC1186" s="4">
        <v>6</v>
      </c>
      <c r="AD1186" s="4">
        <v>24</v>
      </c>
      <c r="AE1186" s="4">
        <v>24</v>
      </c>
      <c r="AF1186" s="4">
        <v>7</v>
      </c>
      <c r="AG1186" s="4">
        <v>7</v>
      </c>
      <c r="AH1186" s="4">
        <v>6</v>
      </c>
      <c r="AI1186" s="4">
        <v>6</v>
      </c>
      <c r="AJ1186" s="4">
        <v>12</v>
      </c>
      <c r="AK1186" s="4">
        <v>12</v>
      </c>
      <c r="AL1186" s="4">
        <v>4</v>
      </c>
      <c r="AM1186" s="4">
        <v>4</v>
      </c>
      <c r="AN1186" s="4">
        <v>0</v>
      </c>
      <c r="AO1186" s="4">
        <v>0</v>
      </c>
      <c r="AP1186" s="3" t="s">
        <v>58</v>
      </c>
      <c r="AQ1186" s="3" t="s">
        <v>87</v>
      </c>
      <c r="AR1186" s="6" t="str">
        <f>HYPERLINK("http://catalog.hathitrust.org/Record/000149812","HathiTrust Record")</f>
        <v>HathiTrust Record</v>
      </c>
      <c r="AS1186" s="6" t="str">
        <f>HYPERLINK("https://creighton-primo.hosted.exlibrisgroup.com/primo-explore/search?tab=default_tab&amp;search_scope=EVERYTHING&amp;vid=01CRU&amp;lang=en_US&amp;offset=0&amp;query=any,contains,991005154949702656","Catalog Record")</f>
        <v>Catalog Record</v>
      </c>
      <c r="AT1186" s="6" t="str">
        <f>HYPERLINK("http://www.worldcat.org/oclc/7738409","WorldCat Record")</f>
        <v>WorldCat Record</v>
      </c>
      <c r="AU1186" s="3" t="s">
        <v>15400</v>
      </c>
      <c r="AV1186" s="3" t="s">
        <v>15401</v>
      </c>
      <c r="AW1186" s="3" t="s">
        <v>15402</v>
      </c>
      <c r="AX1186" s="3" t="s">
        <v>15402</v>
      </c>
      <c r="AY1186" s="3" t="s">
        <v>15403</v>
      </c>
      <c r="AZ1186" s="3" t="s">
        <v>74</v>
      </c>
      <c r="BB1186" s="3" t="s">
        <v>15404</v>
      </c>
      <c r="BC1186" s="3" t="s">
        <v>15405</v>
      </c>
      <c r="BD1186" s="3" t="s">
        <v>15406</v>
      </c>
    </row>
    <row r="1187" spans="1:56" ht="45.75" customHeight="1" x14ac:dyDescent="0.25">
      <c r="A1187" s="7" t="s">
        <v>58</v>
      </c>
      <c r="B1187" s="2" t="s">
        <v>15407</v>
      </c>
      <c r="C1187" s="2" t="s">
        <v>15408</v>
      </c>
      <c r="D1187" s="2" t="s">
        <v>15409</v>
      </c>
      <c r="F1187" s="3" t="s">
        <v>58</v>
      </c>
      <c r="G1187" s="3" t="s">
        <v>59</v>
      </c>
      <c r="H1187" s="3" t="s">
        <v>58</v>
      </c>
      <c r="I1187" s="3" t="s">
        <v>58</v>
      </c>
      <c r="J1187" s="3" t="s">
        <v>60</v>
      </c>
      <c r="K1187" s="2" t="s">
        <v>15410</v>
      </c>
      <c r="L1187" s="2" t="s">
        <v>15411</v>
      </c>
      <c r="M1187" s="3" t="s">
        <v>83</v>
      </c>
      <c r="O1187" s="3" t="s">
        <v>65</v>
      </c>
      <c r="P1187" s="3" t="s">
        <v>175</v>
      </c>
      <c r="R1187" s="3" t="s">
        <v>67</v>
      </c>
      <c r="S1187" s="4">
        <v>9</v>
      </c>
      <c r="T1187" s="4">
        <v>9</v>
      </c>
      <c r="U1187" s="5" t="s">
        <v>15412</v>
      </c>
      <c r="V1187" s="5" t="s">
        <v>15412</v>
      </c>
      <c r="W1187" s="5" t="s">
        <v>15413</v>
      </c>
      <c r="X1187" s="5" t="s">
        <v>15413</v>
      </c>
      <c r="Y1187" s="4">
        <v>240</v>
      </c>
      <c r="Z1187" s="4">
        <v>171</v>
      </c>
      <c r="AA1187" s="4">
        <v>173</v>
      </c>
      <c r="AB1187" s="4">
        <v>2</v>
      </c>
      <c r="AC1187" s="4">
        <v>2</v>
      </c>
      <c r="AD1187" s="4">
        <v>6</v>
      </c>
      <c r="AE1187" s="4">
        <v>6</v>
      </c>
      <c r="AF1187" s="4">
        <v>1</v>
      </c>
      <c r="AG1187" s="4">
        <v>1</v>
      </c>
      <c r="AH1187" s="4">
        <v>1</v>
      </c>
      <c r="AI1187" s="4">
        <v>1</v>
      </c>
      <c r="AJ1187" s="4">
        <v>4</v>
      </c>
      <c r="AK1187" s="4">
        <v>4</v>
      </c>
      <c r="AL1187" s="4">
        <v>1</v>
      </c>
      <c r="AM1187" s="4">
        <v>1</v>
      </c>
      <c r="AN1187" s="4">
        <v>0</v>
      </c>
      <c r="AO1187" s="4">
        <v>0</v>
      </c>
      <c r="AP1187" s="3" t="s">
        <v>58</v>
      </c>
      <c r="AQ1187" s="3" t="s">
        <v>87</v>
      </c>
      <c r="AR1187" s="6" t="str">
        <f>HYPERLINK("http://catalog.hathitrust.org/Record/000810449","HathiTrust Record")</f>
        <v>HathiTrust Record</v>
      </c>
      <c r="AS1187" s="6" t="str">
        <f>HYPERLINK("https://creighton-primo.hosted.exlibrisgroup.com/primo-explore/search?tab=default_tab&amp;search_scope=EVERYTHING&amp;vid=01CRU&amp;lang=en_US&amp;offset=0&amp;query=any,contains,991000897209702656","Catalog Record")</f>
        <v>Catalog Record</v>
      </c>
      <c r="AT1187" s="6" t="str">
        <f>HYPERLINK("http://www.worldcat.org/oclc/14001332","WorldCat Record")</f>
        <v>WorldCat Record</v>
      </c>
      <c r="AU1187" s="3" t="s">
        <v>15414</v>
      </c>
      <c r="AV1187" s="3" t="s">
        <v>15415</v>
      </c>
      <c r="AW1187" s="3" t="s">
        <v>15416</v>
      </c>
      <c r="AX1187" s="3" t="s">
        <v>15416</v>
      </c>
      <c r="AY1187" s="3" t="s">
        <v>15417</v>
      </c>
      <c r="AZ1187" s="3" t="s">
        <v>74</v>
      </c>
      <c r="BB1187" s="3" t="s">
        <v>15418</v>
      </c>
      <c r="BC1187" s="3" t="s">
        <v>15419</v>
      </c>
      <c r="BD1187" s="3" t="s">
        <v>15420</v>
      </c>
    </row>
    <row r="1188" spans="1:56" ht="45.75" customHeight="1" x14ac:dyDescent="0.25">
      <c r="A1188" s="7" t="s">
        <v>58</v>
      </c>
      <c r="B1188" s="2" t="s">
        <v>15421</v>
      </c>
      <c r="C1188" s="2" t="s">
        <v>15422</v>
      </c>
      <c r="D1188" s="2" t="s">
        <v>15423</v>
      </c>
      <c r="F1188" s="3" t="s">
        <v>58</v>
      </c>
      <c r="G1188" s="3" t="s">
        <v>59</v>
      </c>
      <c r="H1188" s="3" t="s">
        <v>58</v>
      </c>
      <c r="I1188" s="3" t="s">
        <v>58</v>
      </c>
      <c r="J1188" s="3" t="s">
        <v>60</v>
      </c>
      <c r="K1188" s="2" t="s">
        <v>15424</v>
      </c>
      <c r="L1188" s="2" t="s">
        <v>15425</v>
      </c>
      <c r="M1188" s="3" t="s">
        <v>867</v>
      </c>
      <c r="O1188" s="3" t="s">
        <v>65</v>
      </c>
      <c r="P1188" s="3" t="s">
        <v>66</v>
      </c>
      <c r="Q1188" s="2" t="s">
        <v>15426</v>
      </c>
      <c r="R1188" s="3" t="s">
        <v>67</v>
      </c>
      <c r="S1188" s="4">
        <v>10</v>
      </c>
      <c r="T1188" s="4">
        <v>10</v>
      </c>
      <c r="U1188" s="5" t="s">
        <v>15398</v>
      </c>
      <c r="V1188" s="5" t="s">
        <v>15398</v>
      </c>
      <c r="W1188" s="5" t="s">
        <v>15427</v>
      </c>
      <c r="X1188" s="5" t="s">
        <v>15427</v>
      </c>
      <c r="Y1188" s="4">
        <v>277</v>
      </c>
      <c r="Z1188" s="4">
        <v>248</v>
      </c>
      <c r="AA1188" s="4">
        <v>256</v>
      </c>
      <c r="AB1188" s="4">
        <v>2</v>
      </c>
      <c r="AC1188" s="4">
        <v>2</v>
      </c>
      <c r="AD1188" s="4">
        <v>7</v>
      </c>
      <c r="AE1188" s="4">
        <v>7</v>
      </c>
      <c r="AF1188" s="4">
        <v>3</v>
      </c>
      <c r="AG1188" s="4">
        <v>3</v>
      </c>
      <c r="AH1188" s="4">
        <v>2</v>
      </c>
      <c r="AI1188" s="4">
        <v>2</v>
      </c>
      <c r="AJ1188" s="4">
        <v>1</v>
      </c>
      <c r="AK1188" s="4">
        <v>1</v>
      </c>
      <c r="AL1188" s="4">
        <v>1</v>
      </c>
      <c r="AM1188" s="4">
        <v>1</v>
      </c>
      <c r="AN1188" s="4">
        <v>0</v>
      </c>
      <c r="AO1188" s="4">
        <v>0</v>
      </c>
      <c r="AP1188" s="3" t="s">
        <v>58</v>
      </c>
      <c r="AQ1188" s="3" t="s">
        <v>87</v>
      </c>
      <c r="AR1188" s="6" t="str">
        <f>HYPERLINK("http://catalog.hathitrust.org/Record/004538484","HathiTrust Record")</f>
        <v>HathiTrust Record</v>
      </c>
      <c r="AS1188" s="6" t="str">
        <f>HYPERLINK("https://creighton-primo.hosted.exlibrisgroup.com/primo-explore/search?tab=default_tab&amp;search_scope=EVERYTHING&amp;vid=01CRU&amp;lang=en_US&amp;offset=0&amp;query=any,contains,991002121349702656","Catalog Record")</f>
        <v>Catalog Record</v>
      </c>
      <c r="AT1188" s="6" t="str">
        <f>HYPERLINK("http://www.worldcat.org/oclc/27186187","WorldCat Record")</f>
        <v>WorldCat Record</v>
      </c>
      <c r="AU1188" s="3" t="s">
        <v>15428</v>
      </c>
      <c r="AV1188" s="3" t="s">
        <v>15429</v>
      </c>
      <c r="AW1188" s="3" t="s">
        <v>15430</v>
      </c>
      <c r="AX1188" s="3" t="s">
        <v>15430</v>
      </c>
      <c r="AY1188" s="3" t="s">
        <v>15431</v>
      </c>
      <c r="AZ1188" s="3" t="s">
        <v>74</v>
      </c>
      <c r="BC1188" s="3" t="s">
        <v>15432</v>
      </c>
      <c r="BD1188" s="3" t="s">
        <v>15433</v>
      </c>
    </row>
    <row r="1189" spans="1:56" ht="45.75" customHeight="1" x14ac:dyDescent="0.25">
      <c r="A1189" s="7" t="s">
        <v>58</v>
      </c>
      <c r="B1189" s="2" t="s">
        <v>15434</v>
      </c>
      <c r="C1189" s="2" t="s">
        <v>15435</v>
      </c>
      <c r="D1189" s="2" t="s">
        <v>15436</v>
      </c>
      <c r="F1189" s="3" t="s">
        <v>58</v>
      </c>
      <c r="G1189" s="3" t="s">
        <v>59</v>
      </c>
      <c r="H1189" s="3" t="s">
        <v>58</v>
      </c>
      <c r="I1189" s="3" t="s">
        <v>58</v>
      </c>
      <c r="J1189" s="3" t="s">
        <v>60</v>
      </c>
      <c r="K1189" s="2" t="s">
        <v>15437</v>
      </c>
      <c r="L1189" s="2" t="s">
        <v>15438</v>
      </c>
      <c r="M1189" s="3" t="s">
        <v>800</v>
      </c>
      <c r="O1189" s="3" t="s">
        <v>65</v>
      </c>
      <c r="P1189" s="3" t="s">
        <v>84</v>
      </c>
      <c r="Q1189" s="2" t="s">
        <v>15371</v>
      </c>
      <c r="R1189" s="3" t="s">
        <v>67</v>
      </c>
      <c r="S1189" s="4">
        <v>2</v>
      </c>
      <c r="T1189" s="4">
        <v>2</v>
      </c>
      <c r="U1189" s="5" t="s">
        <v>3807</v>
      </c>
      <c r="V1189" s="5" t="s">
        <v>3807</v>
      </c>
      <c r="W1189" s="5" t="s">
        <v>15439</v>
      </c>
      <c r="X1189" s="5" t="s">
        <v>15439</v>
      </c>
      <c r="Y1189" s="4">
        <v>375</v>
      </c>
      <c r="Z1189" s="4">
        <v>325</v>
      </c>
      <c r="AA1189" s="4">
        <v>331</v>
      </c>
      <c r="AB1189" s="4">
        <v>4</v>
      </c>
      <c r="AC1189" s="4">
        <v>4</v>
      </c>
      <c r="AD1189" s="4">
        <v>16</v>
      </c>
      <c r="AE1189" s="4">
        <v>16</v>
      </c>
      <c r="AF1189" s="4">
        <v>5</v>
      </c>
      <c r="AG1189" s="4">
        <v>5</v>
      </c>
      <c r="AH1189" s="4">
        <v>4</v>
      </c>
      <c r="AI1189" s="4">
        <v>4</v>
      </c>
      <c r="AJ1189" s="4">
        <v>7</v>
      </c>
      <c r="AK1189" s="4">
        <v>7</v>
      </c>
      <c r="AL1189" s="4">
        <v>3</v>
      </c>
      <c r="AM1189" s="4">
        <v>3</v>
      </c>
      <c r="AN1189" s="4">
        <v>0</v>
      </c>
      <c r="AO1189" s="4">
        <v>0</v>
      </c>
      <c r="AP1189" s="3" t="s">
        <v>58</v>
      </c>
      <c r="AQ1189" s="3" t="s">
        <v>58</v>
      </c>
      <c r="AS1189" s="6" t="str">
        <f>HYPERLINK("https://creighton-primo.hosted.exlibrisgroup.com/primo-explore/search?tab=default_tab&amp;search_scope=EVERYTHING&amp;vid=01CRU&amp;lang=en_US&amp;offset=0&amp;query=any,contains,991001926469702656","Catalog Record")</f>
        <v>Catalog Record</v>
      </c>
      <c r="AT1189" s="6" t="str">
        <f>HYPERLINK("http://www.worldcat.org/oclc/24320136","WorldCat Record")</f>
        <v>WorldCat Record</v>
      </c>
      <c r="AU1189" s="3" t="s">
        <v>15440</v>
      </c>
      <c r="AV1189" s="3" t="s">
        <v>15441</v>
      </c>
      <c r="AW1189" s="3" t="s">
        <v>15442</v>
      </c>
      <c r="AX1189" s="3" t="s">
        <v>15442</v>
      </c>
      <c r="AY1189" s="3" t="s">
        <v>15443</v>
      </c>
      <c r="AZ1189" s="3" t="s">
        <v>74</v>
      </c>
      <c r="BB1189" s="3" t="s">
        <v>15444</v>
      </c>
      <c r="BC1189" s="3" t="s">
        <v>15445</v>
      </c>
      <c r="BD1189" s="3" t="s">
        <v>15446</v>
      </c>
    </row>
    <row r="1190" spans="1:56" ht="45.75" customHeight="1" x14ac:dyDescent="0.25">
      <c r="A1190" s="7" t="s">
        <v>58</v>
      </c>
      <c r="B1190" s="2" t="s">
        <v>15447</v>
      </c>
      <c r="C1190" s="2" t="s">
        <v>15448</v>
      </c>
      <c r="D1190" s="2" t="s">
        <v>15449</v>
      </c>
      <c r="F1190" s="3" t="s">
        <v>58</v>
      </c>
      <c r="G1190" s="3" t="s">
        <v>59</v>
      </c>
      <c r="H1190" s="3" t="s">
        <v>58</v>
      </c>
      <c r="I1190" s="3" t="s">
        <v>58</v>
      </c>
      <c r="J1190" s="3" t="s">
        <v>60</v>
      </c>
      <c r="K1190" s="2" t="s">
        <v>15450</v>
      </c>
      <c r="L1190" s="2" t="s">
        <v>15451</v>
      </c>
      <c r="M1190" s="3" t="s">
        <v>937</v>
      </c>
      <c r="O1190" s="3" t="s">
        <v>65</v>
      </c>
      <c r="P1190" s="3" t="s">
        <v>587</v>
      </c>
      <c r="R1190" s="3" t="s">
        <v>67</v>
      </c>
      <c r="S1190" s="4">
        <v>16</v>
      </c>
      <c r="T1190" s="4">
        <v>16</v>
      </c>
      <c r="U1190" s="5" t="s">
        <v>15412</v>
      </c>
      <c r="V1190" s="5" t="s">
        <v>15412</v>
      </c>
      <c r="W1190" s="5" t="s">
        <v>15452</v>
      </c>
      <c r="X1190" s="5" t="s">
        <v>15452</v>
      </c>
      <c r="Y1190" s="4">
        <v>886</v>
      </c>
      <c r="Z1190" s="4">
        <v>772</v>
      </c>
      <c r="AA1190" s="4">
        <v>773</v>
      </c>
      <c r="AB1190" s="4">
        <v>7</v>
      </c>
      <c r="AC1190" s="4">
        <v>7</v>
      </c>
      <c r="AD1190" s="4">
        <v>25</v>
      </c>
      <c r="AE1190" s="4">
        <v>25</v>
      </c>
      <c r="AF1190" s="4">
        <v>9</v>
      </c>
      <c r="AG1190" s="4">
        <v>9</v>
      </c>
      <c r="AH1190" s="4">
        <v>6</v>
      </c>
      <c r="AI1190" s="4">
        <v>6</v>
      </c>
      <c r="AJ1190" s="4">
        <v>12</v>
      </c>
      <c r="AK1190" s="4">
        <v>12</v>
      </c>
      <c r="AL1190" s="4">
        <v>4</v>
      </c>
      <c r="AM1190" s="4">
        <v>4</v>
      </c>
      <c r="AN1190" s="4">
        <v>0</v>
      </c>
      <c r="AO1190" s="4">
        <v>0</v>
      </c>
      <c r="AP1190" s="3" t="s">
        <v>58</v>
      </c>
      <c r="AQ1190" s="3" t="s">
        <v>58</v>
      </c>
      <c r="AS1190" s="6" t="str">
        <f>HYPERLINK("https://creighton-primo.hosted.exlibrisgroup.com/primo-explore/search?tab=default_tab&amp;search_scope=EVERYTHING&amp;vid=01CRU&amp;lang=en_US&amp;offset=0&amp;query=any,contains,991004124089702656","Catalog Record")</f>
        <v>Catalog Record</v>
      </c>
      <c r="AT1190" s="6" t="str">
        <f>HYPERLINK("http://www.worldcat.org/oclc/2439317","WorldCat Record")</f>
        <v>WorldCat Record</v>
      </c>
      <c r="AU1190" s="3" t="s">
        <v>15453</v>
      </c>
      <c r="AV1190" s="3" t="s">
        <v>15454</v>
      </c>
      <c r="AW1190" s="3" t="s">
        <v>15455</v>
      </c>
      <c r="AX1190" s="3" t="s">
        <v>15455</v>
      </c>
      <c r="AY1190" s="3" t="s">
        <v>15456</v>
      </c>
      <c r="AZ1190" s="3" t="s">
        <v>74</v>
      </c>
      <c r="BB1190" s="3" t="s">
        <v>15457</v>
      </c>
      <c r="BC1190" s="3" t="s">
        <v>15458</v>
      </c>
      <c r="BD1190" s="3" t="s">
        <v>15459</v>
      </c>
    </row>
    <row r="1191" spans="1:56" ht="45.75" customHeight="1" x14ac:dyDescent="0.25">
      <c r="A1191" s="7" t="s">
        <v>58</v>
      </c>
      <c r="B1191" s="2" t="s">
        <v>15460</v>
      </c>
      <c r="C1191" s="2" t="s">
        <v>15461</v>
      </c>
      <c r="D1191" s="2" t="s">
        <v>15462</v>
      </c>
      <c r="F1191" s="3" t="s">
        <v>58</v>
      </c>
      <c r="G1191" s="3" t="s">
        <v>59</v>
      </c>
      <c r="H1191" s="3" t="s">
        <v>58</v>
      </c>
      <c r="I1191" s="3" t="s">
        <v>58</v>
      </c>
      <c r="J1191" s="3" t="s">
        <v>60</v>
      </c>
      <c r="K1191" s="2" t="s">
        <v>15463</v>
      </c>
      <c r="L1191" s="2" t="s">
        <v>15464</v>
      </c>
      <c r="M1191" s="3" t="s">
        <v>3601</v>
      </c>
      <c r="O1191" s="3" t="s">
        <v>65</v>
      </c>
      <c r="P1191" s="3" t="s">
        <v>84</v>
      </c>
      <c r="R1191" s="3" t="s">
        <v>67</v>
      </c>
      <c r="S1191" s="4">
        <v>9</v>
      </c>
      <c r="T1191" s="4">
        <v>9</v>
      </c>
      <c r="U1191" s="5" t="s">
        <v>15465</v>
      </c>
      <c r="V1191" s="5" t="s">
        <v>15465</v>
      </c>
      <c r="W1191" s="5" t="s">
        <v>4098</v>
      </c>
      <c r="X1191" s="5" t="s">
        <v>4098</v>
      </c>
      <c r="Y1191" s="4">
        <v>891</v>
      </c>
      <c r="Z1191" s="4">
        <v>821</v>
      </c>
      <c r="AA1191" s="4">
        <v>829</v>
      </c>
      <c r="AB1191" s="4">
        <v>9</v>
      </c>
      <c r="AC1191" s="4">
        <v>9</v>
      </c>
      <c r="AD1191" s="4">
        <v>28</v>
      </c>
      <c r="AE1191" s="4">
        <v>28</v>
      </c>
      <c r="AF1191" s="4">
        <v>8</v>
      </c>
      <c r="AG1191" s="4">
        <v>8</v>
      </c>
      <c r="AH1191" s="4">
        <v>4</v>
      </c>
      <c r="AI1191" s="4">
        <v>4</v>
      </c>
      <c r="AJ1191" s="4">
        <v>13</v>
      </c>
      <c r="AK1191" s="4">
        <v>13</v>
      </c>
      <c r="AL1191" s="4">
        <v>6</v>
      </c>
      <c r="AM1191" s="4">
        <v>6</v>
      </c>
      <c r="AN1191" s="4">
        <v>2</v>
      </c>
      <c r="AO1191" s="4">
        <v>2</v>
      </c>
      <c r="AP1191" s="3" t="s">
        <v>58</v>
      </c>
      <c r="AQ1191" s="3" t="s">
        <v>87</v>
      </c>
      <c r="AR1191" s="6" t="str">
        <f>HYPERLINK("http://catalog.hathitrust.org/Record/000013199","HathiTrust Record")</f>
        <v>HathiTrust Record</v>
      </c>
      <c r="AS1191" s="6" t="str">
        <f>HYPERLINK("https://creighton-primo.hosted.exlibrisgroup.com/primo-explore/search?tab=default_tab&amp;search_scope=EVERYTHING&amp;vid=01CRU&amp;lang=en_US&amp;offset=0&amp;query=any,contains,991003328029702656","Catalog Record")</f>
        <v>Catalog Record</v>
      </c>
      <c r="AT1191" s="6" t="str">
        <f>HYPERLINK("http://www.worldcat.org/oclc/858274","WorldCat Record")</f>
        <v>WorldCat Record</v>
      </c>
      <c r="AU1191" s="3" t="s">
        <v>15466</v>
      </c>
      <c r="AV1191" s="3" t="s">
        <v>15467</v>
      </c>
      <c r="AW1191" s="3" t="s">
        <v>15468</v>
      </c>
      <c r="AX1191" s="3" t="s">
        <v>15468</v>
      </c>
      <c r="AY1191" s="3" t="s">
        <v>15469</v>
      </c>
      <c r="AZ1191" s="3" t="s">
        <v>74</v>
      </c>
      <c r="BB1191" s="3" t="s">
        <v>15470</v>
      </c>
      <c r="BC1191" s="3" t="s">
        <v>15471</v>
      </c>
      <c r="BD1191" s="3" t="s">
        <v>15472</v>
      </c>
    </row>
    <row r="1192" spans="1:56" ht="45.75" customHeight="1" x14ac:dyDescent="0.25">
      <c r="A1192" s="7" t="s">
        <v>58</v>
      </c>
      <c r="B1192" s="2" t="s">
        <v>15473</v>
      </c>
      <c r="C1192" s="2" t="s">
        <v>15474</v>
      </c>
      <c r="D1192" s="2" t="s">
        <v>15475</v>
      </c>
      <c r="F1192" s="3" t="s">
        <v>58</v>
      </c>
      <c r="G1192" s="3" t="s">
        <v>59</v>
      </c>
      <c r="H1192" s="3" t="s">
        <v>58</v>
      </c>
      <c r="I1192" s="3" t="s">
        <v>58</v>
      </c>
      <c r="J1192" s="3" t="s">
        <v>60</v>
      </c>
      <c r="K1192" s="2" t="s">
        <v>15476</v>
      </c>
      <c r="L1192" s="2" t="s">
        <v>15477</v>
      </c>
      <c r="M1192" s="3" t="s">
        <v>557</v>
      </c>
      <c r="N1192" s="2" t="s">
        <v>64</v>
      </c>
      <c r="O1192" s="3" t="s">
        <v>65</v>
      </c>
      <c r="P1192" s="3" t="s">
        <v>84</v>
      </c>
      <c r="R1192" s="3" t="s">
        <v>67</v>
      </c>
      <c r="S1192" s="4">
        <v>11</v>
      </c>
      <c r="T1192" s="4">
        <v>11</v>
      </c>
      <c r="U1192" s="5" t="s">
        <v>15385</v>
      </c>
      <c r="V1192" s="5" t="s">
        <v>15385</v>
      </c>
      <c r="W1192" s="5" t="s">
        <v>1973</v>
      </c>
      <c r="X1192" s="5" t="s">
        <v>1973</v>
      </c>
      <c r="Y1192" s="4">
        <v>58</v>
      </c>
      <c r="Z1192" s="4">
        <v>50</v>
      </c>
      <c r="AA1192" s="4">
        <v>296</v>
      </c>
      <c r="AB1192" s="4">
        <v>1</v>
      </c>
      <c r="AC1192" s="4">
        <v>4</v>
      </c>
      <c r="AD1192" s="4">
        <v>3</v>
      </c>
      <c r="AE1192" s="4">
        <v>9</v>
      </c>
      <c r="AF1192" s="4">
        <v>0</v>
      </c>
      <c r="AG1192" s="4">
        <v>2</v>
      </c>
      <c r="AH1192" s="4">
        <v>1</v>
      </c>
      <c r="AI1192" s="4">
        <v>2</v>
      </c>
      <c r="AJ1192" s="4">
        <v>2</v>
      </c>
      <c r="AK1192" s="4">
        <v>3</v>
      </c>
      <c r="AL1192" s="4">
        <v>0</v>
      </c>
      <c r="AM1192" s="4">
        <v>3</v>
      </c>
      <c r="AN1192" s="4">
        <v>0</v>
      </c>
      <c r="AO1192" s="4">
        <v>0</v>
      </c>
      <c r="AP1192" s="3" t="s">
        <v>58</v>
      </c>
      <c r="AQ1192" s="3" t="s">
        <v>87</v>
      </c>
      <c r="AR1192" s="6" t="str">
        <f>HYPERLINK("http://catalog.hathitrust.org/Record/007559456","HathiTrust Record")</f>
        <v>HathiTrust Record</v>
      </c>
      <c r="AS1192" s="6" t="str">
        <f>HYPERLINK("https://creighton-primo.hosted.exlibrisgroup.com/primo-explore/search?tab=default_tab&amp;search_scope=EVERYTHING&amp;vid=01CRU&amp;lang=en_US&amp;offset=0&amp;query=any,contains,991002035359702656","Catalog Record")</f>
        <v>Catalog Record</v>
      </c>
      <c r="AT1192" s="6" t="str">
        <f>HYPERLINK("http://www.worldcat.org/oclc/25916056","WorldCat Record")</f>
        <v>WorldCat Record</v>
      </c>
      <c r="AU1192" s="3" t="s">
        <v>15478</v>
      </c>
      <c r="AV1192" s="3" t="s">
        <v>15479</v>
      </c>
      <c r="AW1192" s="3" t="s">
        <v>15480</v>
      </c>
      <c r="AX1192" s="3" t="s">
        <v>15480</v>
      </c>
      <c r="AY1192" s="3" t="s">
        <v>15481</v>
      </c>
      <c r="AZ1192" s="3" t="s">
        <v>74</v>
      </c>
      <c r="BB1192" s="3" t="s">
        <v>15482</v>
      </c>
      <c r="BC1192" s="3" t="s">
        <v>15483</v>
      </c>
      <c r="BD1192" s="3" t="s">
        <v>15484</v>
      </c>
    </row>
    <row r="1193" spans="1:56" ht="45.75" customHeight="1" x14ac:dyDescent="0.25">
      <c r="A1193" s="7" t="s">
        <v>58</v>
      </c>
      <c r="B1193" s="2" t="s">
        <v>15485</v>
      </c>
      <c r="C1193" s="2" t="s">
        <v>15486</v>
      </c>
      <c r="D1193" s="2" t="s">
        <v>15487</v>
      </c>
      <c r="F1193" s="3" t="s">
        <v>58</v>
      </c>
      <c r="G1193" s="3" t="s">
        <v>59</v>
      </c>
      <c r="H1193" s="3" t="s">
        <v>58</v>
      </c>
      <c r="I1193" s="3" t="s">
        <v>58</v>
      </c>
      <c r="J1193" s="3" t="s">
        <v>60</v>
      </c>
      <c r="K1193" s="2" t="s">
        <v>15488</v>
      </c>
      <c r="L1193" s="2" t="s">
        <v>15489</v>
      </c>
      <c r="M1193" s="3" t="s">
        <v>83</v>
      </c>
      <c r="O1193" s="3" t="s">
        <v>65</v>
      </c>
      <c r="P1193" s="3" t="s">
        <v>84</v>
      </c>
      <c r="R1193" s="3" t="s">
        <v>67</v>
      </c>
      <c r="S1193" s="4">
        <v>7</v>
      </c>
      <c r="T1193" s="4">
        <v>7</v>
      </c>
      <c r="U1193" s="5" t="s">
        <v>15490</v>
      </c>
      <c r="V1193" s="5" t="s">
        <v>15490</v>
      </c>
      <c r="W1193" s="5" t="s">
        <v>15491</v>
      </c>
      <c r="X1193" s="5" t="s">
        <v>15491</v>
      </c>
      <c r="Y1193" s="4">
        <v>148</v>
      </c>
      <c r="Z1193" s="4">
        <v>121</v>
      </c>
      <c r="AA1193" s="4">
        <v>585</v>
      </c>
      <c r="AB1193" s="4">
        <v>2</v>
      </c>
      <c r="AC1193" s="4">
        <v>7</v>
      </c>
      <c r="AD1193" s="4">
        <v>4</v>
      </c>
      <c r="AE1193" s="4">
        <v>13</v>
      </c>
      <c r="AF1193" s="4">
        <v>1</v>
      </c>
      <c r="AG1193" s="4">
        <v>2</v>
      </c>
      <c r="AH1193" s="4">
        <v>0</v>
      </c>
      <c r="AI1193" s="4">
        <v>1</v>
      </c>
      <c r="AJ1193" s="4">
        <v>3</v>
      </c>
      <c r="AK1193" s="4">
        <v>6</v>
      </c>
      <c r="AL1193" s="4">
        <v>1</v>
      </c>
      <c r="AM1193" s="4">
        <v>6</v>
      </c>
      <c r="AN1193" s="4">
        <v>0</v>
      </c>
      <c r="AO1193" s="4">
        <v>0</v>
      </c>
      <c r="AP1193" s="3" t="s">
        <v>58</v>
      </c>
      <c r="AQ1193" s="3" t="s">
        <v>58</v>
      </c>
      <c r="AS1193" s="6" t="str">
        <f>HYPERLINK("https://creighton-primo.hosted.exlibrisgroup.com/primo-explore/search?tab=default_tab&amp;search_scope=EVERYTHING&amp;vid=01CRU&amp;lang=en_US&amp;offset=0&amp;query=any,contains,991000742159702656","Catalog Record")</f>
        <v>Catalog Record</v>
      </c>
      <c r="AT1193" s="6" t="str">
        <f>HYPERLINK("http://www.worldcat.org/oclc/12809544","WorldCat Record")</f>
        <v>WorldCat Record</v>
      </c>
      <c r="AU1193" s="3" t="s">
        <v>15492</v>
      </c>
      <c r="AV1193" s="3" t="s">
        <v>15493</v>
      </c>
      <c r="AW1193" s="3" t="s">
        <v>15494</v>
      </c>
      <c r="AX1193" s="3" t="s">
        <v>15494</v>
      </c>
      <c r="AY1193" s="3" t="s">
        <v>15495</v>
      </c>
      <c r="AZ1193" s="3" t="s">
        <v>74</v>
      </c>
      <c r="BB1193" s="3" t="s">
        <v>15496</v>
      </c>
      <c r="BC1193" s="3" t="s">
        <v>15497</v>
      </c>
      <c r="BD1193" s="3" t="s">
        <v>15498</v>
      </c>
    </row>
    <row r="1194" spans="1:56" ht="45.75" customHeight="1" x14ac:dyDescent="0.25">
      <c r="A1194" s="7" t="s">
        <v>58</v>
      </c>
      <c r="B1194" s="2" t="s">
        <v>15499</v>
      </c>
      <c r="C1194" s="2" t="s">
        <v>15500</v>
      </c>
      <c r="D1194" s="2" t="s">
        <v>15501</v>
      </c>
      <c r="F1194" s="3" t="s">
        <v>58</v>
      </c>
      <c r="G1194" s="3" t="s">
        <v>59</v>
      </c>
      <c r="H1194" s="3" t="s">
        <v>58</v>
      </c>
      <c r="I1194" s="3" t="s">
        <v>58</v>
      </c>
      <c r="J1194" s="3" t="s">
        <v>60</v>
      </c>
      <c r="K1194" s="2" t="s">
        <v>15502</v>
      </c>
      <c r="L1194" s="2" t="s">
        <v>15503</v>
      </c>
      <c r="M1194" s="3" t="s">
        <v>15504</v>
      </c>
      <c r="N1194" s="2" t="s">
        <v>15505</v>
      </c>
      <c r="O1194" s="3" t="s">
        <v>65</v>
      </c>
      <c r="P1194" s="3" t="s">
        <v>1340</v>
      </c>
      <c r="Q1194" s="2" t="s">
        <v>15506</v>
      </c>
      <c r="R1194" s="3" t="s">
        <v>67</v>
      </c>
      <c r="S1194" s="4">
        <v>22</v>
      </c>
      <c r="T1194" s="4">
        <v>22</v>
      </c>
      <c r="U1194" s="5" t="s">
        <v>15507</v>
      </c>
      <c r="V1194" s="5" t="s">
        <v>15507</v>
      </c>
      <c r="W1194" s="5" t="s">
        <v>15508</v>
      </c>
      <c r="X1194" s="5" t="s">
        <v>15508</v>
      </c>
      <c r="Y1194" s="4">
        <v>34</v>
      </c>
      <c r="Z1194" s="4">
        <v>32</v>
      </c>
      <c r="AA1194" s="4">
        <v>230</v>
      </c>
      <c r="AB1194" s="4">
        <v>1</v>
      </c>
      <c r="AC1194" s="4">
        <v>5</v>
      </c>
      <c r="AD1194" s="4">
        <v>1</v>
      </c>
      <c r="AE1194" s="4">
        <v>24</v>
      </c>
      <c r="AF1194" s="4">
        <v>0</v>
      </c>
      <c r="AG1194" s="4">
        <v>0</v>
      </c>
      <c r="AH1194" s="4">
        <v>1</v>
      </c>
      <c r="AI1194" s="4">
        <v>3</v>
      </c>
      <c r="AJ1194" s="4">
        <v>1</v>
      </c>
      <c r="AK1194" s="4">
        <v>3</v>
      </c>
      <c r="AL1194" s="4">
        <v>0</v>
      </c>
      <c r="AM1194" s="4">
        <v>3</v>
      </c>
      <c r="AN1194" s="4">
        <v>0</v>
      </c>
      <c r="AO1194" s="4">
        <v>16</v>
      </c>
      <c r="AP1194" s="3" t="s">
        <v>58</v>
      </c>
      <c r="AQ1194" s="3" t="s">
        <v>58</v>
      </c>
      <c r="AS1194" s="6" t="str">
        <f>HYPERLINK("https://creighton-primo.hosted.exlibrisgroup.com/primo-explore/search?tab=default_tab&amp;search_scope=EVERYTHING&amp;vid=01CRU&amp;lang=en_US&amp;offset=0&amp;query=any,contains,991004470539702656","Catalog Record")</f>
        <v>Catalog Record</v>
      </c>
      <c r="AT1194" s="6" t="str">
        <f>HYPERLINK("http://www.worldcat.org/oclc/3595552","WorldCat Record")</f>
        <v>WorldCat Record</v>
      </c>
      <c r="AU1194" s="3" t="s">
        <v>15509</v>
      </c>
      <c r="AV1194" s="3" t="s">
        <v>15510</v>
      </c>
      <c r="AW1194" s="3" t="s">
        <v>15511</v>
      </c>
      <c r="AX1194" s="3" t="s">
        <v>15511</v>
      </c>
      <c r="AY1194" s="3" t="s">
        <v>15512</v>
      </c>
      <c r="AZ1194" s="3" t="s">
        <v>74</v>
      </c>
      <c r="BC1194" s="3" t="s">
        <v>15513</v>
      </c>
      <c r="BD1194" s="3" t="s">
        <v>15514</v>
      </c>
    </row>
    <row r="1195" spans="1:56" ht="45.75" customHeight="1" x14ac:dyDescent="0.25">
      <c r="A1195" s="7" t="s">
        <v>58</v>
      </c>
      <c r="B1195" s="2" t="s">
        <v>15515</v>
      </c>
      <c r="C1195" s="2" t="s">
        <v>15516</v>
      </c>
      <c r="D1195" s="2" t="s">
        <v>15517</v>
      </c>
      <c r="F1195" s="3" t="s">
        <v>58</v>
      </c>
      <c r="G1195" s="3" t="s">
        <v>59</v>
      </c>
      <c r="H1195" s="3" t="s">
        <v>58</v>
      </c>
      <c r="I1195" s="3" t="s">
        <v>58</v>
      </c>
      <c r="J1195" s="3" t="s">
        <v>60</v>
      </c>
      <c r="K1195" s="2" t="s">
        <v>15518</v>
      </c>
      <c r="L1195" s="2" t="s">
        <v>15519</v>
      </c>
      <c r="M1195" s="3" t="s">
        <v>100</v>
      </c>
      <c r="N1195" s="2" t="s">
        <v>15520</v>
      </c>
      <c r="O1195" s="3" t="s">
        <v>65</v>
      </c>
      <c r="P1195" s="3" t="s">
        <v>84</v>
      </c>
      <c r="R1195" s="3" t="s">
        <v>67</v>
      </c>
      <c r="S1195" s="4">
        <v>9</v>
      </c>
      <c r="T1195" s="4">
        <v>9</v>
      </c>
      <c r="U1195" s="5" t="s">
        <v>15521</v>
      </c>
      <c r="V1195" s="5" t="s">
        <v>15521</v>
      </c>
      <c r="W1195" s="5" t="s">
        <v>1758</v>
      </c>
      <c r="X1195" s="5" t="s">
        <v>1758</v>
      </c>
      <c r="Y1195" s="4">
        <v>516</v>
      </c>
      <c r="Z1195" s="4">
        <v>479</v>
      </c>
      <c r="AA1195" s="4">
        <v>558</v>
      </c>
      <c r="AB1195" s="4">
        <v>2</v>
      </c>
      <c r="AC1195" s="4">
        <v>2</v>
      </c>
      <c r="AD1195" s="4">
        <v>24</v>
      </c>
      <c r="AE1195" s="4">
        <v>24</v>
      </c>
      <c r="AF1195" s="4">
        <v>6</v>
      </c>
      <c r="AG1195" s="4">
        <v>6</v>
      </c>
      <c r="AH1195" s="4">
        <v>5</v>
      </c>
      <c r="AI1195" s="4">
        <v>5</v>
      </c>
      <c r="AJ1195" s="4">
        <v>12</v>
      </c>
      <c r="AK1195" s="4">
        <v>12</v>
      </c>
      <c r="AL1195" s="4">
        <v>1</v>
      </c>
      <c r="AM1195" s="4">
        <v>1</v>
      </c>
      <c r="AN1195" s="4">
        <v>6</v>
      </c>
      <c r="AO1195" s="4">
        <v>6</v>
      </c>
      <c r="AP1195" s="3" t="s">
        <v>58</v>
      </c>
      <c r="AQ1195" s="3" t="s">
        <v>58</v>
      </c>
      <c r="AS1195" s="6" t="str">
        <f>HYPERLINK("https://creighton-primo.hosted.exlibrisgroup.com/primo-explore/search?tab=default_tab&amp;search_scope=EVERYTHING&amp;vid=01CRU&amp;lang=en_US&amp;offset=0&amp;query=any,contains,991003418999702656","Catalog Record")</f>
        <v>Catalog Record</v>
      </c>
      <c r="AT1195" s="6" t="str">
        <f>HYPERLINK("http://www.worldcat.org/oclc/960114","WorldCat Record")</f>
        <v>WorldCat Record</v>
      </c>
      <c r="AU1195" s="3" t="s">
        <v>15522</v>
      </c>
      <c r="AV1195" s="3" t="s">
        <v>15523</v>
      </c>
      <c r="AW1195" s="3" t="s">
        <v>15524</v>
      </c>
      <c r="AX1195" s="3" t="s">
        <v>15524</v>
      </c>
      <c r="AY1195" s="3" t="s">
        <v>15525</v>
      </c>
      <c r="AZ1195" s="3" t="s">
        <v>74</v>
      </c>
      <c r="BB1195" s="3" t="s">
        <v>15526</v>
      </c>
      <c r="BC1195" s="3" t="s">
        <v>15527</v>
      </c>
      <c r="BD1195" s="3" t="s">
        <v>15528</v>
      </c>
    </row>
    <row r="1196" spans="1:56" ht="45.75" customHeight="1" x14ac:dyDescent="0.25">
      <c r="A1196" s="7" t="s">
        <v>58</v>
      </c>
      <c r="B1196" s="2" t="s">
        <v>15529</v>
      </c>
      <c r="C1196" s="2" t="s">
        <v>15530</v>
      </c>
      <c r="D1196" s="2" t="s">
        <v>15531</v>
      </c>
      <c r="F1196" s="3" t="s">
        <v>58</v>
      </c>
      <c r="G1196" s="3" t="s">
        <v>59</v>
      </c>
      <c r="H1196" s="3" t="s">
        <v>58</v>
      </c>
      <c r="I1196" s="3" t="s">
        <v>58</v>
      </c>
      <c r="J1196" s="3" t="s">
        <v>60</v>
      </c>
      <c r="K1196" s="2" t="s">
        <v>15532</v>
      </c>
      <c r="L1196" s="2" t="s">
        <v>15533</v>
      </c>
      <c r="M1196" s="3" t="s">
        <v>629</v>
      </c>
      <c r="N1196" s="2" t="s">
        <v>543</v>
      </c>
      <c r="O1196" s="3" t="s">
        <v>65</v>
      </c>
      <c r="P1196" s="3" t="s">
        <v>84</v>
      </c>
      <c r="R1196" s="3" t="s">
        <v>67</v>
      </c>
      <c r="S1196" s="4">
        <v>7</v>
      </c>
      <c r="T1196" s="4">
        <v>7</v>
      </c>
      <c r="U1196" s="5" t="s">
        <v>9063</v>
      </c>
      <c r="V1196" s="5" t="s">
        <v>9063</v>
      </c>
      <c r="W1196" s="5" t="s">
        <v>15534</v>
      </c>
      <c r="X1196" s="5" t="s">
        <v>15534</v>
      </c>
      <c r="Y1196" s="4">
        <v>768</v>
      </c>
      <c r="Z1196" s="4">
        <v>680</v>
      </c>
      <c r="AA1196" s="4">
        <v>751</v>
      </c>
      <c r="AB1196" s="4">
        <v>3</v>
      </c>
      <c r="AC1196" s="4">
        <v>3</v>
      </c>
      <c r="AD1196" s="4">
        <v>29</v>
      </c>
      <c r="AE1196" s="4">
        <v>31</v>
      </c>
      <c r="AF1196" s="4">
        <v>12</v>
      </c>
      <c r="AG1196" s="4">
        <v>13</v>
      </c>
      <c r="AH1196" s="4">
        <v>5</v>
      </c>
      <c r="AI1196" s="4">
        <v>7</v>
      </c>
      <c r="AJ1196" s="4">
        <v>16</v>
      </c>
      <c r="AK1196" s="4">
        <v>16</v>
      </c>
      <c r="AL1196" s="4">
        <v>2</v>
      </c>
      <c r="AM1196" s="4">
        <v>2</v>
      </c>
      <c r="AN1196" s="4">
        <v>2</v>
      </c>
      <c r="AO1196" s="4">
        <v>2</v>
      </c>
      <c r="AP1196" s="3" t="s">
        <v>58</v>
      </c>
      <c r="AQ1196" s="3" t="s">
        <v>58</v>
      </c>
      <c r="AS1196" s="6" t="str">
        <f>HYPERLINK("https://creighton-primo.hosted.exlibrisgroup.com/primo-explore/search?tab=default_tab&amp;search_scope=EVERYTHING&amp;vid=01CRU&amp;lang=en_US&amp;offset=0&amp;query=any,contains,991002239289702656","Catalog Record")</f>
        <v>Catalog Record</v>
      </c>
      <c r="AT1196" s="6" t="str">
        <f>HYPERLINK("http://www.worldcat.org/oclc/28888373","WorldCat Record")</f>
        <v>WorldCat Record</v>
      </c>
      <c r="AU1196" s="3" t="s">
        <v>15535</v>
      </c>
      <c r="AV1196" s="3" t="s">
        <v>15536</v>
      </c>
      <c r="AW1196" s="3" t="s">
        <v>15537</v>
      </c>
      <c r="AX1196" s="3" t="s">
        <v>15537</v>
      </c>
      <c r="AY1196" s="3" t="s">
        <v>15538</v>
      </c>
      <c r="AZ1196" s="3" t="s">
        <v>74</v>
      </c>
      <c r="BB1196" s="3" t="s">
        <v>15539</v>
      </c>
      <c r="BC1196" s="3" t="s">
        <v>15540</v>
      </c>
      <c r="BD1196" s="3" t="s">
        <v>15541</v>
      </c>
    </row>
    <row r="1197" spans="1:56" ht="45.75" customHeight="1" x14ac:dyDescent="0.25">
      <c r="A1197" s="7" t="s">
        <v>58</v>
      </c>
      <c r="B1197" s="2" t="s">
        <v>15542</v>
      </c>
      <c r="C1197" s="2" t="s">
        <v>15543</v>
      </c>
      <c r="D1197" s="2" t="s">
        <v>15544</v>
      </c>
      <c r="F1197" s="3" t="s">
        <v>58</v>
      </c>
      <c r="G1197" s="3" t="s">
        <v>59</v>
      </c>
      <c r="H1197" s="3" t="s">
        <v>58</v>
      </c>
      <c r="I1197" s="3" t="s">
        <v>58</v>
      </c>
      <c r="J1197" s="3" t="s">
        <v>60</v>
      </c>
      <c r="L1197" s="2" t="s">
        <v>15545</v>
      </c>
      <c r="M1197" s="3" t="s">
        <v>307</v>
      </c>
      <c r="O1197" s="3" t="s">
        <v>65</v>
      </c>
      <c r="P1197" s="3" t="s">
        <v>1282</v>
      </c>
      <c r="Q1197" s="2" t="s">
        <v>15546</v>
      </c>
      <c r="R1197" s="3" t="s">
        <v>67</v>
      </c>
      <c r="S1197" s="4">
        <v>9</v>
      </c>
      <c r="T1197" s="4">
        <v>9</v>
      </c>
      <c r="U1197" s="5" t="s">
        <v>1239</v>
      </c>
      <c r="V1197" s="5" t="s">
        <v>1239</v>
      </c>
      <c r="W1197" s="5" t="s">
        <v>14246</v>
      </c>
      <c r="X1197" s="5" t="s">
        <v>14246</v>
      </c>
      <c r="Y1197" s="4">
        <v>215</v>
      </c>
      <c r="Z1197" s="4">
        <v>179</v>
      </c>
      <c r="AA1197" s="4">
        <v>277</v>
      </c>
      <c r="AB1197" s="4">
        <v>1</v>
      </c>
      <c r="AC1197" s="4">
        <v>1</v>
      </c>
      <c r="AD1197" s="4">
        <v>9</v>
      </c>
      <c r="AE1197" s="4">
        <v>12</v>
      </c>
      <c r="AF1197" s="4">
        <v>3</v>
      </c>
      <c r="AG1197" s="4">
        <v>4</v>
      </c>
      <c r="AH1197" s="4">
        <v>4</v>
      </c>
      <c r="AI1197" s="4">
        <v>4</v>
      </c>
      <c r="AJ1197" s="4">
        <v>5</v>
      </c>
      <c r="AK1197" s="4">
        <v>8</v>
      </c>
      <c r="AL1197" s="4">
        <v>0</v>
      </c>
      <c r="AM1197" s="4">
        <v>0</v>
      </c>
      <c r="AN1197" s="4">
        <v>0</v>
      </c>
      <c r="AO1197" s="4">
        <v>0</v>
      </c>
      <c r="AP1197" s="3" t="s">
        <v>58</v>
      </c>
      <c r="AQ1197" s="3" t="s">
        <v>58</v>
      </c>
      <c r="AS1197" s="6" t="str">
        <f>HYPERLINK("https://creighton-primo.hosted.exlibrisgroup.com/primo-explore/search?tab=default_tab&amp;search_scope=EVERYTHING&amp;vid=01CRU&amp;lang=en_US&amp;offset=0&amp;query=any,contains,991002450199702656","Catalog Record")</f>
        <v>Catalog Record</v>
      </c>
      <c r="AT1197" s="6" t="str">
        <f>HYPERLINK("http://www.worldcat.org/oclc/31955320","WorldCat Record")</f>
        <v>WorldCat Record</v>
      </c>
      <c r="AU1197" s="3" t="s">
        <v>15547</v>
      </c>
      <c r="AV1197" s="3" t="s">
        <v>15548</v>
      </c>
      <c r="AW1197" s="3" t="s">
        <v>15549</v>
      </c>
      <c r="AX1197" s="3" t="s">
        <v>15549</v>
      </c>
      <c r="AY1197" s="3" t="s">
        <v>15550</v>
      </c>
      <c r="AZ1197" s="3" t="s">
        <v>74</v>
      </c>
      <c r="BB1197" s="3" t="s">
        <v>15551</v>
      </c>
      <c r="BC1197" s="3" t="s">
        <v>15552</v>
      </c>
      <c r="BD1197" s="3" t="s">
        <v>15553</v>
      </c>
    </row>
    <row r="1198" spans="1:56" ht="45.75" customHeight="1" x14ac:dyDescent="0.25">
      <c r="A1198" s="7" t="s">
        <v>58</v>
      </c>
      <c r="B1198" s="2" t="s">
        <v>15554</v>
      </c>
      <c r="C1198" s="2" t="s">
        <v>15555</v>
      </c>
      <c r="D1198" s="2" t="s">
        <v>15556</v>
      </c>
      <c r="F1198" s="3" t="s">
        <v>58</v>
      </c>
      <c r="G1198" s="3" t="s">
        <v>59</v>
      </c>
      <c r="H1198" s="3" t="s">
        <v>58</v>
      </c>
      <c r="I1198" s="3" t="s">
        <v>58</v>
      </c>
      <c r="J1198" s="3" t="s">
        <v>60</v>
      </c>
      <c r="K1198" s="2" t="s">
        <v>15557</v>
      </c>
      <c r="L1198" s="2" t="s">
        <v>15558</v>
      </c>
      <c r="M1198" s="3" t="s">
        <v>83</v>
      </c>
      <c r="N1198" s="2" t="s">
        <v>4053</v>
      </c>
      <c r="O1198" s="3" t="s">
        <v>65</v>
      </c>
      <c r="P1198" s="3" t="s">
        <v>84</v>
      </c>
      <c r="R1198" s="3" t="s">
        <v>67</v>
      </c>
      <c r="S1198" s="4">
        <v>7</v>
      </c>
      <c r="T1198" s="4">
        <v>7</v>
      </c>
      <c r="U1198" s="5" t="s">
        <v>6079</v>
      </c>
      <c r="V1198" s="5" t="s">
        <v>6079</v>
      </c>
      <c r="W1198" s="5" t="s">
        <v>1758</v>
      </c>
      <c r="X1198" s="5" t="s">
        <v>1758</v>
      </c>
      <c r="Y1198" s="4">
        <v>493</v>
      </c>
      <c r="Z1198" s="4">
        <v>451</v>
      </c>
      <c r="AA1198" s="4">
        <v>455</v>
      </c>
      <c r="AB1198" s="4">
        <v>2</v>
      </c>
      <c r="AC1198" s="4">
        <v>2</v>
      </c>
      <c r="AD1198" s="4">
        <v>18</v>
      </c>
      <c r="AE1198" s="4">
        <v>18</v>
      </c>
      <c r="AF1198" s="4">
        <v>6</v>
      </c>
      <c r="AG1198" s="4">
        <v>6</v>
      </c>
      <c r="AH1198" s="4">
        <v>5</v>
      </c>
      <c r="AI1198" s="4">
        <v>5</v>
      </c>
      <c r="AJ1198" s="4">
        <v>10</v>
      </c>
      <c r="AK1198" s="4">
        <v>10</v>
      </c>
      <c r="AL1198" s="4">
        <v>1</v>
      </c>
      <c r="AM1198" s="4">
        <v>1</v>
      </c>
      <c r="AN1198" s="4">
        <v>1</v>
      </c>
      <c r="AO1198" s="4">
        <v>1</v>
      </c>
      <c r="AP1198" s="3" t="s">
        <v>58</v>
      </c>
      <c r="AQ1198" s="3" t="s">
        <v>87</v>
      </c>
      <c r="AR1198" s="6" t="str">
        <f>HYPERLINK("http://catalog.hathitrust.org/Record/000809444","HathiTrust Record")</f>
        <v>HathiTrust Record</v>
      </c>
      <c r="AS1198" s="6" t="str">
        <f>HYPERLINK("https://creighton-primo.hosted.exlibrisgroup.com/primo-explore/search?tab=default_tab&amp;search_scope=EVERYTHING&amp;vid=01CRU&amp;lang=en_US&amp;offset=0&amp;query=any,contains,991000853279702656","Catalog Record")</f>
        <v>Catalog Record</v>
      </c>
      <c r="AT1198" s="6" t="str">
        <f>HYPERLINK("http://www.worldcat.org/oclc/13642175","WorldCat Record")</f>
        <v>WorldCat Record</v>
      </c>
      <c r="AU1198" s="3" t="s">
        <v>15559</v>
      </c>
      <c r="AV1198" s="3" t="s">
        <v>15560</v>
      </c>
      <c r="AW1198" s="3" t="s">
        <v>15561</v>
      </c>
      <c r="AX1198" s="3" t="s">
        <v>15561</v>
      </c>
      <c r="AY1198" s="3" t="s">
        <v>15562</v>
      </c>
      <c r="AZ1198" s="3" t="s">
        <v>74</v>
      </c>
      <c r="BB1198" s="3" t="s">
        <v>15563</v>
      </c>
      <c r="BC1198" s="3" t="s">
        <v>15564</v>
      </c>
      <c r="BD1198" s="3" t="s">
        <v>15565</v>
      </c>
    </row>
    <row r="1199" spans="1:56" ht="45.75" customHeight="1" x14ac:dyDescent="0.25">
      <c r="A1199" s="7" t="s">
        <v>58</v>
      </c>
      <c r="B1199" s="2" t="s">
        <v>15566</v>
      </c>
      <c r="C1199" s="2" t="s">
        <v>15567</v>
      </c>
      <c r="D1199" s="2" t="s">
        <v>15568</v>
      </c>
      <c r="F1199" s="3" t="s">
        <v>58</v>
      </c>
      <c r="G1199" s="3" t="s">
        <v>59</v>
      </c>
      <c r="H1199" s="3" t="s">
        <v>58</v>
      </c>
      <c r="I1199" s="3" t="s">
        <v>58</v>
      </c>
      <c r="J1199" s="3" t="s">
        <v>60</v>
      </c>
      <c r="K1199" s="2" t="s">
        <v>15569</v>
      </c>
      <c r="L1199" s="2" t="s">
        <v>15570</v>
      </c>
      <c r="M1199" s="3" t="s">
        <v>629</v>
      </c>
      <c r="O1199" s="3" t="s">
        <v>65</v>
      </c>
      <c r="P1199" s="3" t="s">
        <v>1282</v>
      </c>
      <c r="Q1199" s="2" t="s">
        <v>15571</v>
      </c>
      <c r="R1199" s="3" t="s">
        <v>67</v>
      </c>
      <c r="S1199" s="4">
        <v>6</v>
      </c>
      <c r="T1199" s="4">
        <v>6</v>
      </c>
      <c r="U1199" s="5" t="s">
        <v>15572</v>
      </c>
      <c r="V1199" s="5" t="s">
        <v>15572</v>
      </c>
      <c r="W1199" s="5" t="s">
        <v>13790</v>
      </c>
      <c r="X1199" s="5" t="s">
        <v>13790</v>
      </c>
      <c r="Y1199" s="4">
        <v>316</v>
      </c>
      <c r="Z1199" s="4">
        <v>235</v>
      </c>
      <c r="AA1199" s="4">
        <v>245</v>
      </c>
      <c r="AB1199" s="4">
        <v>2</v>
      </c>
      <c r="AC1199" s="4">
        <v>2</v>
      </c>
      <c r="AD1199" s="4">
        <v>13</v>
      </c>
      <c r="AE1199" s="4">
        <v>13</v>
      </c>
      <c r="AF1199" s="4">
        <v>1</v>
      </c>
      <c r="AG1199" s="4">
        <v>1</v>
      </c>
      <c r="AH1199" s="4">
        <v>5</v>
      </c>
      <c r="AI1199" s="4">
        <v>5</v>
      </c>
      <c r="AJ1199" s="4">
        <v>8</v>
      </c>
      <c r="AK1199" s="4">
        <v>8</v>
      </c>
      <c r="AL1199" s="4">
        <v>1</v>
      </c>
      <c r="AM1199" s="4">
        <v>1</v>
      </c>
      <c r="AN1199" s="4">
        <v>0</v>
      </c>
      <c r="AO1199" s="4">
        <v>0</v>
      </c>
      <c r="AP1199" s="3" t="s">
        <v>58</v>
      </c>
      <c r="AQ1199" s="3" t="s">
        <v>87</v>
      </c>
      <c r="AR1199" s="6" t="str">
        <f>HYPERLINK("http://catalog.hathitrust.org/Record/002857997","HathiTrust Record")</f>
        <v>HathiTrust Record</v>
      </c>
      <c r="AS1199" s="6" t="str">
        <f>HYPERLINK("https://creighton-primo.hosted.exlibrisgroup.com/primo-explore/search?tab=default_tab&amp;search_scope=EVERYTHING&amp;vid=01CRU&amp;lang=en_US&amp;offset=0&amp;query=any,contains,991002194029702656","Catalog Record")</f>
        <v>Catalog Record</v>
      </c>
      <c r="AT1199" s="6" t="str">
        <f>HYPERLINK("http://www.worldcat.org/oclc/28215116","WorldCat Record")</f>
        <v>WorldCat Record</v>
      </c>
      <c r="AU1199" s="3" t="s">
        <v>15573</v>
      </c>
      <c r="AV1199" s="3" t="s">
        <v>15574</v>
      </c>
      <c r="AW1199" s="3" t="s">
        <v>15575</v>
      </c>
      <c r="AX1199" s="3" t="s">
        <v>15575</v>
      </c>
      <c r="AY1199" s="3" t="s">
        <v>15576</v>
      </c>
      <c r="AZ1199" s="3" t="s">
        <v>74</v>
      </c>
      <c r="BB1199" s="3" t="s">
        <v>15577</v>
      </c>
      <c r="BC1199" s="3" t="s">
        <v>15578</v>
      </c>
      <c r="BD1199" s="3" t="s">
        <v>15579</v>
      </c>
    </row>
    <row r="1200" spans="1:56" ht="45.75" customHeight="1" x14ac:dyDescent="0.25">
      <c r="A1200" s="7" t="s">
        <v>58</v>
      </c>
      <c r="B1200" s="2" t="s">
        <v>15580</v>
      </c>
      <c r="C1200" s="2" t="s">
        <v>15581</v>
      </c>
      <c r="D1200" s="2" t="s">
        <v>15582</v>
      </c>
      <c r="F1200" s="3" t="s">
        <v>58</v>
      </c>
      <c r="G1200" s="3" t="s">
        <v>59</v>
      </c>
      <c r="H1200" s="3" t="s">
        <v>58</v>
      </c>
      <c r="I1200" s="3" t="s">
        <v>58</v>
      </c>
      <c r="J1200" s="3" t="s">
        <v>60</v>
      </c>
      <c r="K1200" s="2" t="s">
        <v>15583</v>
      </c>
      <c r="L1200" s="2" t="s">
        <v>15584</v>
      </c>
      <c r="M1200" s="3" t="s">
        <v>3601</v>
      </c>
      <c r="O1200" s="3" t="s">
        <v>65</v>
      </c>
      <c r="P1200" s="3" t="s">
        <v>175</v>
      </c>
      <c r="R1200" s="3" t="s">
        <v>67</v>
      </c>
      <c r="S1200" s="4">
        <v>11</v>
      </c>
      <c r="T1200" s="4">
        <v>11</v>
      </c>
      <c r="U1200" s="5" t="s">
        <v>15398</v>
      </c>
      <c r="V1200" s="5" t="s">
        <v>15398</v>
      </c>
      <c r="W1200" s="5" t="s">
        <v>5038</v>
      </c>
      <c r="X1200" s="5" t="s">
        <v>5038</v>
      </c>
      <c r="Y1200" s="4">
        <v>458</v>
      </c>
      <c r="Z1200" s="4">
        <v>364</v>
      </c>
      <c r="AA1200" s="4">
        <v>367</v>
      </c>
      <c r="AB1200" s="4">
        <v>3</v>
      </c>
      <c r="AC1200" s="4">
        <v>3</v>
      </c>
      <c r="AD1200" s="4">
        <v>14</v>
      </c>
      <c r="AE1200" s="4">
        <v>14</v>
      </c>
      <c r="AF1200" s="4">
        <v>5</v>
      </c>
      <c r="AG1200" s="4">
        <v>5</v>
      </c>
      <c r="AH1200" s="4">
        <v>4</v>
      </c>
      <c r="AI1200" s="4">
        <v>4</v>
      </c>
      <c r="AJ1200" s="4">
        <v>7</v>
      </c>
      <c r="AK1200" s="4">
        <v>7</v>
      </c>
      <c r="AL1200" s="4">
        <v>1</v>
      </c>
      <c r="AM1200" s="4">
        <v>1</v>
      </c>
      <c r="AN1200" s="4">
        <v>0</v>
      </c>
      <c r="AO1200" s="4">
        <v>0</v>
      </c>
      <c r="AP1200" s="3" t="s">
        <v>58</v>
      </c>
      <c r="AQ1200" s="3" t="s">
        <v>87</v>
      </c>
      <c r="AR1200" s="6" t="str">
        <f>HYPERLINK("http://catalog.hathitrust.org/Record/000016154","HathiTrust Record")</f>
        <v>HathiTrust Record</v>
      </c>
      <c r="AS1200" s="6" t="str">
        <f>HYPERLINK("https://creighton-primo.hosted.exlibrisgroup.com/primo-explore/search?tab=default_tab&amp;search_scope=EVERYTHING&amp;vid=01CRU&amp;lang=en_US&amp;offset=0&amp;query=any,contains,991003431009702656","Catalog Record")</f>
        <v>Catalog Record</v>
      </c>
      <c r="AT1200" s="6" t="str">
        <f>HYPERLINK("http://www.worldcat.org/oclc/965528","WorldCat Record")</f>
        <v>WorldCat Record</v>
      </c>
      <c r="AU1200" s="3" t="s">
        <v>15585</v>
      </c>
      <c r="AV1200" s="3" t="s">
        <v>15586</v>
      </c>
      <c r="AW1200" s="3" t="s">
        <v>15587</v>
      </c>
      <c r="AX1200" s="3" t="s">
        <v>15587</v>
      </c>
      <c r="AY1200" s="3" t="s">
        <v>15588</v>
      </c>
      <c r="AZ1200" s="3" t="s">
        <v>74</v>
      </c>
      <c r="BB1200" s="3" t="s">
        <v>15589</v>
      </c>
      <c r="BC1200" s="3" t="s">
        <v>15590</v>
      </c>
      <c r="BD1200" s="3" t="s">
        <v>15591</v>
      </c>
    </row>
    <row r="1201" spans="1:56" ht="45.75" customHeight="1" x14ac:dyDescent="0.25">
      <c r="A1201" s="7" t="s">
        <v>58</v>
      </c>
      <c r="B1201" s="2" t="s">
        <v>15592</v>
      </c>
      <c r="C1201" s="2" t="s">
        <v>15593</v>
      </c>
      <c r="D1201" s="2" t="s">
        <v>15594</v>
      </c>
      <c r="F1201" s="3" t="s">
        <v>58</v>
      </c>
      <c r="G1201" s="3" t="s">
        <v>59</v>
      </c>
      <c r="H1201" s="3" t="s">
        <v>58</v>
      </c>
      <c r="I1201" s="3" t="s">
        <v>58</v>
      </c>
      <c r="J1201" s="3" t="s">
        <v>60</v>
      </c>
      <c r="L1201" s="2" t="s">
        <v>15595</v>
      </c>
      <c r="M1201" s="3" t="s">
        <v>800</v>
      </c>
      <c r="O1201" s="3" t="s">
        <v>65</v>
      </c>
      <c r="P1201" s="3" t="s">
        <v>66</v>
      </c>
      <c r="R1201" s="3" t="s">
        <v>67</v>
      </c>
      <c r="S1201" s="4">
        <v>7</v>
      </c>
      <c r="T1201" s="4">
        <v>7</v>
      </c>
      <c r="U1201" s="5" t="s">
        <v>15596</v>
      </c>
      <c r="V1201" s="5" t="s">
        <v>15596</v>
      </c>
      <c r="W1201" s="5" t="s">
        <v>15597</v>
      </c>
      <c r="X1201" s="5" t="s">
        <v>15597</v>
      </c>
      <c r="Y1201" s="4">
        <v>182</v>
      </c>
      <c r="Z1201" s="4">
        <v>134</v>
      </c>
      <c r="AA1201" s="4">
        <v>141</v>
      </c>
      <c r="AB1201" s="4">
        <v>2</v>
      </c>
      <c r="AC1201" s="4">
        <v>2</v>
      </c>
      <c r="AD1201" s="4">
        <v>5</v>
      </c>
      <c r="AE1201" s="4">
        <v>5</v>
      </c>
      <c r="AF1201" s="4">
        <v>0</v>
      </c>
      <c r="AG1201" s="4">
        <v>0</v>
      </c>
      <c r="AH1201" s="4">
        <v>1</v>
      </c>
      <c r="AI1201" s="4">
        <v>1</v>
      </c>
      <c r="AJ1201" s="4">
        <v>3</v>
      </c>
      <c r="AK1201" s="4">
        <v>3</v>
      </c>
      <c r="AL1201" s="4">
        <v>1</v>
      </c>
      <c r="AM1201" s="4">
        <v>1</v>
      </c>
      <c r="AN1201" s="4">
        <v>0</v>
      </c>
      <c r="AO1201" s="4">
        <v>0</v>
      </c>
      <c r="AP1201" s="3" t="s">
        <v>58</v>
      </c>
      <c r="AQ1201" s="3" t="s">
        <v>87</v>
      </c>
      <c r="AR1201" s="6" t="str">
        <f>HYPERLINK("http://catalog.hathitrust.org/Record/002619371","HathiTrust Record")</f>
        <v>HathiTrust Record</v>
      </c>
      <c r="AS1201" s="6" t="str">
        <f>HYPERLINK("https://creighton-primo.hosted.exlibrisgroup.com/primo-explore/search?tab=default_tab&amp;search_scope=EVERYTHING&amp;vid=01CRU&amp;lang=en_US&amp;offset=0&amp;query=any,contains,991001772679702656","Catalog Record")</f>
        <v>Catalog Record</v>
      </c>
      <c r="AT1201" s="6" t="str">
        <f>HYPERLINK("http://www.worldcat.org/oclc/22383186","WorldCat Record")</f>
        <v>WorldCat Record</v>
      </c>
      <c r="AU1201" s="3" t="s">
        <v>15598</v>
      </c>
      <c r="AV1201" s="3" t="s">
        <v>15599</v>
      </c>
      <c r="AW1201" s="3" t="s">
        <v>15600</v>
      </c>
      <c r="AX1201" s="3" t="s">
        <v>15600</v>
      </c>
      <c r="AY1201" s="3" t="s">
        <v>15601</v>
      </c>
      <c r="AZ1201" s="3" t="s">
        <v>74</v>
      </c>
      <c r="BB1201" s="3" t="s">
        <v>15602</v>
      </c>
      <c r="BC1201" s="3" t="s">
        <v>15603</v>
      </c>
      <c r="BD1201" s="3" t="s">
        <v>15604</v>
      </c>
    </row>
    <row r="1202" spans="1:56" ht="45.75" customHeight="1" x14ac:dyDescent="0.25">
      <c r="A1202" s="7" t="s">
        <v>58</v>
      </c>
      <c r="B1202" s="2" t="s">
        <v>15605</v>
      </c>
      <c r="C1202" s="2" t="s">
        <v>15606</v>
      </c>
      <c r="D1202" s="2" t="s">
        <v>15607</v>
      </c>
      <c r="F1202" s="3" t="s">
        <v>58</v>
      </c>
      <c r="G1202" s="3" t="s">
        <v>59</v>
      </c>
      <c r="H1202" s="3" t="s">
        <v>58</v>
      </c>
      <c r="I1202" s="3" t="s">
        <v>58</v>
      </c>
      <c r="J1202" s="3" t="s">
        <v>60</v>
      </c>
      <c r="K1202" s="2" t="s">
        <v>15608</v>
      </c>
      <c r="L1202" s="2" t="s">
        <v>15609</v>
      </c>
      <c r="M1202" s="3" t="s">
        <v>1500</v>
      </c>
      <c r="O1202" s="3" t="s">
        <v>65</v>
      </c>
      <c r="P1202" s="3" t="s">
        <v>84</v>
      </c>
      <c r="R1202" s="3" t="s">
        <v>67</v>
      </c>
      <c r="S1202" s="4">
        <v>5</v>
      </c>
      <c r="T1202" s="4">
        <v>5</v>
      </c>
      <c r="U1202" s="5" t="s">
        <v>15610</v>
      </c>
      <c r="V1202" s="5" t="s">
        <v>15610</v>
      </c>
      <c r="W1202" s="5" t="s">
        <v>4187</v>
      </c>
      <c r="X1202" s="5" t="s">
        <v>4187</v>
      </c>
      <c r="Y1202" s="4">
        <v>326</v>
      </c>
      <c r="Z1202" s="4">
        <v>315</v>
      </c>
      <c r="AA1202" s="4">
        <v>656</v>
      </c>
      <c r="AB1202" s="4">
        <v>4</v>
      </c>
      <c r="AC1202" s="4">
        <v>6</v>
      </c>
      <c r="AD1202" s="4">
        <v>8</v>
      </c>
      <c r="AE1202" s="4">
        <v>19</v>
      </c>
      <c r="AF1202" s="4">
        <v>2</v>
      </c>
      <c r="AG1202" s="4">
        <v>4</v>
      </c>
      <c r="AH1202" s="4">
        <v>1</v>
      </c>
      <c r="AI1202" s="4">
        <v>4</v>
      </c>
      <c r="AJ1202" s="4">
        <v>4</v>
      </c>
      <c r="AK1202" s="4">
        <v>9</v>
      </c>
      <c r="AL1202" s="4">
        <v>2</v>
      </c>
      <c r="AM1202" s="4">
        <v>4</v>
      </c>
      <c r="AN1202" s="4">
        <v>0</v>
      </c>
      <c r="AO1202" s="4">
        <v>0</v>
      </c>
      <c r="AP1202" s="3" t="s">
        <v>58</v>
      </c>
      <c r="AQ1202" s="3" t="s">
        <v>87</v>
      </c>
      <c r="AR1202" s="6" t="str">
        <f>HYPERLINK("http://catalog.hathitrust.org/Record/000720665","HathiTrust Record")</f>
        <v>HathiTrust Record</v>
      </c>
      <c r="AS1202" s="6" t="str">
        <f>HYPERLINK("https://creighton-primo.hosted.exlibrisgroup.com/primo-explore/search?tab=default_tab&amp;search_scope=EVERYTHING&amp;vid=01CRU&amp;lang=en_US&amp;offset=0&amp;query=any,contains,991004990079702656","Catalog Record")</f>
        <v>Catalog Record</v>
      </c>
      <c r="AT1202" s="6" t="str">
        <f>HYPERLINK("http://www.worldcat.org/oclc/6486805","WorldCat Record")</f>
        <v>WorldCat Record</v>
      </c>
      <c r="AU1202" s="3" t="s">
        <v>15611</v>
      </c>
      <c r="AV1202" s="3" t="s">
        <v>15612</v>
      </c>
      <c r="AW1202" s="3" t="s">
        <v>15613</v>
      </c>
      <c r="AX1202" s="3" t="s">
        <v>15613</v>
      </c>
      <c r="AY1202" s="3" t="s">
        <v>15614</v>
      </c>
      <c r="AZ1202" s="3" t="s">
        <v>74</v>
      </c>
      <c r="BB1202" s="3" t="s">
        <v>15615</v>
      </c>
      <c r="BC1202" s="3" t="s">
        <v>15616</v>
      </c>
      <c r="BD1202" s="3" t="s">
        <v>15617</v>
      </c>
    </row>
    <row r="1203" spans="1:56" ht="45.75" customHeight="1" x14ac:dyDescent="0.25">
      <c r="A1203" s="7" t="s">
        <v>58</v>
      </c>
      <c r="B1203" s="2" t="s">
        <v>15618</v>
      </c>
      <c r="C1203" s="2" t="s">
        <v>15619</v>
      </c>
      <c r="D1203" s="2" t="s">
        <v>15620</v>
      </c>
      <c r="F1203" s="3" t="s">
        <v>58</v>
      </c>
      <c r="G1203" s="3" t="s">
        <v>59</v>
      </c>
      <c r="H1203" s="3" t="s">
        <v>58</v>
      </c>
      <c r="I1203" s="3" t="s">
        <v>58</v>
      </c>
      <c r="J1203" s="3" t="s">
        <v>60</v>
      </c>
      <c r="K1203" s="2" t="s">
        <v>9414</v>
      </c>
      <c r="L1203" s="2" t="s">
        <v>15621</v>
      </c>
      <c r="M1203" s="3" t="s">
        <v>100</v>
      </c>
      <c r="O1203" s="3" t="s">
        <v>65</v>
      </c>
      <c r="P1203" s="3" t="s">
        <v>84</v>
      </c>
      <c r="R1203" s="3" t="s">
        <v>67</v>
      </c>
      <c r="S1203" s="4">
        <v>19</v>
      </c>
      <c r="T1203" s="4">
        <v>19</v>
      </c>
      <c r="U1203" s="5" t="s">
        <v>2350</v>
      </c>
      <c r="V1203" s="5" t="s">
        <v>2350</v>
      </c>
      <c r="W1203" s="5" t="s">
        <v>15622</v>
      </c>
      <c r="X1203" s="5" t="s">
        <v>15622</v>
      </c>
      <c r="Y1203" s="4">
        <v>621</v>
      </c>
      <c r="Z1203" s="4">
        <v>484</v>
      </c>
      <c r="AA1203" s="4">
        <v>486</v>
      </c>
      <c r="AB1203" s="4">
        <v>4</v>
      </c>
      <c r="AC1203" s="4">
        <v>4</v>
      </c>
      <c r="AD1203" s="4">
        <v>30</v>
      </c>
      <c r="AE1203" s="4">
        <v>30</v>
      </c>
      <c r="AF1203" s="4">
        <v>7</v>
      </c>
      <c r="AG1203" s="4">
        <v>7</v>
      </c>
      <c r="AH1203" s="4">
        <v>7</v>
      </c>
      <c r="AI1203" s="4">
        <v>7</v>
      </c>
      <c r="AJ1203" s="4">
        <v>13</v>
      </c>
      <c r="AK1203" s="4">
        <v>13</v>
      </c>
      <c r="AL1203" s="4">
        <v>1</v>
      </c>
      <c r="AM1203" s="4">
        <v>1</v>
      </c>
      <c r="AN1203" s="4">
        <v>8</v>
      </c>
      <c r="AO1203" s="4">
        <v>8</v>
      </c>
      <c r="AP1203" s="3" t="s">
        <v>58</v>
      </c>
      <c r="AQ1203" s="3" t="s">
        <v>87</v>
      </c>
      <c r="AR1203" s="6" t="str">
        <f>HYPERLINK("http://catalog.hathitrust.org/Record/000034592","HathiTrust Record")</f>
        <v>HathiTrust Record</v>
      </c>
      <c r="AS1203" s="6" t="str">
        <f>HYPERLINK("https://creighton-primo.hosted.exlibrisgroup.com/primo-explore/search?tab=default_tab&amp;search_scope=EVERYTHING&amp;vid=01CRU&amp;lang=en_US&amp;offset=0&amp;query=any,contains,991003785159702656","Catalog Record")</f>
        <v>Catalog Record</v>
      </c>
      <c r="AT1203" s="6" t="str">
        <f>HYPERLINK("http://www.worldcat.org/oclc/1500361","WorldCat Record")</f>
        <v>WorldCat Record</v>
      </c>
      <c r="AU1203" s="3" t="s">
        <v>15623</v>
      </c>
      <c r="AV1203" s="3" t="s">
        <v>15624</v>
      </c>
      <c r="AW1203" s="3" t="s">
        <v>15625</v>
      </c>
      <c r="AX1203" s="3" t="s">
        <v>15625</v>
      </c>
      <c r="AY1203" s="3" t="s">
        <v>15626</v>
      </c>
      <c r="AZ1203" s="3" t="s">
        <v>74</v>
      </c>
      <c r="BB1203" s="3" t="s">
        <v>15627</v>
      </c>
      <c r="BC1203" s="3" t="s">
        <v>15628</v>
      </c>
      <c r="BD1203" s="3" t="s">
        <v>15629</v>
      </c>
    </row>
    <row r="1204" spans="1:56" ht="45.75" customHeight="1" x14ac:dyDescent="0.25">
      <c r="A1204" s="7" t="s">
        <v>58</v>
      </c>
      <c r="B1204" s="2" t="s">
        <v>15630</v>
      </c>
      <c r="C1204" s="2" t="s">
        <v>15631</v>
      </c>
      <c r="D1204" s="2" t="s">
        <v>15632</v>
      </c>
      <c r="F1204" s="3" t="s">
        <v>58</v>
      </c>
      <c r="G1204" s="3" t="s">
        <v>59</v>
      </c>
      <c r="H1204" s="3" t="s">
        <v>87</v>
      </c>
      <c r="I1204" s="3" t="s">
        <v>58</v>
      </c>
      <c r="J1204" s="3" t="s">
        <v>60</v>
      </c>
      <c r="K1204" s="2" t="s">
        <v>15633</v>
      </c>
      <c r="L1204" s="2" t="s">
        <v>15634</v>
      </c>
      <c r="M1204" s="3" t="s">
        <v>2506</v>
      </c>
      <c r="O1204" s="3" t="s">
        <v>65</v>
      </c>
      <c r="P1204" s="3" t="s">
        <v>336</v>
      </c>
      <c r="Q1204" s="2" t="s">
        <v>2258</v>
      </c>
      <c r="R1204" s="3" t="s">
        <v>67</v>
      </c>
      <c r="S1204" s="4">
        <v>2</v>
      </c>
      <c r="T1204" s="4">
        <v>2</v>
      </c>
      <c r="U1204" s="5" t="s">
        <v>15635</v>
      </c>
      <c r="V1204" s="5" t="s">
        <v>15635</v>
      </c>
      <c r="W1204" s="5" t="s">
        <v>15636</v>
      </c>
      <c r="X1204" s="5" t="s">
        <v>421</v>
      </c>
      <c r="Y1204" s="4">
        <v>837</v>
      </c>
      <c r="Z1204" s="4">
        <v>706</v>
      </c>
      <c r="AA1204" s="4">
        <v>803</v>
      </c>
      <c r="AB1204" s="4">
        <v>9</v>
      </c>
      <c r="AC1204" s="4">
        <v>9</v>
      </c>
      <c r="AD1204" s="4">
        <v>34</v>
      </c>
      <c r="AE1204" s="4">
        <v>35</v>
      </c>
      <c r="AF1204" s="4">
        <v>10</v>
      </c>
      <c r="AG1204" s="4">
        <v>10</v>
      </c>
      <c r="AH1204" s="4">
        <v>8</v>
      </c>
      <c r="AI1204" s="4">
        <v>8</v>
      </c>
      <c r="AJ1204" s="4">
        <v>15</v>
      </c>
      <c r="AK1204" s="4">
        <v>15</v>
      </c>
      <c r="AL1204" s="4">
        <v>6</v>
      </c>
      <c r="AM1204" s="4">
        <v>6</v>
      </c>
      <c r="AN1204" s="4">
        <v>4</v>
      </c>
      <c r="AO1204" s="4">
        <v>5</v>
      </c>
      <c r="AP1204" s="3" t="s">
        <v>58</v>
      </c>
      <c r="AQ1204" s="3" t="s">
        <v>87</v>
      </c>
      <c r="AR1204" s="6" t="str">
        <f>HYPERLINK("http://catalog.hathitrust.org/Record/000000877","HathiTrust Record")</f>
        <v>HathiTrust Record</v>
      </c>
      <c r="AS1204" s="6" t="str">
        <f>HYPERLINK("https://creighton-primo.hosted.exlibrisgroup.com/primo-explore/search?tab=default_tab&amp;search_scope=EVERYTHING&amp;vid=01CRU&amp;lang=en_US&amp;offset=0&amp;query=any,contains,991001684919702656","Catalog Record")</f>
        <v>Catalog Record</v>
      </c>
      <c r="AT1204" s="6" t="str">
        <f>HYPERLINK("http://www.worldcat.org/oclc/74084","WorldCat Record")</f>
        <v>WorldCat Record</v>
      </c>
      <c r="AU1204" s="3" t="s">
        <v>15637</v>
      </c>
      <c r="AV1204" s="3" t="s">
        <v>15638</v>
      </c>
      <c r="AW1204" s="3" t="s">
        <v>15639</v>
      </c>
      <c r="AX1204" s="3" t="s">
        <v>15639</v>
      </c>
      <c r="AY1204" s="3" t="s">
        <v>15640</v>
      </c>
      <c r="AZ1204" s="3" t="s">
        <v>74</v>
      </c>
      <c r="BB1204" s="3" t="s">
        <v>15641</v>
      </c>
      <c r="BC1204" s="3" t="s">
        <v>15642</v>
      </c>
      <c r="BD1204" s="3" t="s">
        <v>15643</v>
      </c>
    </row>
    <row r="1205" spans="1:56" ht="45.75" customHeight="1" x14ac:dyDescent="0.25">
      <c r="A1205" s="7" t="s">
        <v>58</v>
      </c>
      <c r="B1205" s="2" t="s">
        <v>15644</v>
      </c>
      <c r="C1205" s="2" t="s">
        <v>15645</v>
      </c>
      <c r="D1205" s="2" t="s">
        <v>15646</v>
      </c>
      <c r="F1205" s="3" t="s">
        <v>58</v>
      </c>
      <c r="G1205" s="3" t="s">
        <v>59</v>
      </c>
      <c r="H1205" s="3" t="s">
        <v>87</v>
      </c>
      <c r="I1205" s="3" t="s">
        <v>58</v>
      </c>
      <c r="J1205" s="3" t="s">
        <v>60</v>
      </c>
      <c r="K1205" s="2" t="s">
        <v>15647</v>
      </c>
      <c r="L1205" s="2" t="s">
        <v>15648</v>
      </c>
      <c r="M1205" s="3" t="s">
        <v>1674</v>
      </c>
      <c r="O1205" s="3" t="s">
        <v>65</v>
      </c>
      <c r="P1205" s="3" t="s">
        <v>84</v>
      </c>
      <c r="R1205" s="3" t="s">
        <v>67</v>
      </c>
      <c r="S1205" s="4">
        <v>2</v>
      </c>
      <c r="T1205" s="4">
        <v>2</v>
      </c>
      <c r="U1205" s="5" t="s">
        <v>7074</v>
      </c>
      <c r="V1205" s="5" t="s">
        <v>7074</v>
      </c>
      <c r="W1205" s="5" t="s">
        <v>9192</v>
      </c>
      <c r="X1205" s="5" t="s">
        <v>15649</v>
      </c>
      <c r="Y1205" s="4">
        <v>309</v>
      </c>
      <c r="Z1205" s="4">
        <v>266</v>
      </c>
      <c r="AA1205" s="4">
        <v>748</v>
      </c>
      <c r="AB1205" s="4">
        <v>5</v>
      </c>
      <c r="AC1205" s="4">
        <v>6</v>
      </c>
      <c r="AD1205" s="4">
        <v>19</v>
      </c>
      <c r="AE1205" s="4">
        <v>41</v>
      </c>
      <c r="AF1205" s="4">
        <v>5</v>
      </c>
      <c r="AG1205" s="4">
        <v>15</v>
      </c>
      <c r="AH1205" s="4">
        <v>3</v>
      </c>
      <c r="AI1205" s="4">
        <v>9</v>
      </c>
      <c r="AJ1205" s="4">
        <v>6</v>
      </c>
      <c r="AK1205" s="4">
        <v>12</v>
      </c>
      <c r="AL1205" s="4">
        <v>2</v>
      </c>
      <c r="AM1205" s="4">
        <v>3</v>
      </c>
      <c r="AN1205" s="4">
        <v>4</v>
      </c>
      <c r="AO1205" s="4">
        <v>9</v>
      </c>
      <c r="AP1205" s="3" t="s">
        <v>58</v>
      </c>
      <c r="AQ1205" s="3" t="s">
        <v>87</v>
      </c>
      <c r="AR1205" s="6" t="str">
        <f>HYPERLINK("http://catalog.hathitrust.org/Record/102069791","HathiTrust Record")</f>
        <v>HathiTrust Record</v>
      </c>
      <c r="AS1205" s="6" t="str">
        <f>HYPERLINK("https://creighton-primo.hosted.exlibrisgroup.com/primo-explore/search?tab=default_tab&amp;search_scope=EVERYTHING&amp;vid=01CRU&amp;lang=en_US&amp;offset=0&amp;query=any,contains,991001625539702656","Catalog Record")</f>
        <v>Catalog Record</v>
      </c>
      <c r="AT1205" s="6" t="str">
        <f>HYPERLINK("http://www.worldcat.org/oclc/204801","WorldCat Record")</f>
        <v>WorldCat Record</v>
      </c>
      <c r="AU1205" s="3" t="s">
        <v>15650</v>
      </c>
      <c r="AV1205" s="3" t="s">
        <v>15651</v>
      </c>
      <c r="AW1205" s="3" t="s">
        <v>15652</v>
      </c>
      <c r="AX1205" s="3" t="s">
        <v>15652</v>
      </c>
      <c r="AY1205" s="3" t="s">
        <v>15653</v>
      </c>
      <c r="AZ1205" s="3" t="s">
        <v>74</v>
      </c>
      <c r="BB1205" s="3" t="s">
        <v>15654</v>
      </c>
      <c r="BC1205" s="3" t="s">
        <v>15655</v>
      </c>
      <c r="BD1205" s="3" t="s">
        <v>15656</v>
      </c>
    </row>
    <row r="1206" spans="1:56" ht="45.75" customHeight="1" x14ac:dyDescent="0.25">
      <c r="A1206" s="7" t="s">
        <v>58</v>
      </c>
      <c r="B1206" s="2" t="s">
        <v>15657</v>
      </c>
      <c r="C1206" s="2" t="s">
        <v>15658</v>
      </c>
      <c r="D1206" s="2" t="s">
        <v>15659</v>
      </c>
      <c r="F1206" s="3" t="s">
        <v>58</v>
      </c>
      <c r="G1206" s="3" t="s">
        <v>59</v>
      </c>
      <c r="H1206" s="3" t="s">
        <v>58</v>
      </c>
      <c r="I1206" s="3" t="s">
        <v>58</v>
      </c>
      <c r="J1206" s="3" t="s">
        <v>60</v>
      </c>
      <c r="K1206" s="2" t="s">
        <v>15660</v>
      </c>
      <c r="L1206" s="2" t="s">
        <v>14529</v>
      </c>
      <c r="M1206" s="3" t="s">
        <v>1485</v>
      </c>
      <c r="O1206" s="3" t="s">
        <v>65</v>
      </c>
      <c r="P1206" s="3" t="s">
        <v>148</v>
      </c>
      <c r="Q1206" s="2" t="s">
        <v>15661</v>
      </c>
      <c r="R1206" s="3" t="s">
        <v>67</v>
      </c>
      <c r="S1206" s="4">
        <v>6</v>
      </c>
      <c r="T1206" s="4">
        <v>6</v>
      </c>
      <c r="U1206" s="5" t="s">
        <v>3560</v>
      </c>
      <c r="V1206" s="5" t="s">
        <v>3560</v>
      </c>
      <c r="W1206" s="5" t="s">
        <v>11348</v>
      </c>
      <c r="X1206" s="5" t="s">
        <v>11348</v>
      </c>
      <c r="Y1206" s="4">
        <v>263</v>
      </c>
      <c r="Z1206" s="4">
        <v>224</v>
      </c>
      <c r="AA1206" s="4">
        <v>229</v>
      </c>
      <c r="AB1206" s="4">
        <v>5</v>
      </c>
      <c r="AC1206" s="4">
        <v>5</v>
      </c>
      <c r="AD1206" s="4">
        <v>15</v>
      </c>
      <c r="AE1206" s="4">
        <v>15</v>
      </c>
      <c r="AF1206" s="4">
        <v>5</v>
      </c>
      <c r="AG1206" s="4">
        <v>5</v>
      </c>
      <c r="AH1206" s="4">
        <v>1</v>
      </c>
      <c r="AI1206" s="4">
        <v>1</v>
      </c>
      <c r="AJ1206" s="4">
        <v>6</v>
      </c>
      <c r="AK1206" s="4">
        <v>6</v>
      </c>
      <c r="AL1206" s="4">
        <v>3</v>
      </c>
      <c r="AM1206" s="4">
        <v>3</v>
      </c>
      <c r="AN1206" s="4">
        <v>3</v>
      </c>
      <c r="AO1206" s="4">
        <v>3</v>
      </c>
      <c r="AP1206" s="3" t="s">
        <v>58</v>
      </c>
      <c r="AQ1206" s="3" t="s">
        <v>58</v>
      </c>
      <c r="AS1206" s="6" t="str">
        <f>HYPERLINK("https://creighton-primo.hosted.exlibrisgroup.com/primo-explore/search?tab=default_tab&amp;search_scope=EVERYTHING&amp;vid=01CRU&amp;lang=en_US&amp;offset=0&amp;query=any,contains,991003969619702656","Catalog Record")</f>
        <v>Catalog Record</v>
      </c>
      <c r="AT1206" s="6" t="str">
        <f>HYPERLINK("http://www.worldcat.org/oclc/1991320","WorldCat Record")</f>
        <v>WorldCat Record</v>
      </c>
      <c r="AU1206" s="3" t="s">
        <v>15662</v>
      </c>
      <c r="AV1206" s="3" t="s">
        <v>15663</v>
      </c>
      <c r="AW1206" s="3" t="s">
        <v>15664</v>
      </c>
      <c r="AX1206" s="3" t="s">
        <v>15664</v>
      </c>
      <c r="AY1206" s="3" t="s">
        <v>15665</v>
      </c>
      <c r="AZ1206" s="3" t="s">
        <v>74</v>
      </c>
      <c r="BB1206" s="3" t="s">
        <v>15666</v>
      </c>
      <c r="BC1206" s="3" t="s">
        <v>15667</v>
      </c>
      <c r="BD1206" s="3" t="s">
        <v>15668</v>
      </c>
    </row>
    <row r="1207" spans="1:56" ht="45.75" customHeight="1" x14ac:dyDescent="0.25">
      <c r="A1207" s="7" t="s">
        <v>58</v>
      </c>
      <c r="B1207" s="2" t="s">
        <v>15669</v>
      </c>
      <c r="C1207" s="2" t="s">
        <v>15670</v>
      </c>
      <c r="D1207" s="2" t="s">
        <v>15671</v>
      </c>
      <c r="F1207" s="3" t="s">
        <v>58</v>
      </c>
      <c r="G1207" s="3" t="s">
        <v>59</v>
      </c>
      <c r="H1207" s="3" t="s">
        <v>87</v>
      </c>
      <c r="I1207" s="3" t="s">
        <v>58</v>
      </c>
      <c r="J1207" s="3" t="s">
        <v>60</v>
      </c>
      <c r="K1207" s="2" t="s">
        <v>5607</v>
      </c>
      <c r="L1207" s="2" t="s">
        <v>15672</v>
      </c>
      <c r="M1207" s="3" t="s">
        <v>3601</v>
      </c>
      <c r="O1207" s="3" t="s">
        <v>65</v>
      </c>
      <c r="P1207" s="3" t="s">
        <v>190</v>
      </c>
      <c r="Q1207" s="2" t="s">
        <v>15673</v>
      </c>
      <c r="R1207" s="3" t="s">
        <v>67</v>
      </c>
      <c r="S1207" s="4">
        <v>8</v>
      </c>
      <c r="T1207" s="4">
        <v>8</v>
      </c>
      <c r="U1207" s="5" t="s">
        <v>11233</v>
      </c>
      <c r="V1207" s="5" t="s">
        <v>11233</v>
      </c>
      <c r="W1207" s="5" t="s">
        <v>14565</v>
      </c>
      <c r="X1207" s="5" t="s">
        <v>15674</v>
      </c>
      <c r="Y1207" s="4">
        <v>850</v>
      </c>
      <c r="Z1207" s="4">
        <v>699</v>
      </c>
      <c r="AA1207" s="4">
        <v>760</v>
      </c>
      <c r="AB1207" s="4">
        <v>8</v>
      </c>
      <c r="AC1207" s="4">
        <v>8</v>
      </c>
      <c r="AD1207" s="4">
        <v>40</v>
      </c>
      <c r="AE1207" s="4">
        <v>44</v>
      </c>
      <c r="AF1207" s="4">
        <v>10</v>
      </c>
      <c r="AG1207" s="4">
        <v>13</v>
      </c>
      <c r="AH1207" s="4">
        <v>7</v>
      </c>
      <c r="AI1207" s="4">
        <v>7</v>
      </c>
      <c r="AJ1207" s="4">
        <v>13</v>
      </c>
      <c r="AK1207" s="4">
        <v>15</v>
      </c>
      <c r="AL1207" s="4">
        <v>5</v>
      </c>
      <c r="AM1207" s="4">
        <v>5</v>
      </c>
      <c r="AN1207" s="4">
        <v>12</v>
      </c>
      <c r="AO1207" s="4">
        <v>13</v>
      </c>
      <c r="AP1207" s="3" t="s">
        <v>58</v>
      </c>
      <c r="AQ1207" s="3" t="s">
        <v>58</v>
      </c>
      <c r="AS1207" s="6" t="str">
        <f>HYPERLINK("https://creighton-primo.hosted.exlibrisgroup.com/primo-explore/search?tab=default_tab&amp;search_scope=EVERYTHING&amp;vid=01CRU&amp;lang=en_US&amp;offset=0&amp;query=any,contains,991001647559702656","Catalog Record")</f>
        <v>Catalog Record</v>
      </c>
      <c r="AT1207" s="6" t="str">
        <f>HYPERLINK("http://www.worldcat.org/oclc/1288969","WorldCat Record")</f>
        <v>WorldCat Record</v>
      </c>
      <c r="AU1207" s="3" t="s">
        <v>15675</v>
      </c>
      <c r="AV1207" s="3" t="s">
        <v>15676</v>
      </c>
      <c r="AW1207" s="3" t="s">
        <v>15677</v>
      </c>
      <c r="AX1207" s="3" t="s">
        <v>15677</v>
      </c>
      <c r="AY1207" s="3" t="s">
        <v>15678</v>
      </c>
      <c r="AZ1207" s="3" t="s">
        <v>74</v>
      </c>
      <c r="BB1207" s="3" t="s">
        <v>15679</v>
      </c>
      <c r="BC1207" s="3" t="s">
        <v>15680</v>
      </c>
      <c r="BD1207" s="3" t="s">
        <v>15681</v>
      </c>
    </row>
    <row r="1208" spans="1:56" ht="45.75" customHeight="1" x14ac:dyDescent="0.25">
      <c r="A1208" s="7" t="s">
        <v>58</v>
      </c>
      <c r="B1208" s="2" t="s">
        <v>15682</v>
      </c>
      <c r="C1208" s="2" t="s">
        <v>15683</v>
      </c>
      <c r="D1208" s="2" t="s">
        <v>15684</v>
      </c>
      <c r="F1208" s="3" t="s">
        <v>58</v>
      </c>
      <c r="G1208" s="3" t="s">
        <v>59</v>
      </c>
      <c r="H1208" s="3" t="s">
        <v>87</v>
      </c>
      <c r="I1208" s="3" t="s">
        <v>58</v>
      </c>
      <c r="J1208" s="3" t="s">
        <v>60</v>
      </c>
      <c r="K1208" s="2" t="s">
        <v>15685</v>
      </c>
      <c r="L1208" s="2" t="s">
        <v>15686</v>
      </c>
      <c r="M1208" s="3" t="s">
        <v>3358</v>
      </c>
      <c r="O1208" s="3" t="s">
        <v>65</v>
      </c>
      <c r="P1208" s="3" t="s">
        <v>529</v>
      </c>
      <c r="R1208" s="3" t="s">
        <v>67</v>
      </c>
      <c r="S1208" s="4">
        <v>16</v>
      </c>
      <c r="T1208" s="4">
        <v>17</v>
      </c>
      <c r="U1208" s="5" t="s">
        <v>15687</v>
      </c>
      <c r="V1208" s="5" t="s">
        <v>15687</v>
      </c>
      <c r="W1208" s="5" t="s">
        <v>9575</v>
      </c>
      <c r="X1208" s="5" t="s">
        <v>5224</v>
      </c>
      <c r="Y1208" s="4">
        <v>642</v>
      </c>
      <c r="Z1208" s="4">
        <v>582</v>
      </c>
      <c r="AA1208" s="4">
        <v>687</v>
      </c>
      <c r="AB1208" s="4">
        <v>8</v>
      </c>
      <c r="AC1208" s="4">
        <v>10</v>
      </c>
      <c r="AD1208" s="4">
        <v>39</v>
      </c>
      <c r="AE1208" s="4">
        <v>44</v>
      </c>
      <c r="AF1208" s="4">
        <v>12</v>
      </c>
      <c r="AG1208" s="4">
        <v>12</v>
      </c>
      <c r="AH1208" s="4">
        <v>9</v>
      </c>
      <c r="AI1208" s="4">
        <v>9</v>
      </c>
      <c r="AJ1208" s="4">
        <v>11</v>
      </c>
      <c r="AK1208" s="4">
        <v>13</v>
      </c>
      <c r="AL1208" s="4">
        <v>4</v>
      </c>
      <c r="AM1208" s="4">
        <v>6</v>
      </c>
      <c r="AN1208" s="4">
        <v>12</v>
      </c>
      <c r="AO1208" s="4">
        <v>13</v>
      </c>
      <c r="AP1208" s="3" t="s">
        <v>58</v>
      </c>
      <c r="AQ1208" s="3" t="s">
        <v>87</v>
      </c>
      <c r="AR1208" s="6" t="str">
        <f>HYPERLINK("http://catalog.hathitrust.org/Record/000003493","HathiTrust Record")</f>
        <v>HathiTrust Record</v>
      </c>
      <c r="AS1208" s="6" t="str">
        <f>HYPERLINK("https://creighton-primo.hosted.exlibrisgroup.com/primo-explore/search?tab=default_tab&amp;search_scope=EVERYTHING&amp;vid=01CRU&amp;lang=en_US&amp;offset=0&amp;query=any,contains,991001812429702656","Catalog Record")</f>
        <v>Catalog Record</v>
      </c>
      <c r="AT1208" s="6" t="str">
        <f>HYPERLINK("http://www.worldcat.org/oclc/240561","WorldCat Record")</f>
        <v>WorldCat Record</v>
      </c>
      <c r="AU1208" s="3" t="s">
        <v>15688</v>
      </c>
      <c r="AV1208" s="3" t="s">
        <v>15689</v>
      </c>
      <c r="AW1208" s="3" t="s">
        <v>15690</v>
      </c>
      <c r="AX1208" s="3" t="s">
        <v>15690</v>
      </c>
      <c r="AY1208" s="3" t="s">
        <v>15691</v>
      </c>
      <c r="AZ1208" s="3" t="s">
        <v>74</v>
      </c>
      <c r="BB1208" s="3" t="s">
        <v>15692</v>
      </c>
      <c r="BC1208" s="3" t="s">
        <v>15693</v>
      </c>
      <c r="BD1208" s="3" t="s">
        <v>15694</v>
      </c>
    </row>
    <row r="1209" spans="1:56" ht="45.75" customHeight="1" x14ac:dyDescent="0.25">
      <c r="A1209" s="7" t="s">
        <v>58</v>
      </c>
      <c r="B1209" s="2" t="s">
        <v>15695</v>
      </c>
      <c r="C1209" s="2" t="s">
        <v>15696</v>
      </c>
      <c r="D1209" s="2" t="s">
        <v>15697</v>
      </c>
      <c r="F1209" s="3" t="s">
        <v>58</v>
      </c>
      <c r="G1209" s="3" t="s">
        <v>59</v>
      </c>
      <c r="H1209" s="3" t="s">
        <v>58</v>
      </c>
      <c r="I1209" s="3" t="s">
        <v>58</v>
      </c>
      <c r="J1209" s="3" t="s">
        <v>60</v>
      </c>
      <c r="K1209" s="2" t="s">
        <v>15698</v>
      </c>
      <c r="L1209" s="2" t="s">
        <v>15699</v>
      </c>
      <c r="M1209" s="3" t="s">
        <v>1544</v>
      </c>
      <c r="O1209" s="3" t="s">
        <v>65</v>
      </c>
      <c r="P1209" s="3" t="s">
        <v>84</v>
      </c>
      <c r="Q1209" s="2" t="s">
        <v>15700</v>
      </c>
      <c r="R1209" s="3" t="s">
        <v>67</v>
      </c>
      <c r="S1209" s="4">
        <v>8</v>
      </c>
      <c r="T1209" s="4">
        <v>8</v>
      </c>
      <c r="U1209" s="5" t="s">
        <v>15701</v>
      </c>
      <c r="V1209" s="5" t="s">
        <v>15701</v>
      </c>
      <c r="W1209" s="5" t="s">
        <v>15636</v>
      </c>
      <c r="X1209" s="5" t="s">
        <v>15636</v>
      </c>
      <c r="Y1209" s="4">
        <v>327</v>
      </c>
      <c r="Z1209" s="4">
        <v>288</v>
      </c>
      <c r="AA1209" s="4">
        <v>289</v>
      </c>
      <c r="AB1209" s="4">
        <v>4</v>
      </c>
      <c r="AC1209" s="4">
        <v>4</v>
      </c>
      <c r="AD1209" s="4">
        <v>18</v>
      </c>
      <c r="AE1209" s="4">
        <v>18</v>
      </c>
      <c r="AF1209" s="4">
        <v>5</v>
      </c>
      <c r="AG1209" s="4">
        <v>5</v>
      </c>
      <c r="AH1209" s="4">
        <v>3</v>
      </c>
      <c r="AI1209" s="4">
        <v>3</v>
      </c>
      <c r="AJ1209" s="4">
        <v>4</v>
      </c>
      <c r="AK1209" s="4">
        <v>4</v>
      </c>
      <c r="AL1209" s="4">
        <v>3</v>
      </c>
      <c r="AM1209" s="4">
        <v>3</v>
      </c>
      <c r="AN1209" s="4">
        <v>4</v>
      </c>
      <c r="AO1209" s="4">
        <v>4</v>
      </c>
      <c r="AP1209" s="3" t="s">
        <v>58</v>
      </c>
      <c r="AQ1209" s="3" t="s">
        <v>58</v>
      </c>
      <c r="AS1209" s="6" t="str">
        <f>HYPERLINK("https://creighton-primo.hosted.exlibrisgroup.com/primo-explore/search?tab=default_tab&amp;search_scope=EVERYTHING&amp;vid=01CRU&amp;lang=en_US&amp;offset=0&amp;query=any,contains,991000683349702656","Catalog Record")</f>
        <v>Catalog Record</v>
      </c>
      <c r="AT1209" s="6" t="str">
        <f>HYPERLINK("http://www.worldcat.org/oclc/122580","WorldCat Record")</f>
        <v>WorldCat Record</v>
      </c>
      <c r="AU1209" s="3" t="s">
        <v>15702</v>
      </c>
      <c r="AV1209" s="3" t="s">
        <v>15703</v>
      </c>
      <c r="AW1209" s="3" t="s">
        <v>15704</v>
      </c>
      <c r="AX1209" s="3" t="s">
        <v>15704</v>
      </c>
      <c r="AY1209" s="3" t="s">
        <v>15705</v>
      </c>
      <c r="AZ1209" s="3" t="s">
        <v>74</v>
      </c>
      <c r="BB1209" s="3" t="s">
        <v>15706</v>
      </c>
      <c r="BC1209" s="3" t="s">
        <v>15707</v>
      </c>
      <c r="BD1209" s="3" t="s">
        <v>15708</v>
      </c>
    </row>
    <row r="1210" spans="1:56" ht="45.75" customHeight="1" x14ac:dyDescent="0.25">
      <c r="A1210" s="7" t="s">
        <v>58</v>
      </c>
      <c r="B1210" s="2" t="s">
        <v>15709</v>
      </c>
      <c r="C1210" s="2" t="s">
        <v>15710</v>
      </c>
      <c r="D1210" s="2" t="s">
        <v>15711</v>
      </c>
      <c r="F1210" s="3" t="s">
        <v>58</v>
      </c>
      <c r="G1210" s="3" t="s">
        <v>59</v>
      </c>
      <c r="H1210" s="3" t="s">
        <v>58</v>
      </c>
      <c r="I1210" s="3" t="s">
        <v>58</v>
      </c>
      <c r="J1210" s="3" t="s">
        <v>60</v>
      </c>
      <c r="K1210" s="2" t="s">
        <v>15712</v>
      </c>
      <c r="L1210" s="2" t="s">
        <v>15713</v>
      </c>
      <c r="M1210" s="3" t="s">
        <v>1419</v>
      </c>
      <c r="O1210" s="3" t="s">
        <v>65</v>
      </c>
      <c r="P1210" s="3" t="s">
        <v>204</v>
      </c>
      <c r="R1210" s="3" t="s">
        <v>67</v>
      </c>
      <c r="S1210" s="4">
        <v>16</v>
      </c>
      <c r="T1210" s="4">
        <v>16</v>
      </c>
      <c r="U1210" s="5" t="s">
        <v>2737</v>
      </c>
      <c r="V1210" s="5" t="s">
        <v>2737</v>
      </c>
      <c r="W1210" s="5" t="s">
        <v>3588</v>
      </c>
      <c r="X1210" s="5" t="s">
        <v>3588</v>
      </c>
      <c r="Y1210" s="4">
        <v>578</v>
      </c>
      <c r="Z1210" s="4">
        <v>514</v>
      </c>
      <c r="AA1210" s="4">
        <v>645</v>
      </c>
      <c r="AB1210" s="4">
        <v>3</v>
      </c>
      <c r="AC1210" s="4">
        <v>4</v>
      </c>
      <c r="AD1210" s="4">
        <v>21</v>
      </c>
      <c r="AE1210" s="4">
        <v>28</v>
      </c>
      <c r="AF1210" s="4">
        <v>4</v>
      </c>
      <c r="AG1210" s="4">
        <v>5</v>
      </c>
      <c r="AH1210" s="4">
        <v>5</v>
      </c>
      <c r="AI1210" s="4">
        <v>8</v>
      </c>
      <c r="AJ1210" s="4">
        <v>6</v>
      </c>
      <c r="AK1210" s="4">
        <v>11</v>
      </c>
      <c r="AL1210" s="4">
        <v>2</v>
      </c>
      <c r="AM1210" s="4">
        <v>3</v>
      </c>
      <c r="AN1210" s="4">
        <v>6</v>
      </c>
      <c r="AO1210" s="4">
        <v>7</v>
      </c>
      <c r="AP1210" s="3" t="s">
        <v>58</v>
      </c>
      <c r="AQ1210" s="3" t="s">
        <v>87</v>
      </c>
      <c r="AR1210" s="6" t="str">
        <f>HYPERLINK("http://catalog.hathitrust.org/Record/000087457","HathiTrust Record")</f>
        <v>HathiTrust Record</v>
      </c>
      <c r="AS1210" s="6" t="str">
        <f>HYPERLINK("https://creighton-primo.hosted.exlibrisgroup.com/primo-explore/search?tab=default_tab&amp;search_scope=EVERYTHING&amp;vid=01CRU&amp;lang=en_US&amp;offset=0&amp;query=any,contains,991004445809702656","Catalog Record")</f>
        <v>Catalog Record</v>
      </c>
      <c r="AT1210" s="6" t="str">
        <f>HYPERLINK("http://www.worldcat.org/oclc/3481439","WorldCat Record")</f>
        <v>WorldCat Record</v>
      </c>
      <c r="AU1210" s="3" t="s">
        <v>15714</v>
      </c>
      <c r="AV1210" s="3" t="s">
        <v>15715</v>
      </c>
      <c r="AW1210" s="3" t="s">
        <v>15716</v>
      </c>
      <c r="AX1210" s="3" t="s">
        <v>15716</v>
      </c>
      <c r="AY1210" s="3" t="s">
        <v>15717</v>
      </c>
      <c r="AZ1210" s="3" t="s">
        <v>74</v>
      </c>
      <c r="BB1210" s="3" t="s">
        <v>15718</v>
      </c>
      <c r="BC1210" s="3" t="s">
        <v>15719</v>
      </c>
      <c r="BD1210" s="3" t="s">
        <v>15720</v>
      </c>
    </row>
    <row r="1211" spans="1:56" ht="45.75" customHeight="1" x14ac:dyDescent="0.25">
      <c r="A1211" s="7" t="s">
        <v>58</v>
      </c>
      <c r="B1211" s="2" t="s">
        <v>15721</v>
      </c>
      <c r="C1211" s="2" t="s">
        <v>15722</v>
      </c>
      <c r="D1211" s="2" t="s">
        <v>15723</v>
      </c>
      <c r="F1211" s="3" t="s">
        <v>58</v>
      </c>
      <c r="G1211" s="3" t="s">
        <v>59</v>
      </c>
      <c r="H1211" s="3" t="s">
        <v>58</v>
      </c>
      <c r="I1211" s="3" t="s">
        <v>58</v>
      </c>
      <c r="J1211" s="3" t="s">
        <v>60</v>
      </c>
      <c r="L1211" s="2" t="s">
        <v>15724</v>
      </c>
      <c r="M1211" s="3" t="s">
        <v>2146</v>
      </c>
      <c r="O1211" s="3" t="s">
        <v>65</v>
      </c>
      <c r="P1211" s="3" t="s">
        <v>190</v>
      </c>
      <c r="Q1211" s="2" t="s">
        <v>15725</v>
      </c>
      <c r="R1211" s="3" t="s">
        <v>67</v>
      </c>
      <c r="S1211" s="4">
        <v>24</v>
      </c>
      <c r="T1211" s="4">
        <v>24</v>
      </c>
      <c r="U1211" s="5" t="s">
        <v>6479</v>
      </c>
      <c r="V1211" s="5" t="s">
        <v>6479</v>
      </c>
      <c r="W1211" s="5" t="s">
        <v>5890</v>
      </c>
      <c r="X1211" s="5" t="s">
        <v>5890</v>
      </c>
      <c r="Y1211" s="4">
        <v>440</v>
      </c>
      <c r="Z1211" s="4">
        <v>372</v>
      </c>
      <c r="AA1211" s="4">
        <v>379</v>
      </c>
      <c r="AB1211" s="4">
        <v>4</v>
      </c>
      <c r="AC1211" s="4">
        <v>4</v>
      </c>
      <c r="AD1211" s="4">
        <v>21</v>
      </c>
      <c r="AE1211" s="4">
        <v>21</v>
      </c>
      <c r="AF1211" s="4">
        <v>6</v>
      </c>
      <c r="AG1211" s="4">
        <v>6</v>
      </c>
      <c r="AH1211" s="4">
        <v>5</v>
      </c>
      <c r="AI1211" s="4">
        <v>5</v>
      </c>
      <c r="AJ1211" s="4">
        <v>7</v>
      </c>
      <c r="AK1211" s="4">
        <v>7</v>
      </c>
      <c r="AL1211" s="4">
        <v>2</v>
      </c>
      <c r="AM1211" s="4">
        <v>2</v>
      </c>
      <c r="AN1211" s="4">
        <v>5</v>
      </c>
      <c r="AO1211" s="4">
        <v>5</v>
      </c>
      <c r="AP1211" s="3" t="s">
        <v>58</v>
      </c>
      <c r="AQ1211" s="3" t="s">
        <v>87</v>
      </c>
      <c r="AR1211" s="6" t="str">
        <f>HYPERLINK("http://catalog.hathitrust.org/Record/000881549","HathiTrust Record")</f>
        <v>HathiTrust Record</v>
      </c>
      <c r="AS1211" s="6" t="str">
        <f>HYPERLINK("https://creighton-primo.hosted.exlibrisgroup.com/primo-explore/search?tab=default_tab&amp;search_scope=EVERYTHING&amp;vid=01CRU&amp;lang=en_US&amp;offset=0&amp;query=any,contains,991003185069702656","Catalog Record")</f>
        <v>Catalog Record</v>
      </c>
      <c r="AT1211" s="6" t="str">
        <f>HYPERLINK("http://www.worldcat.org/oclc/712565","WorldCat Record")</f>
        <v>WorldCat Record</v>
      </c>
      <c r="AU1211" s="3" t="s">
        <v>15726</v>
      </c>
      <c r="AV1211" s="3" t="s">
        <v>15727</v>
      </c>
      <c r="AW1211" s="3" t="s">
        <v>15728</v>
      </c>
      <c r="AX1211" s="3" t="s">
        <v>15728</v>
      </c>
      <c r="AY1211" s="3" t="s">
        <v>15729</v>
      </c>
      <c r="AZ1211" s="3" t="s">
        <v>74</v>
      </c>
      <c r="BC1211" s="3" t="s">
        <v>15730</v>
      </c>
      <c r="BD1211" s="3" t="s">
        <v>15731</v>
      </c>
    </row>
    <row r="1212" spans="1:56" ht="45.75" customHeight="1" x14ac:dyDescent="0.25">
      <c r="A1212" s="7" t="s">
        <v>58</v>
      </c>
      <c r="B1212" s="2" t="s">
        <v>15732</v>
      </c>
      <c r="C1212" s="2" t="s">
        <v>15733</v>
      </c>
      <c r="D1212" s="2" t="s">
        <v>15734</v>
      </c>
      <c r="F1212" s="3" t="s">
        <v>58</v>
      </c>
      <c r="G1212" s="3" t="s">
        <v>59</v>
      </c>
      <c r="H1212" s="3" t="s">
        <v>58</v>
      </c>
      <c r="I1212" s="3" t="s">
        <v>58</v>
      </c>
      <c r="J1212" s="3" t="s">
        <v>60</v>
      </c>
      <c r="K1212" s="2" t="s">
        <v>15735</v>
      </c>
      <c r="L1212" s="2" t="s">
        <v>15736</v>
      </c>
      <c r="M1212" s="3" t="s">
        <v>742</v>
      </c>
      <c r="O1212" s="3" t="s">
        <v>65</v>
      </c>
      <c r="P1212" s="3" t="s">
        <v>336</v>
      </c>
      <c r="Q1212" s="2" t="s">
        <v>15737</v>
      </c>
      <c r="R1212" s="3" t="s">
        <v>67</v>
      </c>
      <c r="S1212" s="4">
        <v>33</v>
      </c>
      <c r="T1212" s="4">
        <v>33</v>
      </c>
      <c r="U1212" s="5" t="s">
        <v>15687</v>
      </c>
      <c r="V1212" s="5" t="s">
        <v>15687</v>
      </c>
      <c r="W1212" s="5" t="s">
        <v>4761</v>
      </c>
      <c r="X1212" s="5" t="s">
        <v>4761</v>
      </c>
      <c r="Y1212" s="4">
        <v>512</v>
      </c>
      <c r="Z1212" s="4">
        <v>430</v>
      </c>
      <c r="AA1212" s="4">
        <v>503</v>
      </c>
      <c r="AB1212" s="4">
        <v>1</v>
      </c>
      <c r="AC1212" s="4">
        <v>1</v>
      </c>
      <c r="AD1212" s="4">
        <v>28</v>
      </c>
      <c r="AE1212" s="4">
        <v>33</v>
      </c>
      <c r="AF1212" s="4">
        <v>7</v>
      </c>
      <c r="AG1212" s="4">
        <v>9</v>
      </c>
      <c r="AH1212" s="4">
        <v>5</v>
      </c>
      <c r="AI1212" s="4">
        <v>6</v>
      </c>
      <c r="AJ1212" s="4">
        <v>8</v>
      </c>
      <c r="AK1212" s="4">
        <v>10</v>
      </c>
      <c r="AL1212" s="4">
        <v>0</v>
      </c>
      <c r="AM1212" s="4">
        <v>0</v>
      </c>
      <c r="AN1212" s="4">
        <v>11</v>
      </c>
      <c r="AO1212" s="4">
        <v>12</v>
      </c>
      <c r="AP1212" s="3" t="s">
        <v>58</v>
      </c>
      <c r="AQ1212" s="3" t="s">
        <v>58</v>
      </c>
      <c r="AS1212" s="6" t="str">
        <f>HYPERLINK("https://creighton-primo.hosted.exlibrisgroup.com/primo-explore/search?tab=default_tab&amp;search_scope=EVERYTHING&amp;vid=01CRU&amp;lang=en_US&amp;offset=0&amp;query=any,contains,991001301339702656","Catalog Record")</f>
        <v>Catalog Record</v>
      </c>
      <c r="AT1212" s="6" t="str">
        <f>HYPERLINK("http://www.worldcat.org/oclc/18069985","WorldCat Record")</f>
        <v>WorldCat Record</v>
      </c>
      <c r="AU1212" s="3" t="s">
        <v>15738</v>
      </c>
      <c r="AV1212" s="3" t="s">
        <v>15739</v>
      </c>
      <c r="AW1212" s="3" t="s">
        <v>15740</v>
      </c>
      <c r="AX1212" s="3" t="s">
        <v>15740</v>
      </c>
      <c r="AY1212" s="3" t="s">
        <v>15741</v>
      </c>
      <c r="AZ1212" s="3" t="s">
        <v>74</v>
      </c>
      <c r="BB1212" s="3" t="s">
        <v>15742</v>
      </c>
      <c r="BC1212" s="3" t="s">
        <v>15743</v>
      </c>
      <c r="BD1212" s="3" t="s">
        <v>15744</v>
      </c>
    </row>
    <row r="1213" spans="1:56" ht="45.75" customHeight="1" x14ac:dyDescent="0.25">
      <c r="A1213" s="7" t="s">
        <v>58</v>
      </c>
      <c r="B1213" s="2" t="s">
        <v>15745</v>
      </c>
      <c r="C1213" s="2" t="s">
        <v>15746</v>
      </c>
      <c r="D1213" s="2" t="s">
        <v>15747</v>
      </c>
      <c r="F1213" s="3" t="s">
        <v>58</v>
      </c>
      <c r="G1213" s="3" t="s">
        <v>59</v>
      </c>
      <c r="H1213" s="3" t="s">
        <v>87</v>
      </c>
      <c r="I1213" s="3" t="s">
        <v>58</v>
      </c>
      <c r="J1213" s="3" t="s">
        <v>60</v>
      </c>
      <c r="K1213" s="2" t="s">
        <v>15748</v>
      </c>
      <c r="L1213" s="2" t="s">
        <v>15749</v>
      </c>
      <c r="M1213" s="3" t="s">
        <v>1209</v>
      </c>
      <c r="O1213" s="3" t="s">
        <v>65</v>
      </c>
      <c r="P1213" s="3" t="s">
        <v>175</v>
      </c>
      <c r="R1213" s="3" t="s">
        <v>67</v>
      </c>
      <c r="S1213" s="4">
        <v>18</v>
      </c>
      <c r="T1213" s="4">
        <v>20</v>
      </c>
      <c r="U1213" s="5" t="s">
        <v>2350</v>
      </c>
      <c r="V1213" s="5" t="s">
        <v>15750</v>
      </c>
      <c r="W1213" s="5" t="s">
        <v>11348</v>
      </c>
      <c r="X1213" s="5" t="s">
        <v>15751</v>
      </c>
      <c r="Y1213" s="4">
        <v>710</v>
      </c>
      <c r="Z1213" s="4">
        <v>526</v>
      </c>
      <c r="AA1213" s="4">
        <v>530</v>
      </c>
      <c r="AB1213" s="4">
        <v>5</v>
      </c>
      <c r="AC1213" s="4">
        <v>5</v>
      </c>
      <c r="AD1213" s="4">
        <v>37</v>
      </c>
      <c r="AE1213" s="4">
        <v>38</v>
      </c>
      <c r="AF1213" s="4">
        <v>9</v>
      </c>
      <c r="AG1213" s="4">
        <v>9</v>
      </c>
      <c r="AH1213" s="4">
        <v>7</v>
      </c>
      <c r="AI1213" s="4">
        <v>7</v>
      </c>
      <c r="AJ1213" s="4">
        <v>13</v>
      </c>
      <c r="AK1213" s="4">
        <v>13</v>
      </c>
      <c r="AL1213" s="4">
        <v>3</v>
      </c>
      <c r="AM1213" s="4">
        <v>3</v>
      </c>
      <c r="AN1213" s="4">
        <v>11</v>
      </c>
      <c r="AO1213" s="4">
        <v>12</v>
      </c>
      <c r="AP1213" s="3" t="s">
        <v>58</v>
      </c>
      <c r="AQ1213" s="3" t="s">
        <v>58</v>
      </c>
      <c r="AS1213" s="6" t="str">
        <f>HYPERLINK("https://creighton-primo.hosted.exlibrisgroup.com/primo-explore/search?tab=default_tab&amp;search_scope=EVERYTHING&amp;vid=01CRU&amp;lang=en_US&amp;offset=0&amp;query=any,contains,991001635749702656","Catalog Record")</f>
        <v>Catalog Record</v>
      </c>
      <c r="AT1213" s="6" t="str">
        <f>HYPERLINK("http://www.worldcat.org/oclc/15281901","WorldCat Record")</f>
        <v>WorldCat Record</v>
      </c>
      <c r="AU1213" s="3" t="s">
        <v>15752</v>
      </c>
      <c r="AV1213" s="3" t="s">
        <v>15753</v>
      </c>
      <c r="AW1213" s="3" t="s">
        <v>15754</v>
      </c>
      <c r="AX1213" s="3" t="s">
        <v>15754</v>
      </c>
      <c r="AY1213" s="3" t="s">
        <v>15755</v>
      </c>
      <c r="AZ1213" s="3" t="s">
        <v>74</v>
      </c>
      <c r="BB1213" s="3" t="s">
        <v>15756</v>
      </c>
      <c r="BC1213" s="3" t="s">
        <v>15757</v>
      </c>
      <c r="BD1213" s="3" t="s">
        <v>15758</v>
      </c>
    </row>
    <row r="1214" spans="1:56" ht="45.75" customHeight="1" x14ac:dyDescent="0.25">
      <c r="A1214" s="7" t="s">
        <v>58</v>
      </c>
      <c r="B1214" s="2" t="s">
        <v>15759</v>
      </c>
      <c r="C1214" s="2" t="s">
        <v>15760</v>
      </c>
      <c r="D1214" s="2" t="s">
        <v>15761</v>
      </c>
      <c r="F1214" s="3" t="s">
        <v>58</v>
      </c>
      <c r="G1214" s="3" t="s">
        <v>59</v>
      </c>
      <c r="H1214" s="3" t="s">
        <v>87</v>
      </c>
      <c r="I1214" s="3" t="s">
        <v>58</v>
      </c>
      <c r="J1214" s="3" t="s">
        <v>60</v>
      </c>
      <c r="K1214" s="2" t="s">
        <v>15762</v>
      </c>
      <c r="L1214" s="2" t="s">
        <v>15763</v>
      </c>
      <c r="M1214" s="3" t="s">
        <v>100</v>
      </c>
      <c r="O1214" s="3" t="s">
        <v>65</v>
      </c>
      <c r="P1214" s="3" t="s">
        <v>84</v>
      </c>
      <c r="R1214" s="3" t="s">
        <v>67</v>
      </c>
      <c r="S1214" s="4">
        <v>12</v>
      </c>
      <c r="T1214" s="4">
        <v>16</v>
      </c>
      <c r="U1214" s="5" t="s">
        <v>12761</v>
      </c>
      <c r="V1214" s="5" t="s">
        <v>15764</v>
      </c>
      <c r="W1214" s="5" t="s">
        <v>6361</v>
      </c>
      <c r="X1214" s="5" t="s">
        <v>6361</v>
      </c>
      <c r="Y1214" s="4">
        <v>1039</v>
      </c>
      <c r="Z1214" s="4">
        <v>920</v>
      </c>
      <c r="AA1214" s="4">
        <v>1024</v>
      </c>
      <c r="AB1214" s="4">
        <v>9</v>
      </c>
      <c r="AC1214" s="4">
        <v>10</v>
      </c>
      <c r="AD1214" s="4">
        <v>40</v>
      </c>
      <c r="AE1214" s="4">
        <v>50</v>
      </c>
      <c r="AF1214" s="4">
        <v>11</v>
      </c>
      <c r="AG1214" s="4">
        <v>13</v>
      </c>
      <c r="AH1214" s="4">
        <v>6</v>
      </c>
      <c r="AI1214" s="4">
        <v>7</v>
      </c>
      <c r="AJ1214" s="4">
        <v>17</v>
      </c>
      <c r="AK1214" s="4">
        <v>19</v>
      </c>
      <c r="AL1214" s="4">
        <v>4</v>
      </c>
      <c r="AM1214" s="4">
        <v>5</v>
      </c>
      <c r="AN1214" s="4">
        <v>11</v>
      </c>
      <c r="AO1214" s="4">
        <v>15</v>
      </c>
      <c r="AP1214" s="3" t="s">
        <v>58</v>
      </c>
      <c r="AQ1214" s="3" t="s">
        <v>87</v>
      </c>
      <c r="AR1214" s="6" t="str">
        <f>HYPERLINK("http://catalog.hathitrust.org/Record/000702450","HathiTrust Record")</f>
        <v>HathiTrust Record</v>
      </c>
      <c r="AS1214" s="6" t="str">
        <f>HYPERLINK("https://creighton-primo.hosted.exlibrisgroup.com/primo-explore/search?tab=default_tab&amp;search_scope=EVERYTHING&amp;vid=01CRU&amp;lang=en_US&amp;offset=0&amp;query=any,contains,991001739569702656","Catalog Record")</f>
        <v>Catalog Record</v>
      </c>
      <c r="AT1214" s="6" t="str">
        <f>HYPERLINK("http://www.worldcat.org/oclc/1875513","WorldCat Record")</f>
        <v>WorldCat Record</v>
      </c>
      <c r="AU1214" s="3" t="s">
        <v>15765</v>
      </c>
      <c r="AV1214" s="3" t="s">
        <v>15766</v>
      </c>
      <c r="AW1214" s="3" t="s">
        <v>15767</v>
      </c>
      <c r="AX1214" s="3" t="s">
        <v>15767</v>
      </c>
      <c r="AY1214" s="3" t="s">
        <v>15768</v>
      </c>
      <c r="AZ1214" s="3" t="s">
        <v>74</v>
      </c>
      <c r="BB1214" s="3" t="s">
        <v>15769</v>
      </c>
      <c r="BC1214" s="3" t="s">
        <v>15770</v>
      </c>
      <c r="BD1214" s="3" t="s">
        <v>15771</v>
      </c>
    </row>
    <row r="1215" spans="1:56" ht="45.75" customHeight="1" x14ac:dyDescent="0.25">
      <c r="A1215" s="7" t="s">
        <v>58</v>
      </c>
      <c r="B1215" s="2" t="s">
        <v>15772</v>
      </c>
      <c r="C1215" s="2" t="s">
        <v>15773</v>
      </c>
      <c r="D1215" s="2" t="s">
        <v>15774</v>
      </c>
      <c r="F1215" s="3" t="s">
        <v>58</v>
      </c>
      <c r="G1215" s="3" t="s">
        <v>59</v>
      </c>
      <c r="H1215" s="3" t="s">
        <v>58</v>
      </c>
      <c r="I1215" s="3" t="s">
        <v>58</v>
      </c>
      <c r="J1215" s="3" t="s">
        <v>60</v>
      </c>
      <c r="K1215" s="2" t="s">
        <v>15775</v>
      </c>
      <c r="L1215" s="2" t="s">
        <v>15776</v>
      </c>
      <c r="M1215" s="3" t="s">
        <v>1500</v>
      </c>
      <c r="O1215" s="3" t="s">
        <v>65</v>
      </c>
      <c r="P1215" s="3" t="s">
        <v>336</v>
      </c>
      <c r="R1215" s="3" t="s">
        <v>67</v>
      </c>
      <c r="S1215" s="4">
        <v>18</v>
      </c>
      <c r="T1215" s="4">
        <v>18</v>
      </c>
      <c r="U1215" s="5" t="s">
        <v>15777</v>
      </c>
      <c r="V1215" s="5" t="s">
        <v>15777</v>
      </c>
      <c r="W1215" s="5" t="s">
        <v>1130</v>
      </c>
      <c r="X1215" s="5" t="s">
        <v>1130</v>
      </c>
      <c r="Y1215" s="4">
        <v>441</v>
      </c>
      <c r="Z1215" s="4">
        <v>407</v>
      </c>
      <c r="AA1215" s="4">
        <v>483</v>
      </c>
      <c r="AB1215" s="4">
        <v>3</v>
      </c>
      <c r="AC1215" s="4">
        <v>5</v>
      </c>
      <c r="AD1215" s="4">
        <v>29</v>
      </c>
      <c r="AE1215" s="4">
        <v>32</v>
      </c>
      <c r="AF1215" s="4">
        <v>6</v>
      </c>
      <c r="AG1215" s="4">
        <v>6</v>
      </c>
      <c r="AH1215" s="4">
        <v>6</v>
      </c>
      <c r="AI1215" s="4">
        <v>6</v>
      </c>
      <c r="AJ1215" s="4">
        <v>9</v>
      </c>
      <c r="AK1215" s="4">
        <v>10</v>
      </c>
      <c r="AL1215" s="4">
        <v>1</v>
      </c>
      <c r="AM1215" s="4">
        <v>3</v>
      </c>
      <c r="AN1215" s="4">
        <v>11</v>
      </c>
      <c r="AO1215" s="4">
        <v>11</v>
      </c>
      <c r="AP1215" s="3" t="s">
        <v>58</v>
      </c>
      <c r="AQ1215" s="3" t="s">
        <v>58</v>
      </c>
      <c r="AS1215" s="6" t="str">
        <f>HYPERLINK("https://creighton-primo.hosted.exlibrisgroup.com/primo-explore/search?tab=default_tab&amp;search_scope=EVERYTHING&amp;vid=01CRU&amp;lang=en_US&amp;offset=0&amp;query=any,contains,991005074919702656","Catalog Record")</f>
        <v>Catalog Record</v>
      </c>
      <c r="AT1215" s="6" t="str">
        <f>HYPERLINK("http://www.worldcat.org/oclc/7098052","WorldCat Record")</f>
        <v>WorldCat Record</v>
      </c>
      <c r="AU1215" s="3" t="s">
        <v>15778</v>
      </c>
      <c r="AV1215" s="3" t="s">
        <v>15779</v>
      </c>
      <c r="AW1215" s="3" t="s">
        <v>15780</v>
      </c>
      <c r="AX1215" s="3" t="s">
        <v>15780</v>
      </c>
      <c r="AY1215" s="3" t="s">
        <v>15781</v>
      </c>
      <c r="AZ1215" s="3" t="s">
        <v>74</v>
      </c>
      <c r="BB1215" s="3" t="s">
        <v>15782</v>
      </c>
      <c r="BC1215" s="3" t="s">
        <v>15783</v>
      </c>
      <c r="BD1215" s="3" t="s">
        <v>15784</v>
      </c>
    </row>
    <row r="1216" spans="1:56" ht="45.75" customHeight="1" x14ac:dyDescent="0.25">
      <c r="A1216" s="7" t="s">
        <v>58</v>
      </c>
      <c r="B1216" s="2" t="s">
        <v>15785</v>
      </c>
      <c r="C1216" s="2" t="s">
        <v>15786</v>
      </c>
      <c r="D1216" s="2" t="s">
        <v>15787</v>
      </c>
      <c r="F1216" s="3" t="s">
        <v>58</v>
      </c>
      <c r="G1216" s="3" t="s">
        <v>59</v>
      </c>
      <c r="H1216" s="3" t="s">
        <v>58</v>
      </c>
      <c r="I1216" s="3" t="s">
        <v>58</v>
      </c>
      <c r="J1216" s="3" t="s">
        <v>60</v>
      </c>
      <c r="L1216" s="2" t="s">
        <v>15788</v>
      </c>
      <c r="M1216" s="3" t="s">
        <v>248</v>
      </c>
      <c r="O1216" s="3" t="s">
        <v>65</v>
      </c>
      <c r="P1216" s="3" t="s">
        <v>175</v>
      </c>
      <c r="R1216" s="3" t="s">
        <v>67</v>
      </c>
      <c r="S1216" s="4">
        <v>1</v>
      </c>
      <c r="T1216" s="4">
        <v>1</v>
      </c>
      <c r="U1216" s="5" t="s">
        <v>15789</v>
      </c>
      <c r="V1216" s="5" t="s">
        <v>15789</v>
      </c>
      <c r="W1216" s="5" t="s">
        <v>15789</v>
      </c>
      <c r="X1216" s="5" t="s">
        <v>15789</v>
      </c>
      <c r="Y1216" s="4">
        <v>341</v>
      </c>
      <c r="Z1216" s="4">
        <v>198</v>
      </c>
      <c r="AA1216" s="4">
        <v>280</v>
      </c>
      <c r="AB1216" s="4">
        <v>2</v>
      </c>
      <c r="AC1216" s="4">
        <v>3</v>
      </c>
      <c r="AD1216" s="4">
        <v>20</v>
      </c>
      <c r="AE1216" s="4">
        <v>23</v>
      </c>
      <c r="AF1216" s="4">
        <v>7</v>
      </c>
      <c r="AG1216" s="4">
        <v>7</v>
      </c>
      <c r="AH1216" s="4">
        <v>3</v>
      </c>
      <c r="AI1216" s="4">
        <v>5</v>
      </c>
      <c r="AJ1216" s="4">
        <v>9</v>
      </c>
      <c r="AK1216" s="4">
        <v>10</v>
      </c>
      <c r="AL1216" s="4">
        <v>1</v>
      </c>
      <c r="AM1216" s="4">
        <v>2</v>
      </c>
      <c r="AN1216" s="4">
        <v>4</v>
      </c>
      <c r="AO1216" s="4">
        <v>4</v>
      </c>
      <c r="AP1216" s="3" t="s">
        <v>58</v>
      </c>
      <c r="AQ1216" s="3" t="s">
        <v>87</v>
      </c>
      <c r="AR1216" s="6" t="str">
        <f>HYPERLINK("http://catalog.hathitrust.org/Record/005403434","HathiTrust Record")</f>
        <v>HathiTrust Record</v>
      </c>
      <c r="AS1216" s="6" t="str">
        <f>HYPERLINK("https://creighton-primo.hosted.exlibrisgroup.com/primo-explore/search?tab=default_tab&amp;search_scope=EVERYTHING&amp;vid=01CRU&amp;lang=en_US&amp;offset=0&amp;query=any,contains,991005325699702656","Catalog Record")</f>
        <v>Catalog Record</v>
      </c>
      <c r="AT1216" s="6" t="str">
        <f>HYPERLINK("http://www.worldcat.org/oclc/61529085","WorldCat Record")</f>
        <v>WorldCat Record</v>
      </c>
      <c r="AU1216" s="3" t="s">
        <v>15790</v>
      </c>
      <c r="AV1216" s="3" t="s">
        <v>15791</v>
      </c>
      <c r="AW1216" s="3" t="s">
        <v>15792</v>
      </c>
      <c r="AX1216" s="3" t="s">
        <v>15792</v>
      </c>
      <c r="AY1216" s="3" t="s">
        <v>15793</v>
      </c>
      <c r="AZ1216" s="3" t="s">
        <v>74</v>
      </c>
      <c r="BB1216" s="3" t="s">
        <v>15794</v>
      </c>
      <c r="BC1216" s="3" t="s">
        <v>15795</v>
      </c>
      <c r="BD1216" s="3" t="s">
        <v>15796</v>
      </c>
    </row>
    <row r="1217" spans="1:56" ht="45.75" customHeight="1" x14ac:dyDescent="0.25">
      <c r="A1217" s="7" t="s">
        <v>58</v>
      </c>
      <c r="B1217" s="2" t="s">
        <v>15797</v>
      </c>
      <c r="C1217" s="2" t="s">
        <v>15798</v>
      </c>
      <c r="D1217" s="2" t="s">
        <v>15799</v>
      </c>
      <c r="F1217" s="3" t="s">
        <v>58</v>
      </c>
      <c r="G1217" s="3" t="s">
        <v>59</v>
      </c>
      <c r="H1217" s="3" t="s">
        <v>58</v>
      </c>
      <c r="I1217" s="3" t="s">
        <v>58</v>
      </c>
      <c r="J1217" s="3" t="s">
        <v>60</v>
      </c>
      <c r="L1217" s="2" t="s">
        <v>15800</v>
      </c>
      <c r="M1217" s="3" t="s">
        <v>573</v>
      </c>
      <c r="O1217" s="3" t="s">
        <v>65</v>
      </c>
      <c r="P1217" s="3" t="s">
        <v>175</v>
      </c>
      <c r="Q1217" s="2" t="s">
        <v>15801</v>
      </c>
      <c r="R1217" s="3" t="s">
        <v>67</v>
      </c>
      <c r="S1217" s="4">
        <v>3</v>
      </c>
      <c r="T1217" s="4">
        <v>3</v>
      </c>
      <c r="U1217" s="5" t="s">
        <v>15802</v>
      </c>
      <c r="V1217" s="5" t="s">
        <v>15802</v>
      </c>
      <c r="W1217" s="5" t="s">
        <v>3241</v>
      </c>
      <c r="X1217" s="5" t="s">
        <v>3241</v>
      </c>
      <c r="Y1217" s="4">
        <v>298</v>
      </c>
      <c r="Z1217" s="4">
        <v>155</v>
      </c>
      <c r="AA1217" s="4">
        <v>157</v>
      </c>
      <c r="AB1217" s="4">
        <v>1</v>
      </c>
      <c r="AC1217" s="4">
        <v>1</v>
      </c>
      <c r="AD1217" s="4">
        <v>11</v>
      </c>
      <c r="AE1217" s="4">
        <v>11</v>
      </c>
      <c r="AF1217" s="4">
        <v>4</v>
      </c>
      <c r="AG1217" s="4">
        <v>4</v>
      </c>
      <c r="AH1217" s="4">
        <v>1</v>
      </c>
      <c r="AI1217" s="4">
        <v>1</v>
      </c>
      <c r="AJ1217" s="4">
        <v>7</v>
      </c>
      <c r="AK1217" s="4">
        <v>7</v>
      </c>
      <c r="AL1217" s="4">
        <v>0</v>
      </c>
      <c r="AM1217" s="4">
        <v>0</v>
      </c>
      <c r="AN1217" s="4">
        <v>2</v>
      </c>
      <c r="AO1217" s="4">
        <v>2</v>
      </c>
      <c r="AP1217" s="3" t="s">
        <v>58</v>
      </c>
      <c r="AQ1217" s="3" t="s">
        <v>87</v>
      </c>
      <c r="AR1217" s="6" t="str">
        <f>HYPERLINK("http://catalog.hathitrust.org/Record/004336395","HathiTrust Record")</f>
        <v>HathiTrust Record</v>
      </c>
      <c r="AS1217" s="6" t="str">
        <f>HYPERLINK("https://creighton-primo.hosted.exlibrisgroup.com/primo-explore/search?tab=default_tab&amp;search_scope=EVERYTHING&amp;vid=01CRU&amp;lang=en_US&amp;offset=0&amp;query=any,contains,991004133109702656","Catalog Record")</f>
        <v>Catalog Record</v>
      </c>
      <c r="AT1217" s="6" t="str">
        <f>HYPERLINK("http://www.worldcat.org/oclc/51780034","WorldCat Record")</f>
        <v>WorldCat Record</v>
      </c>
      <c r="AU1217" s="3" t="s">
        <v>15803</v>
      </c>
      <c r="AV1217" s="3" t="s">
        <v>15804</v>
      </c>
      <c r="AW1217" s="3" t="s">
        <v>15805</v>
      </c>
      <c r="AX1217" s="3" t="s">
        <v>15805</v>
      </c>
      <c r="AY1217" s="3" t="s">
        <v>15806</v>
      </c>
      <c r="AZ1217" s="3" t="s">
        <v>74</v>
      </c>
      <c r="BB1217" s="3" t="s">
        <v>15807</v>
      </c>
      <c r="BC1217" s="3" t="s">
        <v>15808</v>
      </c>
      <c r="BD1217" s="3" t="s">
        <v>15809</v>
      </c>
    </row>
    <row r="1218" spans="1:56" ht="45.75" customHeight="1" x14ac:dyDescent="0.25">
      <c r="A1218" s="7" t="s">
        <v>58</v>
      </c>
      <c r="B1218" s="2" t="s">
        <v>15810</v>
      </c>
      <c r="C1218" s="2" t="s">
        <v>15811</v>
      </c>
      <c r="D1218" s="2" t="s">
        <v>15812</v>
      </c>
      <c r="F1218" s="3" t="s">
        <v>58</v>
      </c>
      <c r="G1218" s="3" t="s">
        <v>59</v>
      </c>
      <c r="H1218" s="3" t="s">
        <v>58</v>
      </c>
      <c r="I1218" s="3" t="s">
        <v>58</v>
      </c>
      <c r="J1218" s="3" t="s">
        <v>60</v>
      </c>
      <c r="K1218" s="2" t="s">
        <v>15813</v>
      </c>
      <c r="L1218" s="2" t="s">
        <v>15814</v>
      </c>
      <c r="M1218" s="3" t="s">
        <v>162</v>
      </c>
      <c r="O1218" s="3" t="s">
        <v>65</v>
      </c>
      <c r="P1218" s="3" t="s">
        <v>15815</v>
      </c>
      <c r="Q1218" s="2" t="s">
        <v>15816</v>
      </c>
      <c r="R1218" s="3" t="s">
        <v>67</v>
      </c>
      <c r="S1218" s="4">
        <v>1</v>
      </c>
      <c r="T1218" s="4">
        <v>1</v>
      </c>
      <c r="U1218" s="5" t="s">
        <v>15817</v>
      </c>
      <c r="V1218" s="5" t="s">
        <v>15817</v>
      </c>
      <c r="W1218" s="5" t="s">
        <v>15817</v>
      </c>
      <c r="X1218" s="5" t="s">
        <v>15817</v>
      </c>
      <c r="Y1218" s="4">
        <v>74</v>
      </c>
      <c r="Z1218" s="4">
        <v>60</v>
      </c>
      <c r="AA1218" s="4">
        <v>279</v>
      </c>
      <c r="AB1218" s="4">
        <v>1</v>
      </c>
      <c r="AC1218" s="4">
        <v>2</v>
      </c>
      <c r="AD1218" s="4">
        <v>4</v>
      </c>
      <c r="AE1218" s="4">
        <v>17</v>
      </c>
      <c r="AF1218" s="4">
        <v>1</v>
      </c>
      <c r="AG1218" s="4">
        <v>8</v>
      </c>
      <c r="AH1218" s="4">
        <v>2</v>
      </c>
      <c r="AI1218" s="4">
        <v>5</v>
      </c>
      <c r="AJ1218" s="4">
        <v>2</v>
      </c>
      <c r="AK1218" s="4">
        <v>8</v>
      </c>
      <c r="AL1218" s="4">
        <v>0</v>
      </c>
      <c r="AM1218" s="4">
        <v>1</v>
      </c>
      <c r="AN1218" s="4">
        <v>0</v>
      </c>
      <c r="AO1218" s="4">
        <v>0</v>
      </c>
      <c r="AP1218" s="3" t="s">
        <v>58</v>
      </c>
      <c r="AQ1218" s="3" t="s">
        <v>58</v>
      </c>
      <c r="AS1218" s="6" t="str">
        <f>HYPERLINK("https://creighton-primo.hosted.exlibrisgroup.com/primo-explore/search?tab=default_tab&amp;search_scope=EVERYTHING&amp;vid=01CRU&amp;lang=en_US&amp;offset=0&amp;query=any,contains,991005326179702656","Catalog Record")</f>
        <v>Catalog Record</v>
      </c>
      <c r="AT1218" s="6" t="str">
        <f>HYPERLINK("http://www.worldcat.org/oclc/265938391","WorldCat Record")</f>
        <v>WorldCat Record</v>
      </c>
      <c r="AU1218" s="3" t="s">
        <v>15818</v>
      </c>
      <c r="AV1218" s="3" t="s">
        <v>15819</v>
      </c>
      <c r="AW1218" s="3" t="s">
        <v>15820</v>
      </c>
      <c r="AX1218" s="3" t="s">
        <v>15820</v>
      </c>
      <c r="AY1218" s="3" t="s">
        <v>15821</v>
      </c>
      <c r="AZ1218" s="3" t="s">
        <v>74</v>
      </c>
      <c r="BB1218" s="3" t="s">
        <v>15822</v>
      </c>
      <c r="BC1218" s="3" t="s">
        <v>15823</v>
      </c>
      <c r="BD1218" s="3" t="s">
        <v>15824</v>
      </c>
    </row>
    <row r="1219" spans="1:56" ht="45.75" customHeight="1" x14ac:dyDescent="0.25">
      <c r="A1219" s="7" t="s">
        <v>58</v>
      </c>
      <c r="B1219" s="2" t="s">
        <v>15825</v>
      </c>
      <c r="C1219" s="2" t="s">
        <v>15826</v>
      </c>
      <c r="D1219" s="2" t="s">
        <v>15827</v>
      </c>
      <c r="F1219" s="3" t="s">
        <v>58</v>
      </c>
      <c r="G1219" s="3" t="s">
        <v>59</v>
      </c>
      <c r="H1219" s="3" t="s">
        <v>58</v>
      </c>
      <c r="I1219" s="3" t="s">
        <v>58</v>
      </c>
      <c r="J1219" s="3" t="s">
        <v>60</v>
      </c>
      <c r="K1219" s="2" t="s">
        <v>15828</v>
      </c>
      <c r="L1219" s="2" t="s">
        <v>15829</v>
      </c>
      <c r="M1219" s="3" t="s">
        <v>1032</v>
      </c>
      <c r="O1219" s="3" t="s">
        <v>65</v>
      </c>
      <c r="P1219" s="3" t="s">
        <v>1224</v>
      </c>
      <c r="R1219" s="3" t="s">
        <v>67</v>
      </c>
      <c r="S1219" s="4">
        <v>7</v>
      </c>
      <c r="T1219" s="4">
        <v>7</v>
      </c>
      <c r="U1219" s="5" t="s">
        <v>15830</v>
      </c>
      <c r="V1219" s="5" t="s">
        <v>15830</v>
      </c>
      <c r="W1219" s="5" t="s">
        <v>5503</v>
      </c>
      <c r="X1219" s="5" t="s">
        <v>5503</v>
      </c>
      <c r="Y1219" s="4">
        <v>225</v>
      </c>
      <c r="Z1219" s="4">
        <v>181</v>
      </c>
      <c r="AA1219" s="4">
        <v>181</v>
      </c>
      <c r="AB1219" s="4">
        <v>1</v>
      </c>
      <c r="AC1219" s="4">
        <v>1</v>
      </c>
      <c r="AD1219" s="4">
        <v>6</v>
      </c>
      <c r="AE1219" s="4">
        <v>6</v>
      </c>
      <c r="AF1219" s="4">
        <v>0</v>
      </c>
      <c r="AG1219" s="4">
        <v>0</v>
      </c>
      <c r="AH1219" s="4">
        <v>1</v>
      </c>
      <c r="AI1219" s="4">
        <v>1</v>
      </c>
      <c r="AJ1219" s="4">
        <v>3</v>
      </c>
      <c r="AK1219" s="4">
        <v>3</v>
      </c>
      <c r="AL1219" s="4">
        <v>0</v>
      </c>
      <c r="AM1219" s="4">
        <v>0</v>
      </c>
      <c r="AN1219" s="4">
        <v>2</v>
      </c>
      <c r="AO1219" s="4">
        <v>2</v>
      </c>
      <c r="AP1219" s="3" t="s">
        <v>58</v>
      </c>
      <c r="AQ1219" s="3" t="s">
        <v>58</v>
      </c>
      <c r="AS1219" s="6" t="str">
        <f>HYPERLINK("https://creighton-primo.hosted.exlibrisgroup.com/primo-explore/search?tab=default_tab&amp;search_scope=EVERYTHING&amp;vid=01CRU&amp;lang=en_US&amp;offset=0&amp;query=any,contains,991002848069702656","Catalog Record")</f>
        <v>Catalog Record</v>
      </c>
      <c r="AT1219" s="6" t="str">
        <f>HYPERLINK("http://www.worldcat.org/oclc/37528889","WorldCat Record")</f>
        <v>WorldCat Record</v>
      </c>
      <c r="AU1219" s="3" t="s">
        <v>15831</v>
      </c>
      <c r="AV1219" s="3" t="s">
        <v>15832</v>
      </c>
      <c r="AW1219" s="3" t="s">
        <v>15833</v>
      </c>
      <c r="AX1219" s="3" t="s">
        <v>15833</v>
      </c>
      <c r="AY1219" s="3" t="s">
        <v>15834</v>
      </c>
      <c r="AZ1219" s="3" t="s">
        <v>74</v>
      </c>
      <c r="BB1219" s="3" t="s">
        <v>15835</v>
      </c>
      <c r="BC1219" s="3" t="s">
        <v>15836</v>
      </c>
      <c r="BD1219" s="3" t="s">
        <v>15837</v>
      </c>
    </row>
    <row r="1220" spans="1:56" ht="45.75" customHeight="1" x14ac:dyDescent="0.25">
      <c r="A1220" s="7" t="s">
        <v>58</v>
      </c>
      <c r="B1220" s="2" t="s">
        <v>15838</v>
      </c>
      <c r="C1220" s="2" t="s">
        <v>15839</v>
      </c>
      <c r="D1220" s="2" t="s">
        <v>15840</v>
      </c>
      <c r="F1220" s="3" t="s">
        <v>58</v>
      </c>
      <c r="G1220" s="3" t="s">
        <v>59</v>
      </c>
      <c r="H1220" s="3" t="s">
        <v>58</v>
      </c>
      <c r="I1220" s="3" t="s">
        <v>58</v>
      </c>
      <c r="J1220" s="3" t="s">
        <v>60</v>
      </c>
      <c r="K1220" s="2" t="s">
        <v>15841</v>
      </c>
      <c r="L1220" s="2" t="s">
        <v>15842</v>
      </c>
      <c r="M1220" s="3" t="s">
        <v>3601</v>
      </c>
      <c r="O1220" s="3" t="s">
        <v>65</v>
      </c>
      <c r="P1220" s="3" t="s">
        <v>132</v>
      </c>
      <c r="Q1220" s="2" t="s">
        <v>15843</v>
      </c>
      <c r="R1220" s="3" t="s">
        <v>67</v>
      </c>
      <c r="S1220" s="4">
        <v>52</v>
      </c>
      <c r="T1220" s="4">
        <v>52</v>
      </c>
      <c r="U1220" s="5" t="s">
        <v>15687</v>
      </c>
      <c r="V1220" s="5" t="s">
        <v>15687</v>
      </c>
      <c r="W1220" s="5" t="s">
        <v>15844</v>
      </c>
      <c r="X1220" s="5" t="s">
        <v>15844</v>
      </c>
      <c r="Y1220" s="4">
        <v>337</v>
      </c>
      <c r="Z1220" s="4">
        <v>274</v>
      </c>
      <c r="AA1220" s="4">
        <v>495</v>
      </c>
      <c r="AB1220" s="4">
        <v>2</v>
      </c>
      <c r="AC1220" s="4">
        <v>4</v>
      </c>
      <c r="AD1220" s="4">
        <v>12</v>
      </c>
      <c r="AE1220" s="4">
        <v>23</v>
      </c>
      <c r="AF1220" s="4">
        <v>4</v>
      </c>
      <c r="AG1220" s="4">
        <v>7</v>
      </c>
      <c r="AH1220" s="4">
        <v>2</v>
      </c>
      <c r="AI1220" s="4">
        <v>5</v>
      </c>
      <c r="AJ1220" s="4">
        <v>6</v>
      </c>
      <c r="AK1220" s="4">
        <v>12</v>
      </c>
      <c r="AL1220" s="4">
        <v>1</v>
      </c>
      <c r="AM1220" s="4">
        <v>3</v>
      </c>
      <c r="AN1220" s="4">
        <v>1</v>
      </c>
      <c r="AO1220" s="4">
        <v>1</v>
      </c>
      <c r="AP1220" s="3" t="s">
        <v>58</v>
      </c>
      <c r="AQ1220" s="3" t="s">
        <v>58</v>
      </c>
      <c r="AS1220" s="6" t="str">
        <f>HYPERLINK("https://creighton-primo.hosted.exlibrisgroup.com/primo-explore/search?tab=default_tab&amp;search_scope=EVERYTHING&amp;vid=01CRU&amp;lang=en_US&amp;offset=0&amp;query=any,contains,991003189499702656","Catalog Record")</f>
        <v>Catalog Record</v>
      </c>
      <c r="AT1220" s="6" t="str">
        <f>HYPERLINK("http://www.worldcat.org/oclc/714538","WorldCat Record")</f>
        <v>WorldCat Record</v>
      </c>
      <c r="AU1220" s="3" t="s">
        <v>15845</v>
      </c>
      <c r="AV1220" s="3" t="s">
        <v>15846</v>
      </c>
      <c r="AW1220" s="3" t="s">
        <v>15847</v>
      </c>
      <c r="AX1220" s="3" t="s">
        <v>15847</v>
      </c>
      <c r="AY1220" s="3" t="s">
        <v>15848</v>
      </c>
      <c r="AZ1220" s="3" t="s">
        <v>74</v>
      </c>
      <c r="BB1220" s="3" t="s">
        <v>15849</v>
      </c>
      <c r="BC1220" s="3" t="s">
        <v>15850</v>
      </c>
      <c r="BD1220" s="3" t="s">
        <v>15851</v>
      </c>
    </row>
    <row r="1221" spans="1:56" ht="45.75" customHeight="1" x14ac:dyDescent="0.25">
      <c r="A1221" s="7" t="s">
        <v>58</v>
      </c>
      <c r="B1221" s="2" t="s">
        <v>15852</v>
      </c>
      <c r="C1221" s="2" t="s">
        <v>15853</v>
      </c>
      <c r="D1221" s="2" t="s">
        <v>15854</v>
      </c>
      <c r="F1221" s="3" t="s">
        <v>58</v>
      </c>
      <c r="G1221" s="3" t="s">
        <v>59</v>
      </c>
      <c r="H1221" s="3" t="s">
        <v>87</v>
      </c>
      <c r="I1221" s="3" t="s">
        <v>58</v>
      </c>
      <c r="J1221" s="3" t="s">
        <v>60</v>
      </c>
      <c r="K1221" s="2" t="s">
        <v>15855</v>
      </c>
      <c r="L1221" s="2" t="s">
        <v>15856</v>
      </c>
      <c r="M1221" s="3" t="s">
        <v>908</v>
      </c>
      <c r="O1221" s="3" t="s">
        <v>65</v>
      </c>
      <c r="P1221" s="3" t="s">
        <v>84</v>
      </c>
      <c r="R1221" s="3" t="s">
        <v>67</v>
      </c>
      <c r="S1221" s="4">
        <v>55</v>
      </c>
      <c r="T1221" s="4">
        <v>58</v>
      </c>
      <c r="U1221" s="5" t="s">
        <v>15857</v>
      </c>
      <c r="V1221" s="5" t="s">
        <v>15857</v>
      </c>
      <c r="W1221" s="5" t="s">
        <v>11093</v>
      </c>
      <c r="X1221" s="5" t="s">
        <v>11093</v>
      </c>
      <c r="Y1221" s="4">
        <v>1031</v>
      </c>
      <c r="Z1221" s="4">
        <v>912</v>
      </c>
      <c r="AA1221" s="4">
        <v>1108</v>
      </c>
      <c r="AB1221" s="4">
        <v>10</v>
      </c>
      <c r="AC1221" s="4">
        <v>11</v>
      </c>
      <c r="AD1221" s="4">
        <v>46</v>
      </c>
      <c r="AE1221" s="4">
        <v>56</v>
      </c>
      <c r="AF1221" s="4">
        <v>13</v>
      </c>
      <c r="AG1221" s="4">
        <v>18</v>
      </c>
      <c r="AH1221" s="4">
        <v>4</v>
      </c>
      <c r="AI1221" s="4">
        <v>6</v>
      </c>
      <c r="AJ1221" s="4">
        <v>16</v>
      </c>
      <c r="AK1221" s="4">
        <v>18</v>
      </c>
      <c r="AL1221" s="4">
        <v>8</v>
      </c>
      <c r="AM1221" s="4">
        <v>8</v>
      </c>
      <c r="AN1221" s="4">
        <v>11</v>
      </c>
      <c r="AO1221" s="4">
        <v>13</v>
      </c>
      <c r="AP1221" s="3" t="s">
        <v>58</v>
      </c>
      <c r="AQ1221" s="3" t="s">
        <v>58</v>
      </c>
      <c r="AS1221" s="6" t="str">
        <f>HYPERLINK("https://creighton-primo.hosted.exlibrisgroup.com/primo-explore/search?tab=default_tab&amp;search_scope=EVERYTHING&amp;vid=01CRU&amp;lang=en_US&amp;offset=0&amp;query=any,contains,991001799869702656","Catalog Record")</f>
        <v>Catalog Record</v>
      </c>
      <c r="AT1221" s="6" t="str">
        <f>HYPERLINK("http://www.worldcat.org/oclc/4834174","WorldCat Record")</f>
        <v>WorldCat Record</v>
      </c>
      <c r="AU1221" s="3" t="s">
        <v>15858</v>
      </c>
      <c r="AV1221" s="3" t="s">
        <v>15859</v>
      </c>
      <c r="AW1221" s="3" t="s">
        <v>15860</v>
      </c>
      <c r="AX1221" s="3" t="s">
        <v>15860</v>
      </c>
      <c r="AY1221" s="3" t="s">
        <v>15861</v>
      </c>
      <c r="AZ1221" s="3" t="s">
        <v>74</v>
      </c>
      <c r="BB1221" s="3" t="s">
        <v>15862</v>
      </c>
      <c r="BC1221" s="3" t="s">
        <v>15863</v>
      </c>
      <c r="BD1221" s="3" t="s">
        <v>15864</v>
      </c>
    </row>
    <row r="1222" spans="1:56" ht="45.75" customHeight="1" x14ac:dyDescent="0.25">
      <c r="A1222" s="7" t="s">
        <v>58</v>
      </c>
      <c r="B1222" s="2" t="s">
        <v>15865</v>
      </c>
      <c r="C1222" s="2" t="s">
        <v>15866</v>
      </c>
      <c r="D1222" s="2" t="s">
        <v>15867</v>
      </c>
      <c r="F1222" s="3" t="s">
        <v>58</v>
      </c>
      <c r="G1222" s="3" t="s">
        <v>59</v>
      </c>
      <c r="H1222" s="3" t="s">
        <v>58</v>
      </c>
      <c r="I1222" s="3" t="s">
        <v>58</v>
      </c>
      <c r="J1222" s="3" t="s">
        <v>60</v>
      </c>
      <c r="K1222" s="2" t="s">
        <v>15868</v>
      </c>
      <c r="L1222" s="2" t="s">
        <v>15869</v>
      </c>
      <c r="M1222" s="3" t="s">
        <v>220</v>
      </c>
      <c r="N1222" s="2" t="s">
        <v>5706</v>
      </c>
      <c r="O1222" s="3" t="s">
        <v>1527</v>
      </c>
      <c r="P1222" s="3" t="s">
        <v>5707</v>
      </c>
      <c r="R1222" s="3" t="s">
        <v>67</v>
      </c>
      <c r="S1222" s="4">
        <v>1</v>
      </c>
      <c r="T1222" s="4">
        <v>1</v>
      </c>
      <c r="U1222" s="5" t="s">
        <v>759</v>
      </c>
      <c r="V1222" s="5" t="s">
        <v>759</v>
      </c>
      <c r="W1222" s="5" t="s">
        <v>5722</v>
      </c>
      <c r="X1222" s="5" t="s">
        <v>5722</v>
      </c>
      <c r="Y1222" s="4">
        <v>5</v>
      </c>
      <c r="Z1222" s="4">
        <v>5</v>
      </c>
      <c r="AA1222" s="4">
        <v>5</v>
      </c>
      <c r="AB1222" s="4">
        <v>1</v>
      </c>
      <c r="AC1222" s="4">
        <v>1</v>
      </c>
      <c r="AD1222" s="4">
        <v>0</v>
      </c>
      <c r="AE1222" s="4">
        <v>0</v>
      </c>
      <c r="AF1222" s="4">
        <v>0</v>
      </c>
      <c r="AG1222" s="4">
        <v>0</v>
      </c>
      <c r="AH1222" s="4">
        <v>0</v>
      </c>
      <c r="AI1222" s="4">
        <v>0</v>
      </c>
      <c r="AJ1222" s="4">
        <v>0</v>
      </c>
      <c r="AK1222" s="4">
        <v>0</v>
      </c>
      <c r="AL1222" s="4">
        <v>0</v>
      </c>
      <c r="AM1222" s="4">
        <v>0</v>
      </c>
      <c r="AN1222" s="4">
        <v>0</v>
      </c>
      <c r="AO1222" s="4">
        <v>0</v>
      </c>
      <c r="AP1222" s="3" t="s">
        <v>58</v>
      </c>
      <c r="AQ1222" s="3" t="s">
        <v>58</v>
      </c>
      <c r="AS1222" s="6" t="str">
        <f>HYPERLINK("https://creighton-primo.hosted.exlibrisgroup.com/primo-explore/search?tab=default_tab&amp;search_scope=EVERYTHING&amp;vid=01CRU&amp;lang=en_US&amp;offset=0&amp;query=any,contains,991003783229702656","Catalog Record")</f>
        <v>Catalog Record</v>
      </c>
      <c r="AT1222" s="6" t="str">
        <f>HYPERLINK("http://www.worldcat.org/oclc/49349009","WorldCat Record")</f>
        <v>WorldCat Record</v>
      </c>
      <c r="AU1222" s="3" t="s">
        <v>15870</v>
      </c>
      <c r="AV1222" s="3" t="s">
        <v>15871</v>
      </c>
      <c r="AW1222" s="3" t="s">
        <v>15872</v>
      </c>
      <c r="AX1222" s="3" t="s">
        <v>15872</v>
      </c>
      <c r="AY1222" s="3" t="s">
        <v>15873</v>
      </c>
      <c r="AZ1222" s="3" t="s">
        <v>74</v>
      </c>
      <c r="BC1222" s="3" t="s">
        <v>15874</v>
      </c>
      <c r="BD1222" s="3" t="s">
        <v>15875</v>
      </c>
    </row>
    <row r="1223" spans="1:56" ht="45.75" customHeight="1" x14ac:dyDescent="0.25">
      <c r="A1223" s="7" t="s">
        <v>58</v>
      </c>
      <c r="B1223" s="2" t="s">
        <v>15876</v>
      </c>
      <c r="C1223" s="2" t="s">
        <v>15877</v>
      </c>
      <c r="D1223" s="2" t="s">
        <v>15878</v>
      </c>
      <c r="F1223" s="3" t="s">
        <v>58</v>
      </c>
      <c r="G1223" s="3" t="s">
        <v>59</v>
      </c>
      <c r="H1223" s="3" t="s">
        <v>58</v>
      </c>
      <c r="I1223" s="3" t="s">
        <v>58</v>
      </c>
      <c r="J1223" s="3" t="s">
        <v>60</v>
      </c>
      <c r="K1223" s="2" t="s">
        <v>15879</v>
      </c>
      <c r="L1223" s="2" t="s">
        <v>15880</v>
      </c>
      <c r="M1223" s="3" t="s">
        <v>800</v>
      </c>
      <c r="O1223" s="3" t="s">
        <v>65</v>
      </c>
      <c r="P1223" s="3" t="s">
        <v>14921</v>
      </c>
      <c r="Q1223" s="2" t="s">
        <v>15881</v>
      </c>
      <c r="R1223" s="3" t="s">
        <v>67</v>
      </c>
      <c r="S1223" s="4">
        <v>91</v>
      </c>
      <c r="T1223" s="4">
        <v>91</v>
      </c>
      <c r="U1223" s="5" t="s">
        <v>15857</v>
      </c>
      <c r="V1223" s="5" t="s">
        <v>15857</v>
      </c>
      <c r="W1223" s="5" t="s">
        <v>15882</v>
      </c>
      <c r="X1223" s="5" t="s">
        <v>15882</v>
      </c>
      <c r="Y1223" s="4">
        <v>147</v>
      </c>
      <c r="Z1223" s="4">
        <v>135</v>
      </c>
      <c r="AA1223" s="4">
        <v>136</v>
      </c>
      <c r="AB1223" s="4">
        <v>2</v>
      </c>
      <c r="AC1223" s="4">
        <v>2</v>
      </c>
      <c r="AD1223" s="4">
        <v>5</v>
      </c>
      <c r="AE1223" s="4">
        <v>5</v>
      </c>
      <c r="AF1223" s="4">
        <v>4</v>
      </c>
      <c r="AG1223" s="4">
        <v>4</v>
      </c>
      <c r="AH1223" s="4">
        <v>0</v>
      </c>
      <c r="AI1223" s="4">
        <v>0</v>
      </c>
      <c r="AJ1223" s="4">
        <v>2</v>
      </c>
      <c r="AK1223" s="4">
        <v>2</v>
      </c>
      <c r="AL1223" s="4">
        <v>1</v>
      </c>
      <c r="AM1223" s="4">
        <v>1</v>
      </c>
      <c r="AN1223" s="4">
        <v>0</v>
      </c>
      <c r="AO1223" s="4">
        <v>0</v>
      </c>
      <c r="AP1223" s="3" t="s">
        <v>58</v>
      </c>
      <c r="AQ1223" s="3" t="s">
        <v>87</v>
      </c>
      <c r="AR1223" s="6" t="str">
        <f>HYPERLINK("http://catalog.hathitrust.org/Record/007588933","HathiTrust Record")</f>
        <v>HathiTrust Record</v>
      </c>
      <c r="AS1223" s="6" t="str">
        <f>HYPERLINK("https://creighton-primo.hosted.exlibrisgroup.com/primo-explore/search?tab=default_tab&amp;search_scope=EVERYTHING&amp;vid=01CRU&amp;lang=en_US&amp;offset=0&amp;query=any,contains,991001873279702656","Catalog Record")</f>
        <v>Catalog Record</v>
      </c>
      <c r="AT1223" s="6" t="str">
        <f>HYPERLINK("http://www.worldcat.org/oclc/23651071","WorldCat Record")</f>
        <v>WorldCat Record</v>
      </c>
      <c r="AU1223" s="3" t="s">
        <v>15883</v>
      </c>
      <c r="AV1223" s="3" t="s">
        <v>15884</v>
      </c>
      <c r="AW1223" s="3" t="s">
        <v>15885</v>
      </c>
      <c r="AX1223" s="3" t="s">
        <v>15885</v>
      </c>
      <c r="AY1223" s="3" t="s">
        <v>15886</v>
      </c>
      <c r="AZ1223" s="3" t="s">
        <v>74</v>
      </c>
      <c r="BB1223" s="3" t="s">
        <v>15887</v>
      </c>
      <c r="BC1223" s="3" t="s">
        <v>15888</v>
      </c>
      <c r="BD1223" s="3" t="s">
        <v>15889</v>
      </c>
    </row>
    <row r="1224" spans="1:56" ht="45.75" customHeight="1" x14ac:dyDescent="0.25">
      <c r="A1224" s="7" t="s">
        <v>58</v>
      </c>
      <c r="B1224" s="2" t="s">
        <v>15890</v>
      </c>
      <c r="C1224" s="2" t="s">
        <v>15891</v>
      </c>
      <c r="D1224" s="2" t="s">
        <v>15892</v>
      </c>
      <c r="F1224" s="3" t="s">
        <v>58</v>
      </c>
      <c r="G1224" s="3" t="s">
        <v>59</v>
      </c>
      <c r="H1224" s="3" t="s">
        <v>87</v>
      </c>
      <c r="I1224" s="3" t="s">
        <v>58</v>
      </c>
      <c r="J1224" s="3" t="s">
        <v>60</v>
      </c>
      <c r="K1224" s="2" t="s">
        <v>15893</v>
      </c>
      <c r="L1224" s="2" t="s">
        <v>15894</v>
      </c>
      <c r="M1224" s="3" t="s">
        <v>1209</v>
      </c>
      <c r="O1224" s="3" t="s">
        <v>65</v>
      </c>
      <c r="P1224" s="3" t="s">
        <v>336</v>
      </c>
      <c r="R1224" s="3" t="s">
        <v>67</v>
      </c>
      <c r="S1224" s="4">
        <v>49</v>
      </c>
      <c r="T1224" s="4">
        <v>56</v>
      </c>
      <c r="U1224" s="5" t="s">
        <v>15895</v>
      </c>
      <c r="V1224" s="5" t="s">
        <v>15895</v>
      </c>
      <c r="W1224" s="5" t="s">
        <v>4279</v>
      </c>
      <c r="X1224" s="5" t="s">
        <v>13494</v>
      </c>
      <c r="Y1224" s="4">
        <v>1002</v>
      </c>
      <c r="Z1224" s="4">
        <v>904</v>
      </c>
      <c r="AA1224" s="4">
        <v>911</v>
      </c>
      <c r="AB1224" s="4">
        <v>6</v>
      </c>
      <c r="AC1224" s="4">
        <v>6</v>
      </c>
      <c r="AD1224" s="4">
        <v>45</v>
      </c>
      <c r="AE1224" s="4">
        <v>45</v>
      </c>
      <c r="AF1224" s="4">
        <v>16</v>
      </c>
      <c r="AG1224" s="4">
        <v>16</v>
      </c>
      <c r="AH1224" s="4">
        <v>8</v>
      </c>
      <c r="AI1224" s="4">
        <v>8</v>
      </c>
      <c r="AJ1224" s="4">
        <v>16</v>
      </c>
      <c r="AK1224" s="4">
        <v>16</v>
      </c>
      <c r="AL1224" s="4">
        <v>4</v>
      </c>
      <c r="AM1224" s="4">
        <v>4</v>
      </c>
      <c r="AN1224" s="4">
        <v>10</v>
      </c>
      <c r="AO1224" s="4">
        <v>10</v>
      </c>
      <c r="AP1224" s="3" t="s">
        <v>58</v>
      </c>
      <c r="AQ1224" s="3" t="s">
        <v>87</v>
      </c>
      <c r="AR1224" s="6" t="str">
        <f>HYPERLINK("http://catalog.hathitrust.org/Record/000843464","HathiTrust Record")</f>
        <v>HathiTrust Record</v>
      </c>
      <c r="AS1224" s="6" t="str">
        <f>HYPERLINK("https://creighton-primo.hosted.exlibrisgroup.com/primo-explore/search?tab=default_tab&amp;search_scope=EVERYTHING&amp;vid=01CRU&amp;lang=en_US&amp;offset=0&amp;query=any,contains,991001635919702656","Catalog Record")</f>
        <v>Catalog Record</v>
      </c>
      <c r="AT1224" s="6" t="str">
        <f>HYPERLINK("http://www.worldcat.org/oclc/15520835","WorldCat Record")</f>
        <v>WorldCat Record</v>
      </c>
      <c r="AU1224" s="3" t="s">
        <v>15896</v>
      </c>
      <c r="AV1224" s="3" t="s">
        <v>15897</v>
      </c>
      <c r="AW1224" s="3" t="s">
        <v>15898</v>
      </c>
      <c r="AX1224" s="3" t="s">
        <v>15898</v>
      </c>
      <c r="AY1224" s="3" t="s">
        <v>15899</v>
      </c>
      <c r="AZ1224" s="3" t="s">
        <v>74</v>
      </c>
      <c r="BB1224" s="3" t="s">
        <v>15900</v>
      </c>
      <c r="BC1224" s="3" t="s">
        <v>15901</v>
      </c>
      <c r="BD1224" s="3" t="s">
        <v>15902</v>
      </c>
    </row>
    <row r="1225" spans="1:56" ht="45.75" customHeight="1" x14ac:dyDescent="0.25">
      <c r="A1225" s="7" t="s">
        <v>58</v>
      </c>
      <c r="B1225" s="2" t="s">
        <v>15903</v>
      </c>
      <c r="C1225" s="2" t="s">
        <v>15904</v>
      </c>
      <c r="D1225" s="2" t="s">
        <v>15905</v>
      </c>
      <c r="F1225" s="3" t="s">
        <v>58</v>
      </c>
      <c r="G1225" s="3" t="s">
        <v>59</v>
      </c>
      <c r="H1225" s="3" t="s">
        <v>87</v>
      </c>
      <c r="I1225" s="3" t="s">
        <v>58</v>
      </c>
      <c r="J1225" s="3" t="s">
        <v>60</v>
      </c>
      <c r="K1225" s="2" t="s">
        <v>15906</v>
      </c>
      <c r="L1225" s="2" t="s">
        <v>15907</v>
      </c>
      <c r="M1225" s="3" t="s">
        <v>713</v>
      </c>
      <c r="N1225" s="2" t="s">
        <v>15908</v>
      </c>
      <c r="O1225" s="3" t="s">
        <v>65</v>
      </c>
      <c r="P1225" s="3" t="s">
        <v>84</v>
      </c>
      <c r="R1225" s="3" t="s">
        <v>67</v>
      </c>
      <c r="S1225" s="4">
        <v>53</v>
      </c>
      <c r="T1225" s="4">
        <v>58</v>
      </c>
      <c r="U1225" s="5" t="s">
        <v>12957</v>
      </c>
      <c r="V1225" s="5" t="s">
        <v>12957</v>
      </c>
      <c r="W1225" s="5" t="s">
        <v>4279</v>
      </c>
      <c r="X1225" s="5" t="s">
        <v>13494</v>
      </c>
      <c r="Y1225" s="4">
        <v>661</v>
      </c>
      <c r="Z1225" s="4">
        <v>611</v>
      </c>
      <c r="AA1225" s="4">
        <v>1270</v>
      </c>
      <c r="AB1225" s="4">
        <v>5</v>
      </c>
      <c r="AC1225" s="4">
        <v>8</v>
      </c>
      <c r="AD1225" s="4">
        <v>34</v>
      </c>
      <c r="AE1225" s="4">
        <v>58</v>
      </c>
      <c r="AF1225" s="4">
        <v>8</v>
      </c>
      <c r="AG1225" s="4">
        <v>17</v>
      </c>
      <c r="AH1225" s="4">
        <v>4</v>
      </c>
      <c r="AI1225" s="4">
        <v>5</v>
      </c>
      <c r="AJ1225" s="4">
        <v>10</v>
      </c>
      <c r="AK1225" s="4">
        <v>17</v>
      </c>
      <c r="AL1225" s="4">
        <v>1</v>
      </c>
      <c r="AM1225" s="4">
        <v>3</v>
      </c>
      <c r="AN1225" s="4">
        <v>17</v>
      </c>
      <c r="AO1225" s="4">
        <v>24</v>
      </c>
      <c r="AP1225" s="3" t="s">
        <v>58</v>
      </c>
      <c r="AQ1225" s="3" t="s">
        <v>58</v>
      </c>
      <c r="AS1225" s="6" t="str">
        <f>HYPERLINK("https://creighton-primo.hosted.exlibrisgroup.com/primo-explore/search?tab=default_tab&amp;search_scope=EVERYTHING&amp;vid=01CRU&amp;lang=en_US&amp;offset=0&amp;query=any,contains,991001620309702656","Catalog Record")</f>
        <v>Catalog Record</v>
      </c>
      <c r="AT1225" s="6" t="str">
        <f>HYPERLINK("http://www.worldcat.org/oclc/7329288","WorldCat Record")</f>
        <v>WorldCat Record</v>
      </c>
      <c r="AU1225" s="3" t="s">
        <v>15909</v>
      </c>
      <c r="AV1225" s="3" t="s">
        <v>15910</v>
      </c>
      <c r="AW1225" s="3" t="s">
        <v>15911</v>
      </c>
      <c r="AX1225" s="3" t="s">
        <v>15911</v>
      </c>
      <c r="AY1225" s="3" t="s">
        <v>15912</v>
      </c>
      <c r="AZ1225" s="3" t="s">
        <v>74</v>
      </c>
      <c r="BB1225" s="3" t="s">
        <v>15913</v>
      </c>
      <c r="BC1225" s="3" t="s">
        <v>15914</v>
      </c>
      <c r="BD1225" s="3" t="s">
        <v>15915</v>
      </c>
    </row>
    <row r="1226" spans="1:56" ht="45.75" customHeight="1" x14ac:dyDescent="0.25">
      <c r="A1226" s="7" t="s">
        <v>58</v>
      </c>
      <c r="B1226" s="2" t="s">
        <v>15916</v>
      </c>
      <c r="C1226" s="2" t="s">
        <v>15917</v>
      </c>
      <c r="D1226" s="2" t="s">
        <v>15918</v>
      </c>
      <c r="F1226" s="3" t="s">
        <v>58</v>
      </c>
      <c r="G1226" s="3" t="s">
        <v>59</v>
      </c>
      <c r="H1226" s="3" t="s">
        <v>58</v>
      </c>
      <c r="I1226" s="3" t="s">
        <v>58</v>
      </c>
      <c r="J1226" s="3" t="s">
        <v>60</v>
      </c>
      <c r="K1226" s="2" t="s">
        <v>15919</v>
      </c>
      <c r="L1226" s="2" t="s">
        <v>15920</v>
      </c>
      <c r="M1226" s="3" t="s">
        <v>2104</v>
      </c>
      <c r="O1226" s="3" t="s">
        <v>65</v>
      </c>
      <c r="P1226" s="3" t="s">
        <v>84</v>
      </c>
      <c r="R1226" s="3" t="s">
        <v>67</v>
      </c>
      <c r="S1226" s="4">
        <v>21</v>
      </c>
      <c r="T1226" s="4">
        <v>21</v>
      </c>
      <c r="U1226" s="5" t="s">
        <v>15895</v>
      </c>
      <c r="V1226" s="5" t="s">
        <v>15895</v>
      </c>
      <c r="W1226" s="5" t="s">
        <v>5890</v>
      </c>
      <c r="X1226" s="5" t="s">
        <v>5890</v>
      </c>
      <c r="Y1226" s="4">
        <v>485</v>
      </c>
      <c r="Z1226" s="4">
        <v>450</v>
      </c>
      <c r="AA1226" s="4">
        <v>458</v>
      </c>
      <c r="AB1226" s="4">
        <v>4</v>
      </c>
      <c r="AC1226" s="4">
        <v>4</v>
      </c>
      <c r="AD1226" s="4">
        <v>18</v>
      </c>
      <c r="AE1226" s="4">
        <v>18</v>
      </c>
      <c r="AF1226" s="4">
        <v>4</v>
      </c>
      <c r="AG1226" s="4">
        <v>4</v>
      </c>
      <c r="AH1226" s="4">
        <v>1</v>
      </c>
      <c r="AI1226" s="4">
        <v>1</v>
      </c>
      <c r="AJ1226" s="4">
        <v>6</v>
      </c>
      <c r="AK1226" s="4">
        <v>6</v>
      </c>
      <c r="AL1226" s="4">
        <v>2</v>
      </c>
      <c r="AM1226" s="4">
        <v>2</v>
      </c>
      <c r="AN1226" s="4">
        <v>7</v>
      </c>
      <c r="AO1226" s="4">
        <v>7</v>
      </c>
      <c r="AP1226" s="3" t="s">
        <v>58</v>
      </c>
      <c r="AQ1226" s="3" t="s">
        <v>87</v>
      </c>
      <c r="AR1226" s="6" t="str">
        <f>HYPERLINK("http://catalog.hathitrust.org/Record/001135435","HathiTrust Record")</f>
        <v>HathiTrust Record</v>
      </c>
      <c r="AS1226" s="6" t="str">
        <f>HYPERLINK("https://creighton-primo.hosted.exlibrisgroup.com/primo-explore/search?tab=default_tab&amp;search_scope=EVERYTHING&amp;vid=01CRU&amp;lang=en_US&amp;offset=0&amp;query=any,contains,991002095729702656","Catalog Record")</f>
        <v>Catalog Record</v>
      </c>
      <c r="AT1226" s="6" t="str">
        <f>HYPERLINK("http://www.worldcat.org/oclc/265552","WorldCat Record")</f>
        <v>WorldCat Record</v>
      </c>
      <c r="AU1226" s="3" t="s">
        <v>15921</v>
      </c>
      <c r="AV1226" s="3" t="s">
        <v>15922</v>
      </c>
      <c r="AW1226" s="3" t="s">
        <v>15923</v>
      </c>
      <c r="AX1226" s="3" t="s">
        <v>15923</v>
      </c>
      <c r="AY1226" s="3" t="s">
        <v>15924</v>
      </c>
      <c r="AZ1226" s="3" t="s">
        <v>74</v>
      </c>
      <c r="BC1226" s="3" t="s">
        <v>15925</v>
      </c>
      <c r="BD1226" s="3" t="s">
        <v>15926</v>
      </c>
    </row>
    <row r="1227" spans="1:56" ht="45.75" customHeight="1" x14ac:dyDescent="0.25">
      <c r="A1227" s="7" t="s">
        <v>58</v>
      </c>
      <c r="B1227" s="2" t="s">
        <v>15927</v>
      </c>
      <c r="C1227" s="2" t="s">
        <v>15928</v>
      </c>
      <c r="D1227" s="2" t="s">
        <v>15929</v>
      </c>
      <c r="F1227" s="3" t="s">
        <v>58</v>
      </c>
      <c r="G1227" s="3" t="s">
        <v>59</v>
      </c>
      <c r="H1227" s="3" t="s">
        <v>58</v>
      </c>
      <c r="I1227" s="3" t="s">
        <v>58</v>
      </c>
      <c r="J1227" s="3" t="s">
        <v>60</v>
      </c>
      <c r="K1227" s="2" t="s">
        <v>15930</v>
      </c>
      <c r="L1227" s="2" t="s">
        <v>15931</v>
      </c>
      <c r="M1227" s="3" t="s">
        <v>335</v>
      </c>
      <c r="O1227" s="3" t="s">
        <v>65</v>
      </c>
      <c r="P1227" s="3" t="s">
        <v>9204</v>
      </c>
      <c r="R1227" s="3" t="s">
        <v>67</v>
      </c>
      <c r="S1227" s="4">
        <v>1</v>
      </c>
      <c r="T1227" s="4">
        <v>1</v>
      </c>
      <c r="U1227" s="5" t="s">
        <v>15932</v>
      </c>
      <c r="V1227" s="5" t="s">
        <v>15932</v>
      </c>
      <c r="W1227" s="5" t="s">
        <v>15932</v>
      </c>
      <c r="X1227" s="5" t="s">
        <v>15932</v>
      </c>
      <c r="Y1227" s="4">
        <v>251</v>
      </c>
      <c r="Z1227" s="4">
        <v>153</v>
      </c>
      <c r="AA1227" s="4">
        <v>176</v>
      </c>
      <c r="AB1227" s="4">
        <v>2</v>
      </c>
      <c r="AC1227" s="4">
        <v>2</v>
      </c>
      <c r="AD1227" s="4">
        <v>9</v>
      </c>
      <c r="AE1227" s="4">
        <v>9</v>
      </c>
      <c r="AF1227" s="4">
        <v>2</v>
      </c>
      <c r="AG1227" s="4">
        <v>2</v>
      </c>
      <c r="AH1227" s="4">
        <v>2</v>
      </c>
      <c r="AI1227" s="4">
        <v>2</v>
      </c>
      <c r="AJ1227" s="4">
        <v>2</v>
      </c>
      <c r="AK1227" s="4">
        <v>2</v>
      </c>
      <c r="AL1227" s="4">
        <v>1</v>
      </c>
      <c r="AM1227" s="4">
        <v>1</v>
      </c>
      <c r="AN1227" s="4">
        <v>4</v>
      </c>
      <c r="AO1227" s="4">
        <v>4</v>
      </c>
      <c r="AP1227" s="3" t="s">
        <v>58</v>
      </c>
      <c r="AQ1227" s="3" t="s">
        <v>58</v>
      </c>
      <c r="AS1227" s="6" t="str">
        <f>HYPERLINK("https://creighton-primo.hosted.exlibrisgroup.com/primo-explore/search?tab=default_tab&amp;search_scope=EVERYTHING&amp;vid=01CRU&amp;lang=en_US&amp;offset=0&amp;query=any,contains,991000224739702656","Catalog Record")</f>
        <v>Catalog Record</v>
      </c>
      <c r="AT1227" s="6" t="str">
        <f>HYPERLINK("http://www.worldcat.org/oclc/471042821","WorldCat Record")</f>
        <v>WorldCat Record</v>
      </c>
      <c r="AU1227" s="3" t="s">
        <v>15933</v>
      </c>
      <c r="AV1227" s="3" t="s">
        <v>15934</v>
      </c>
      <c r="AW1227" s="3" t="s">
        <v>15935</v>
      </c>
      <c r="AX1227" s="3" t="s">
        <v>15935</v>
      </c>
      <c r="AY1227" s="3" t="s">
        <v>15936</v>
      </c>
      <c r="AZ1227" s="3" t="s">
        <v>74</v>
      </c>
      <c r="BB1227" s="3" t="s">
        <v>15937</v>
      </c>
      <c r="BC1227" s="3" t="s">
        <v>15938</v>
      </c>
      <c r="BD1227" s="3" t="s">
        <v>15939</v>
      </c>
    </row>
    <row r="1228" spans="1:56" ht="45.75" customHeight="1" x14ac:dyDescent="0.25">
      <c r="A1228" s="7" t="s">
        <v>58</v>
      </c>
      <c r="B1228" s="2" t="s">
        <v>15940</v>
      </c>
      <c r="C1228" s="2" t="s">
        <v>15941</v>
      </c>
      <c r="D1228" s="2" t="s">
        <v>15942</v>
      </c>
      <c r="F1228" s="3" t="s">
        <v>58</v>
      </c>
      <c r="G1228" s="3" t="s">
        <v>59</v>
      </c>
      <c r="H1228" s="3" t="s">
        <v>87</v>
      </c>
      <c r="I1228" s="3" t="s">
        <v>58</v>
      </c>
      <c r="J1228" s="3" t="s">
        <v>60</v>
      </c>
      <c r="K1228" s="2" t="s">
        <v>15943</v>
      </c>
      <c r="L1228" s="2" t="s">
        <v>15944</v>
      </c>
      <c r="M1228" s="3" t="s">
        <v>1998</v>
      </c>
      <c r="O1228" s="3" t="s">
        <v>65</v>
      </c>
      <c r="P1228" s="3" t="s">
        <v>1224</v>
      </c>
      <c r="R1228" s="3" t="s">
        <v>67</v>
      </c>
      <c r="S1228" s="4">
        <v>10</v>
      </c>
      <c r="T1228" s="4">
        <v>10</v>
      </c>
      <c r="U1228" s="5" t="s">
        <v>15945</v>
      </c>
      <c r="V1228" s="5" t="s">
        <v>15945</v>
      </c>
      <c r="W1228" s="5" t="s">
        <v>9575</v>
      </c>
      <c r="X1228" s="5" t="s">
        <v>15946</v>
      </c>
      <c r="Y1228" s="4">
        <v>476</v>
      </c>
      <c r="Z1228" s="4">
        <v>424</v>
      </c>
      <c r="AA1228" s="4">
        <v>453</v>
      </c>
      <c r="AB1228" s="4">
        <v>9</v>
      </c>
      <c r="AC1228" s="4">
        <v>9</v>
      </c>
      <c r="AD1228" s="4">
        <v>32</v>
      </c>
      <c r="AE1228" s="4">
        <v>33</v>
      </c>
      <c r="AF1228" s="4">
        <v>5</v>
      </c>
      <c r="AG1228" s="4">
        <v>5</v>
      </c>
      <c r="AH1228" s="4">
        <v>6</v>
      </c>
      <c r="AI1228" s="4">
        <v>6</v>
      </c>
      <c r="AJ1228" s="4">
        <v>11</v>
      </c>
      <c r="AK1228" s="4">
        <v>11</v>
      </c>
      <c r="AL1228" s="4">
        <v>7</v>
      </c>
      <c r="AM1228" s="4">
        <v>7</v>
      </c>
      <c r="AN1228" s="4">
        <v>9</v>
      </c>
      <c r="AO1228" s="4">
        <v>10</v>
      </c>
      <c r="AP1228" s="3" t="s">
        <v>58</v>
      </c>
      <c r="AQ1228" s="3" t="s">
        <v>58</v>
      </c>
      <c r="AS1228" s="6" t="str">
        <f>HYPERLINK("https://creighton-primo.hosted.exlibrisgroup.com/primo-explore/search?tab=default_tab&amp;search_scope=EVERYTHING&amp;vid=01CRU&amp;lang=en_US&amp;offset=0&amp;query=any,contains,991001692719702656","Catalog Record")</f>
        <v>Catalog Record</v>
      </c>
      <c r="AT1228" s="6" t="str">
        <f>HYPERLINK("http://www.worldcat.org/oclc/1089585","WorldCat Record")</f>
        <v>WorldCat Record</v>
      </c>
      <c r="AU1228" s="3" t="s">
        <v>15947</v>
      </c>
      <c r="AV1228" s="3" t="s">
        <v>15948</v>
      </c>
      <c r="AW1228" s="3" t="s">
        <v>15949</v>
      </c>
      <c r="AX1228" s="3" t="s">
        <v>15949</v>
      </c>
      <c r="AY1228" s="3" t="s">
        <v>15950</v>
      </c>
      <c r="AZ1228" s="3" t="s">
        <v>74</v>
      </c>
      <c r="BB1228" s="3" t="s">
        <v>15951</v>
      </c>
      <c r="BC1228" s="3" t="s">
        <v>15952</v>
      </c>
      <c r="BD1228" s="3" t="s">
        <v>15953</v>
      </c>
    </row>
    <row r="1229" spans="1:56" ht="45.75" customHeight="1" x14ac:dyDescent="0.25">
      <c r="A1229" s="7" t="s">
        <v>58</v>
      </c>
      <c r="B1229" s="2" t="s">
        <v>15954</v>
      </c>
      <c r="C1229" s="2" t="s">
        <v>15955</v>
      </c>
      <c r="D1229" s="2" t="s">
        <v>15956</v>
      </c>
      <c r="F1229" s="3" t="s">
        <v>58</v>
      </c>
      <c r="G1229" s="3" t="s">
        <v>59</v>
      </c>
      <c r="H1229" s="3" t="s">
        <v>58</v>
      </c>
      <c r="I1229" s="3" t="s">
        <v>58</v>
      </c>
      <c r="J1229" s="3" t="s">
        <v>60</v>
      </c>
      <c r="K1229" s="2" t="s">
        <v>15957</v>
      </c>
      <c r="L1229" s="2" t="s">
        <v>376</v>
      </c>
      <c r="M1229" s="3" t="s">
        <v>248</v>
      </c>
      <c r="O1229" s="3" t="s">
        <v>65</v>
      </c>
      <c r="P1229" s="3" t="s">
        <v>175</v>
      </c>
      <c r="R1229" s="3" t="s">
        <v>67</v>
      </c>
      <c r="S1229" s="4">
        <v>3</v>
      </c>
      <c r="T1229" s="4">
        <v>3</v>
      </c>
      <c r="U1229" s="5" t="s">
        <v>15958</v>
      </c>
      <c r="V1229" s="5" t="s">
        <v>15958</v>
      </c>
      <c r="W1229" s="5" t="s">
        <v>15959</v>
      </c>
      <c r="X1229" s="5" t="s">
        <v>15959</v>
      </c>
      <c r="Y1229" s="4">
        <v>829</v>
      </c>
      <c r="Z1229" s="4">
        <v>745</v>
      </c>
      <c r="AA1229" s="4">
        <v>1263</v>
      </c>
      <c r="AB1229" s="4">
        <v>4</v>
      </c>
      <c r="AC1229" s="4">
        <v>16</v>
      </c>
      <c r="AD1229" s="4">
        <v>41</v>
      </c>
      <c r="AE1229" s="4">
        <v>62</v>
      </c>
      <c r="AF1229" s="4">
        <v>18</v>
      </c>
      <c r="AG1229" s="4">
        <v>21</v>
      </c>
      <c r="AH1229" s="4">
        <v>6</v>
      </c>
      <c r="AI1229" s="4">
        <v>10</v>
      </c>
      <c r="AJ1229" s="4">
        <v>18</v>
      </c>
      <c r="AK1229" s="4">
        <v>22</v>
      </c>
      <c r="AL1229" s="4">
        <v>3</v>
      </c>
      <c r="AM1229" s="4">
        <v>13</v>
      </c>
      <c r="AN1229" s="4">
        <v>6</v>
      </c>
      <c r="AO1229" s="4">
        <v>7</v>
      </c>
      <c r="AP1229" s="3" t="s">
        <v>58</v>
      </c>
      <c r="AQ1229" s="3" t="s">
        <v>58</v>
      </c>
      <c r="AS1229" s="6" t="str">
        <f>HYPERLINK("https://creighton-primo.hosted.exlibrisgroup.com/primo-explore/search?tab=default_tab&amp;search_scope=EVERYTHING&amp;vid=01CRU&amp;lang=en_US&amp;offset=0&amp;query=any,contains,991005212199702656","Catalog Record")</f>
        <v>Catalog Record</v>
      </c>
      <c r="AT1229" s="6" t="str">
        <f>HYPERLINK("http://www.worldcat.org/oclc/70823095","WorldCat Record")</f>
        <v>WorldCat Record</v>
      </c>
      <c r="AU1229" s="3" t="s">
        <v>15960</v>
      </c>
      <c r="AV1229" s="3" t="s">
        <v>15961</v>
      </c>
      <c r="AW1229" s="3" t="s">
        <v>15962</v>
      </c>
      <c r="AX1229" s="3" t="s">
        <v>15962</v>
      </c>
      <c r="AY1229" s="3" t="s">
        <v>15963</v>
      </c>
      <c r="AZ1229" s="3" t="s">
        <v>74</v>
      </c>
      <c r="BB1229" s="3" t="s">
        <v>15964</v>
      </c>
      <c r="BC1229" s="3" t="s">
        <v>15965</v>
      </c>
      <c r="BD1229" s="3" t="s">
        <v>15966</v>
      </c>
    </row>
    <row r="1230" spans="1:56" ht="45.75" customHeight="1" x14ac:dyDescent="0.25">
      <c r="A1230" s="7" t="s">
        <v>58</v>
      </c>
      <c r="B1230" s="2" t="s">
        <v>15967</v>
      </c>
      <c r="C1230" s="2" t="s">
        <v>15968</v>
      </c>
      <c r="D1230" s="2" t="s">
        <v>15969</v>
      </c>
      <c r="F1230" s="3" t="s">
        <v>58</v>
      </c>
      <c r="G1230" s="3" t="s">
        <v>59</v>
      </c>
      <c r="H1230" s="3" t="s">
        <v>58</v>
      </c>
      <c r="I1230" s="3" t="s">
        <v>58</v>
      </c>
      <c r="J1230" s="3" t="s">
        <v>60</v>
      </c>
      <c r="K1230" s="2" t="s">
        <v>15970</v>
      </c>
      <c r="L1230" s="2" t="s">
        <v>8016</v>
      </c>
      <c r="M1230" s="3" t="s">
        <v>1032</v>
      </c>
      <c r="O1230" s="3" t="s">
        <v>65</v>
      </c>
      <c r="P1230" s="3" t="s">
        <v>148</v>
      </c>
      <c r="R1230" s="3" t="s">
        <v>67</v>
      </c>
      <c r="S1230" s="4">
        <v>9</v>
      </c>
      <c r="T1230" s="4">
        <v>9</v>
      </c>
      <c r="U1230" s="5" t="s">
        <v>3514</v>
      </c>
      <c r="V1230" s="5" t="s">
        <v>3514</v>
      </c>
      <c r="W1230" s="5" t="s">
        <v>15971</v>
      </c>
      <c r="X1230" s="5" t="s">
        <v>15971</v>
      </c>
      <c r="Y1230" s="4">
        <v>856</v>
      </c>
      <c r="Z1230" s="4">
        <v>807</v>
      </c>
      <c r="AA1230" s="4">
        <v>813</v>
      </c>
      <c r="AB1230" s="4">
        <v>6</v>
      </c>
      <c r="AC1230" s="4">
        <v>6</v>
      </c>
      <c r="AD1230" s="4">
        <v>44</v>
      </c>
      <c r="AE1230" s="4">
        <v>44</v>
      </c>
      <c r="AF1230" s="4">
        <v>13</v>
      </c>
      <c r="AG1230" s="4">
        <v>13</v>
      </c>
      <c r="AH1230" s="4">
        <v>8</v>
      </c>
      <c r="AI1230" s="4">
        <v>8</v>
      </c>
      <c r="AJ1230" s="4">
        <v>19</v>
      </c>
      <c r="AK1230" s="4">
        <v>19</v>
      </c>
      <c r="AL1230" s="4">
        <v>5</v>
      </c>
      <c r="AM1230" s="4">
        <v>5</v>
      </c>
      <c r="AN1230" s="4">
        <v>10</v>
      </c>
      <c r="AO1230" s="4">
        <v>10</v>
      </c>
      <c r="AP1230" s="3" t="s">
        <v>58</v>
      </c>
      <c r="AQ1230" s="3" t="s">
        <v>58</v>
      </c>
      <c r="AS1230" s="6" t="str">
        <f>HYPERLINK("https://creighton-primo.hosted.exlibrisgroup.com/primo-explore/search?tab=default_tab&amp;search_scope=EVERYTHING&amp;vid=01CRU&amp;lang=en_US&amp;offset=0&amp;query=any,contains,991002782389702656","Catalog Record")</f>
        <v>Catalog Record</v>
      </c>
      <c r="AT1230" s="6" t="str">
        <f>HYPERLINK("http://www.worldcat.org/oclc/36528311","WorldCat Record")</f>
        <v>WorldCat Record</v>
      </c>
      <c r="AU1230" s="3" t="s">
        <v>15972</v>
      </c>
      <c r="AV1230" s="3" t="s">
        <v>15973</v>
      </c>
      <c r="AW1230" s="3" t="s">
        <v>15974</v>
      </c>
      <c r="AX1230" s="3" t="s">
        <v>15974</v>
      </c>
      <c r="AY1230" s="3" t="s">
        <v>15975</v>
      </c>
      <c r="AZ1230" s="3" t="s">
        <v>74</v>
      </c>
      <c r="BB1230" s="3" t="s">
        <v>15976</v>
      </c>
      <c r="BC1230" s="3" t="s">
        <v>15977</v>
      </c>
      <c r="BD1230" s="3" t="s">
        <v>15978</v>
      </c>
    </row>
    <row r="1231" spans="1:56" ht="45.75" customHeight="1" x14ac:dyDescent="0.25">
      <c r="A1231" s="7" t="s">
        <v>58</v>
      </c>
      <c r="B1231" s="2" t="s">
        <v>15979</v>
      </c>
      <c r="C1231" s="2" t="s">
        <v>15980</v>
      </c>
      <c r="D1231" s="2" t="s">
        <v>15981</v>
      </c>
      <c r="F1231" s="3" t="s">
        <v>58</v>
      </c>
      <c r="G1231" s="3" t="s">
        <v>59</v>
      </c>
      <c r="H1231" s="3" t="s">
        <v>58</v>
      </c>
      <c r="I1231" s="3" t="s">
        <v>58</v>
      </c>
      <c r="J1231" s="3" t="s">
        <v>60</v>
      </c>
      <c r="L1231" s="2" t="s">
        <v>15982</v>
      </c>
      <c r="M1231" s="3" t="s">
        <v>1032</v>
      </c>
      <c r="O1231" s="3" t="s">
        <v>65</v>
      </c>
      <c r="P1231" s="3" t="s">
        <v>587</v>
      </c>
      <c r="Q1231" s="2" t="s">
        <v>15983</v>
      </c>
      <c r="R1231" s="3" t="s">
        <v>67</v>
      </c>
      <c r="S1231" s="4">
        <v>43</v>
      </c>
      <c r="T1231" s="4">
        <v>43</v>
      </c>
      <c r="U1231" s="5" t="s">
        <v>15984</v>
      </c>
      <c r="V1231" s="5" t="s">
        <v>15984</v>
      </c>
      <c r="W1231" s="5" t="s">
        <v>15985</v>
      </c>
      <c r="X1231" s="5" t="s">
        <v>15985</v>
      </c>
      <c r="Y1231" s="4">
        <v>957</v>
      </c>
      <c r="Z1231" s="4">
        <v>915</v>
      </c>
      <c r="AA1231" s="4">
        <v>916</v>
      </c>
      <c r="AB1231" s="4">
        <v>6</v>
      </c>
      <c r="AC1231" s="4">
        <v>6</v>
      </c>
      <c r="AD1231" s="4">
        <v>39</v>
      </c>
      <c r="AE1231" s="4">
        <v>39</v>
      </c>
      <c r="AF1231" s="4">
        <v>12</v>
      </c>
      <c r="AG1231" s="4">
        <v>12</v>
      </c>
      <c r="AH1231" s="4">
        <v>7</v>
      </c>
      <c r="AI1231" s="4">
        <v>7</v>
      </c>
      <c r="AJ1231" s="4">
        <v>12</v>
      </c>
      <c r="AK1231" s="4">
        <v>12</v>
      </c>
      <c r="AL1231" s="4">
        <v>5</v>
      </c>
      <c r="AM1231" s="4">
        <v>5</v>
      </c>
      <c r="AN1231" s="4">
        <v>11</v>
      </c>
      <c r="AO1231" s="4">
        <v>11</v>
      </c>
      <c r="AP1231" s="3" t="s">
        <v>58</v>
      </c>
      <c r="AQ1231" s="3" t="s">
        <v>58</v>
      </c>
      <c r="AS1231" s="6" t="str">
        <f>HYPERLINK("https://creighton-primo.hosted.exlibrisgroup.com/primo-explore/search?tab=default_tab&amp;search_scope=EVERYTHING&amp;vid=01CRU&amp;lang=en_US&amp;offset=0&amp;query=any,contains,991002740839702656","Catalog Record")</f>
        <v>Catalog Record</v>
      </c>
      <c r="AT1231" s="6" t="str">
        <f>HYPERLINK("http://www.worldcat.org/oclc/35990406","WorldCat Record")</f>
        <v>WorldCat Record</v>
      </c>
      <c r="AU1231" s="3" t="s">
        <v>15986</v>
      </c>
      <c r="AV1231" s="3" t="s">
        <v>15987</v>
      </c>
      <c r="AW1231" s="3" t="s">
        <v>15988</v>
      </c>
      <c r="AX1231" s="3" t="s">
        <v>15988</v>
      </c>
      <c r="AY1231" s="3" t="s">
        <v>15989</v>
      </c>
      <c r="AZ1231" s="3" t="s">
        <v>74</v>
      </c>
      <c r="BB1231" s="3" t="s">
        <v>15990</v>
      </c>
      <c r="BC1231" s="3" t="s">
        <v>15991</v>
      </c>
      <c r="BD1231" s="3" t="s">
        <v>15992</v>
      </c>
    </row>
    <row r="1232" spans="1:56" ht="45.75" customHeight="1" x14ac:dyDescent="0.25">
      <c r="A1232" s="7" t="s">
        <v>58</v>
      </c>
      <c r="B1232" s="2" t="s">
        <v>15993</v>
      </c>
      <c r="C1232" s="2" t="s">
        <v>15994</v>
      </c>
      <c r="D1232" s="2" t="s">
        <v>15995</v>
      </c>
      <c r="F1232" s="3" t="s">
        <v>58</v>
      </c>
      <c r="G1232" s="3" t="s">
        <v>59</v>
      </c>
      <c r="H1232" s="3" t="s">
        <v>58</v>
      </c>
      <c r="I1232" s="3" t="s">
        <v>58</v>
      </c>
      <c r="J1232" s="3" t="s">
        <v>60</v>
      </c>
      <c r="L1232" s="2" t="s">
        <v>15996</v>
      </c>
      <c r="M1232" s="3" t="s">
        <v>742</v>
      </c>
      <c r="O1232" s="3" t="s">
        <v>65</v>
      </c>
      <c r="P1232" s="3" t="s">
        <v>204</v>
      </c>
      <c r="R1232" s="3" t="s">
        <v>67</v>
      </c>
      <c r="S1232" s="4">
        <v>62</v>
      </c>
      <c r="T1232" s="4">
        <v>62</v>
      </c>
      <c r="U1232" s="5" t="s">
        <v>4097</v>
      </c>
      <c r="V1232" s="5" t="s">
        <v>4097</v>
      </c>
      <c r="W1232" s="5" t="s">
        <v>15997</v>
      </c>
      <c r="X1232" s="5" t="s">
        <v>15997</v>
      </c>
      <c r="Y1232" s="4">
        <v>953</v>
      </c>
      <c r="Z1232" s="4">
        <v>870</v>
      </c>
      <c r="AA1232" s="4">
        <v>1050</v>
      </c>
      <c r="AB1232" s="4">
        <v>7</v>
      </c>
      <c r="AC1232" s="4">
        <v>7</v>
      </c>
      <c r="AD1232" s="4">
        <v>53</v>
      </c>
      <c r="AE1232" s="4">
        <v>57</v>
      </c>
      <c r="AF1232" s="4">
        <v>16</v>
      </c>
      <c r="AG1232" s="4">
        <v>19</v>
      </c>
      <c r="AH1232" s="4">
        <v>9</v>
      </c>
      <c r="AI1232" s="4">
        <v>10</v>
      </c>
      <c r="AJ1232" s="4">
        <v>15</v>
      </c>
      <c r="AK1232" s="4">
        <v>16</v>
      </c>
      <c r="AL1232" s="4">
        <v>6</v>
      </c>
      <c r="AM1232" s="4">
        <v>6</v>
      </c>
      <c r="AN1232" s="4">
        <v>16</v>
      </c>
      <c r="AO1232" s="4">
        <v>16</v>
      </c>
      <c r="AP1232" s="3" t="s">
        <v>58</v>
      </c>
      <c r="AQ1232" s="3" t="s">
        <v>58</v>
      </c>
      <c r="AS1232" s="6" t="str">
        <f>HYPERLINK("https://creighton-primo.hosted.exlibrisgroup.com/primo-explore/search?tab=default_tab&amp;search_scope=EVERYTHING&amp;vid=01CRU&amp;lang=en_US&amp;offset=0&amp;query=any,contains,991001400949702656","Catalog Record")</f>
        <v>Catalog Record</v>
      </c>
      <c r="AT1232" s="6" t="str">
        <f>HYPERLINK("http://www.worldcat.org/oclc/18817456","WorldCat Record")</f>
        <v>WorldCat Record</v>
      </c>
      <c r="AU1232" s="3" t="s">
        <v>15998</v>
      </c>
      <c r="AV1232" s="3" t="s">
        <v>15999</v>
      </c>
      <c r="AW1232" s="3" t="s">
        <v>16000</v>
      </c>
      <c r="AX1232" s="3" t="s">
        <v>16000</v>
      </c>
      <c r="AY1232" s="3" t="s">
        <v>16001</v>
      </c>
      <c r="AZ1232" s="3" t="s">
        <v>74</v>
      </c>
      <c r="BB1232" s="3" t="s">
        <v>16002</v>
      </c>
      <c r="BC1232" s="3" t="s">
        <v>16003</v>
      </c>
      <c r="BD1232" s="3" t="s">
        <v>16004</v>
      </c>
    </row>
    <row r="1233" spans="1:56" ht="45.75" customHeight="1" x14ac:dyDescent="0.25">
      <c r="A1233" s="7" t="s">
        <v>58</v>
      </c>
      <c r="B1233" s="2" t="s">
        <v>16005</v>
      </c>
      <c r="C1233" s="2" t="s">
        <v>16006</v>
      </c>
      <c r="D1233" s="2" t="s">
        <v>16007</v>
      </c>
      <c r="F1233" s="3" t="s">
        <v>58</v>
      </c>
      <c r="G1233" s="3" t="s">
        <v>59</v>
      </c>
      <c r="H1233" s="3" t="s">
        <v>58</v>
      </c>
      <c r="I1233" s="3" t="s">
        <v>58</v>
      </c>
      <c r="J1233" s="3" t="s">
        <v>60</v>
      </c>
      <c r="K1233" s="2" t="s">
        <v>16008</v>
      </c>
      <c r="L1233" s="2" t="s">
        <v>16009</v>
      </c>
      <c r="M1233" s="3" t="s">
        <v>203</v>
      </c>
      <c r="O1233" s="3" t="s">
        <v>65</v>
      </c>
      <c r="P1233" s="3" t="s">
        <v>148</v>
      </c>
      <c r="R1233" s="3" t="s">
        <v>67</v>
      </c>
      <c r="S1233" s="4">
        <v>19</v>
      </c>
      <c r="T1233" s="4">
        <v>19</v>
      </c>
      <c r="U1233" s="5" t="s">
        <v>15958</v>
      </c>
      <c r="V1233" s="5" t="s">
        <v>15958</v>
      </c>
      <c r="W1233" s="5" t="s">
        <v>16010</v>
      </c>
      <c r="X1233" s="5" t="s">
        <v>16010</v>
      </c>
      <c r="Y1233" s="4">
        <v>1086</v>
      </c>
      <c r="Z1233" s="4">
        <v>1039</v>
      </c>
      <c r="AA1233" s="4">
        <v>1071</v>
      </c>
      <c r="AB1233" s="4">
        <v>7</v>
      </c>
      <c r="AC1233" s="4">
        <v>7</v>
      </c>
      <c r="AD1233" s="4">
        <v>43</v>
      </c>
      <c r="AE1233" s="4">
        <v>44</v>
      </c>
      <c r="AF1233" s="4">
        <v>17</v>
      </c>
      <c r="AG1233" s="4">
        <v>17</v>
      </c>
      <c r="AH1233" s="4">
        <v>7</v>
      </c>
      <c r="AI1233" s="4">
        <v>7</v>
      </c>
      <c r="AJ1233" s="4">
        <v>15</v>
      </c>
      <c r="AK1233" s="4">
        <v>15</v>
      </c>
      <c r="AL1233" s="4">
        <v>4</v>
      </c>
      <c r="AM1233" s="4">
        <v>4</v>
      </c>
      <c r="AN1233" s="4">
        <v>8</v>
      </c>
      <c r="AO1233" s="4">
        <v>9</v>
      </c>
      <c r="AP1233" s="3" t="s">
        <v>58</v>
      </c>
      <c r="AQ1233" s="3" t="s">
        <v>58</v>
      </c>
      <c r="AS1233" s="6" t="str">
        <f>HYPERLINK("https://creighton-primo.hosted.exlibrisgroup.com/primo-explore/search?tab=default_tab&amp;search_scope=EVERYTHING&amp;vid=01CRU&amp;lang=en_US&amp;offset=0&amp;query=any,contains,991003845109702656","Catalog Record")</f>
        <v>Catalog Record</v>
      </c>
      <c r="AT1233" s="6" t="str">
        <f>HYPERLINK("http://www.worldcat.org/oclc/49576820","WorldCat Record")</f>
        <v>WorldCat Record</v>
      </c>
      <c r="AU1233" s="3" t="s">
        <v>16011</v>
      </c>
      <c r="AV1233" s="3" t="s">
        <v>16012</v>
      </c>
      <c r="AW1233" s="3" t="s">
        <v>16013</v>
      </c>
      <c r="AX1233" s="3" t="s">
        <v>16013</v>
      </c>
      <c r="AY1233" s="3" t="s">
        <v>16014</v>
      </c>
      <c r="AZ1233" s="3" t="s">
        <v>74</v>
      </c>
      <c r="BB1233" s="3" t="s">
        <v>16015</v>
      </c>
      <c r="BC1233" s="3" t="s">
        <v>16016</v>
      </c>
      <c r="BD1233" s="3" t="s">
        <v>16017</v>
      </c>
    </row>
    <row r="1234" spans="1:56" ht="45.75" customHeight="1" x14ac:dyDescent="0.25">
      <c r="A1234" s="7" t="s">
        <v>58</v>
      </c>
      <c r="B1234" s="2" t="s">
        <v>16018</v>
      </c>
      <c r="C1234" s="2" t="s">
        <v>16019</v>
      </c>
      <c r="D1234" s="2" t="s">
        <v>16020</v>
      </c>
      <c r="F1234" s="3" t="s">
        <v>58</v>
      </c>
      <c r="G1234" s="3" t="s">
        <v>59</v>
      </c>
      <c r="H1234" s="3" t="s">
        <v>87</v>
      </c>
      <c r="I1234" s="3" t="s">
        <v>58</v>
      </c>
      <c r="J1234" s="3" t="s">
        <v>60</v>
      </c>
      <c r="K1234" s="2" t="s">
        <v>16021</v>
      </c>
      <c r="L1234" s="2" t="s">
        <v>16022</v>
      </c>
      <c r="M1234" s="3" t="s">
        <v>742</v>
      </c>
      <c r="O1234" s="3" t="s">
        <v>65</v>
      </c>
      <c r="P1234" s="3" t="s">
        <v>148</v>
      </c>
      <c r="R1234" s="3" t="s">
        <v>67</v>
      </c>
      <c r="S1234" s="4">
        <v>60</v>
      </c>
      <c r="T1234" s="4">
        <v>65</v>
      </c>
      <c r="U1234" s="5" t="s">
        <v>10983</v>
      </c>
      <c r="V1234" s="5" t="s">
        <v>10983</v>
      </c>
      <c r="W1234" s="5" t="s">
        <v>9575</v>
      </c>
      <c r="X1234" s="5" t="s">
        <v>13494</v>
      </c>
      <c r="Y1234" s="4">
        <v>842</v>
      </c>
      <c r="Z1234" s="4">
        <v>777</v>
      </c>
      <c r="AA1234" s="4">
        <v>777</v>
      </c>
      <c r="AB1234" s="4">
        <v>7</v>
      </c>
      <c r="AC1234" s="4">
        <v>7</v>
      </c>
      <c r="AD1234" s="4">
        <v>52</v>
      </c>
      <c r="AE1234" s="4">
        <v>52</v>
      </c>
      <c r="AF1234" s="4">
        <v>16</v>
      </c>
      <c r="AG1234" s="4">
        <v>16</v>
      </c>
      <c r="AH1234" s="4">
        <v>8</v>
      </c>
      <c r="AI1234" s="4">
        <v>8</v>
      </c>
      <c r="AJ1234" s="4">
        <v>18</v>
      </c>
      <c r="AK1234" s="4">
        <v>18</v>
      </c>
      <c r="AL1234" s="4">
        <v>4</v>
      </c>
      <c r="AM1234" s="4">
        <v>4</v>
      </c>
      <c r="AN1234" s="4">
        <v>17</v>
      </c>
      <c r="AO1234" s="4">
        <v>17</v>
      </c>
      <c r="AP1234" s="3" t="s">
        <v>58</v>
      </c>
      <c r="AQ1234" s="3" t="s">
        <v>58</v>
      </c>
      <c r="AS1234" s="6" t="str">
        <f>HYPERLINK("https://creighton-primo.hosted.exlibrisgroup.com/primo-explore/search?tab=default_tab&amp;search_scope=EVERYTHING&amp;vid=01CRU&amp;lang=en_US&amp;offset=0&amp;query=any,contains,991001639609702656","Catalog Record")</f>
        <v>Catalog Record</v>
      </c>
      <c r="AT1234" s="6" t="str">
        <f>HYPERLINK("http://www.worldcat.org/oclc/18350204","WorldCat Record")</f>
        <v>WorldCat Record</v>
      </c>
      <c r="AU1234" s="3" t="s">
        <v>16023</v>
      </c>
      <c r="AV1234" s="3" t="s">
        <v>16024</v>
      </c>
      <c r="AW1234" s="3" t="s">
        <v>16025</v>
      </c>
      <c r="AX1234" s="3" t="s">
        <v>16025</v>
      </c>
      <c r="AY1234" s="3" t="s">
        <v>16026</v>
      </c>
      <c r="AZ1234" s="3" t="s">
        <v>74</v>
      </c>
      <c r="BB1234" s="3" t="s">
        <v>16027</v>
      </c>
      <c r="BC1234" s="3" t="s">
        <v>16028</v>
      </c>
      <c r="BD1234" s="3" t="s">
        <v>16029</v>
      </c>
    </row>
    <row r="1235" spans="1:56" ht="45.75" customHeight="1" x14ac:dyDescent="0.25">
      <c r="A1235" s="7" t="s">
        <v>58</v>
      </c>
      <c r="B1235" s="2" t="s">
        <v>16030</v>
      </c>
      <c r="C1235" s="2" t="s">
        <v>16031</v>
      </c>
      <c r="D1235" s="2" t="s">
        <v>16032</v>
      </c>
      <c r="F1235" s="3" t="s">
        <v>58</v>
      </c>
      <c r="G1235" s="3" t="s">
        <v>59</v>
      </c>
      <c r="H1235" s="3" t="s">
        <v>58</v>
      </c>
      <c r="I1235" s="3" t="s">
        <v>58</v>
      </c>
      <c r="J1235" s="3" t="s">
        <v>60</v>
      </c>
      <c r="K1235" s="2" t="s">
        <v>16033</v>
      </c>
      <c r="L1235" s="2" t="s">
        <v>16034</v>
      </c>
      <c r="M1235" s="3" t="s">
        <v>1032</v>
      </c>
      <c r="O1235" s="3" t="s">
        <v>65</v>
      </c>
      <c r="P1235" s="3" t="s">
        <v>84</v>
      </c>
      <c r="Q1235" s="2" t="s">
        <v>16035</v>
      </c>
      <c r="R1235" s="3" t="s">
        <v>67</v>
      </c>
      <c r="S1235" s="4">
        <v>11</v>
      </c>
      <c r="T1235" s="4">
        <v>11</v>
      </c>
      <c r="U1235" s="5" t="s">
        <v>16036</v>
      </c>
      <c r="V1235" s="5" t="s">
        <v>16036</v>
      </c>
      <c r="W1235" s="5" t="s">
        <v>16037</v>
      </c>
      <c r="X1235" s="5" t="s">
        <v>16037</v>
      </c>
      <c r="Y1235" s="4">
        <v>313</v>
      </c>
      <c r="Z1235" s="4">
        <v>289</v>
      </c>
      <c r="AA1235" s="4">
        <v>289</v>
      </c>
      <c r="AB1235" s="4">
        <v>2</v>
      </c>
      <c r="AC1235" s="4">
        <v>2</v>
      </c>
      <c r="AD1235" s="4">
        <v>15</v>
      </c>
      <c r="AE1235" s="4">
        <v>15</v>
      </c>
      <c r="AF1235" s="4">
        <v>4</v>
      </c>
      <c r="AG1235" s="4">
        <v>4</v>
      </c>
      <c r="AH1235" s="4">
        <v>3</v>
      </c>
      <c r="AI1235" s="4">
        <v>3</v>
      </c>
      <c r="AJ1235" s="4">
        <v>2</v>
      </c>
      <c r="AK1235" s="4">
        <v>2</v>
      </c>
      <c r="AL1235" s="4">
        <v>1</v>
      </c>
      <c r="AM1235" s="4">
        <v>1</v>
      </c>
      <c r="AN1235" s="4">
        <v>7</v>
      </c>
      <c r="AO1235" s="4">
        <v>7</v>
      </c>
      <c r="AP1235" s="3" t="s">
        <v>58</v>
      </c>
      <c r="AQ1235" s="3" t="s">
        <v>58</v>
      </c>
      <c r="AS1235" s="6" t="str">
        <f>HYPERLINK("https://creighton-primo.hosted.exlibrisgroup.com/primo-explore/search?tab=default_tab&amp;search_scope=EVERYTHING&amp;vid=01CRU&amp;lang=en_US&amp;offset=0&amp;query=any,contains,991002844149702656","Catalog Record")</f>
        <v>Catalog Record</v>
      </c>
      <c r="AT1235" s="6" t="str">
        <f>HYPERLINK("http://www.worldcat.org/oclc/37465281","WorldCat Record")</f>
        <v>WorldCat Record</v>
      </c>
      <c r="AU1235" s="3" t="s">
        <v>16038</v>
      </c>
      <c r="AV1235" s="3" t="s">
        <v>16039</v>
      </c>
      <c r="AW1235" s="3" t="s">
        <v>16040</v>
      </c>
      <c r="AX1235" s="3" t="s">
        <v>16040</v>
      </c>
      <c r="AY1235" s="3" t="s">
        <v>16041</v>
      </c>
      <c r="AZ1235" s="3" t="s">
        <v>74</v>
      </c>
      <c r="BB1235" s="3" t="s">
        <v>16042</v>
      </c>
      <c r="BC1235" s="3" t="s">
        <v>16043</v>
      </c>
      <c r="BD1235" s="3" t="s">
        <v>16044</v>
      </c>
    </row>
    <row r="1236" spans="1:56" ht="45.75" customHeight="1" x14ac:dyDescent="0.25">
      <c r="A1236" s="7" t="s">
        <v>58</v>
      </c>
      <c r="B1236" s="2" t="s">
        <v>16045</v>
      </c>
      <c r="C1236" s="2" t="s">
        <v>16046</v>
      </c>
      <c r="D1236" s="2" t="s">
        <v>16047</v>
      </c>
      <c r="F1236" s="3" t="s">
        <v>58</v>
      </c>
      <c r="G1236" s="3" t="s">
        <v>59</v>
      </c>
      <c r="H1236" s="3" t="s">
        <v>58</v>
      </c>
      <c r="I1236" s="3" t="s">
        <v>58</v>
      </c>
      <c r="J1236" s="3" t="s">
        <v>60</v>
      </c>
      <c r="K1236" s="2" t="s">
        <v>16048</v>
      </c>
      <c r="L1236" s="2" t="s">
        <v>16049</v>
      </c>
      <c r="M1236" s="3" t="s">
        <v>1032</v>
      </c>
      <c r="O1236" s="3" t="s">
        <v>65</v>
      </c>
      <c r="P1236" s="3" t="s">
        <v>772</v>
      </c>
      <c r="R1236" s="3" t="s">
        <v>67</v>
      </c>
      <c r="S1236" s="4">
        <v>26</v>
      </c>
      <c r="T1236" s="4">
        <v>26</v>
      </c>
      <c r="U1236" s="5" t="s">
        <v>15984</v>
      </c>
      <c r="V1236" s="5" t="s">
        <v>15984</v>
      </c>
      <c r="W1236" s="5" t="s">
        <v>1033</v>
      </c>
      <c r="X1236" s="5" t="s">
        <v>1033</v>
      </c>
      <c r="Y1236" s="4">
        <v>460</v>
      </c>
      <c r="Z1236" s="4">
        <v>427</v>
      </c>
      <c r="AA1236" s="4">
        <v>434</v>
      </c>
      <c r="AB1236" s="4">
        <v>3</v>
      </c>
      <c r="AC1236" s="4">
        <v>3</v>
      </c>
      <c r="AD1236" s="4">
        <v>27</v>
      </c>
      <c r="AE1236" s="4">
        <v>27</v>
      </c>
      <c r="AF1236" s="4">
        <v>10</v>
      </c>
      <c r="AG1236" s="4">
        <v>10</v>
      </c>
      <c r="AH1236" s="4">
        <v>5</v>
      </c>
      <c r="AI1236" s="4">
        <v>5</v>
      </c>
      <c r="AJ1236" s="4">
        <v>10</v>
      </c>
      <c r="AK1236" s="4">
        <v>10</v>
      </c>
      <c r="AL1236" s="4">
        <v>2</v>
      </c>
      <c r="AM1236" s="4">
        <v>2</v>
      </c>
      <c r="AN1236" s="4">
        <v>7</v>
      </c>
      <c r="AO1236" s="4">
        <v>7</v>
      </c>
      <c r="AP1236" s="3" t="s">
        <v>58</v>
      </c>
      <c r="AQ1236" s="3" t="s">
        <v>87</v>
      </c>
      <c r="AR1236" s="6" t="str">
        <f>HYPERLINK("http://catalog.hathitrust.org/Record/003148525","HathiTrust Record")</f>
        <v>HathiTrust Record</v>
      </c>
      <c r="AS1236" s="6" t="str">
        <f>HYPERLINK("https://creighton-primo.hosted.exlibrisgroup.com/primo-explore/search?tab=default_tab&amp;search_scope=EVERYTHING&amp;vid=01CRU&amp;lang=en_US&amp;offset=0&amp;query=any,contains,991002710089702656","Catalog Record")</f>
        <v>Catalog Record</v>
      </c>
      <c r="AT1236" s="6" t="str">
        <f>HYPERLINK("http://www.worldcat.org/oclc/35521723","WorldCat Record")</f>
        <v>WorldCat Record</v>
      </c>
      <c r="AU1236" s="3" t="s">
        <v>16050</v>
      </c>
      <c r="AV1236" s="3" t="s">
        <v>16051</v>
      </c>
      <c r="AW1236" s="3" t="s">
        <v>16052</v>
      </c>
      <c r="AX1236" s="3" t="s">
        <v>16052</v>
      </c>
      <c r="AY1236" s="3" t="s">
        <v>16053</v>
      </c>
      <c r="AZ1236" s="3" t="s">
        <v>74</v>
      </c>
      <c r="BB1236" s="3" t="s">
        <v>16054</v>
      </c>
      <c r="BC1236" s="3" t="s">
        <v>16055</v>
      </c>
      <c r="BD1236" s="3" t="s">
        <v>16056</v>
      </c>
    </row>
    <row r="1237" spans="1:56" ht="45.75" customHeight="1" x14ac:dyDescent="0.25">
      <c r="A1237" s="7" t="s">
        <v>58</v>
      </c>
      <c r="B1237" s="2" t="s">
        <v>16057</v>
      </c>
      <c r="C1237" s="2" t="s">
        <v>16058</v>
      </c>
      <c r="D1237" s="2" t="s">
        <v>16059</v>
      </c>
      <c r="F1237" s="3" t="s">
        <v>58</v>
      </c>
      <c r="G1237" s="3" t="s">
        <v>59</v>
      </c>
      <c r="H1237" s="3" t="s">
        <v>58</v>
      </c>
      <c r="I1237" s="3" t="s">
        <v>58</v>
      </c>
      <c r="J1237" s="3" t="s">
        <v>60</v>
      </c>
      <c r="K1237" s="2" t="s">
        <v>16060</v>
      </c>
      <c r="L1237" s="2" t="s">
        <v>16061</v>
      </c>
      <c r="M1237" s="3" t="s">
        <v>713</v>
      </c>
      <c r="O1237" s="3" t="s">
        <v>65</v>
      </c>
      <c r="P1237" s="3" t="s">
        <v>84</v>
      </c>
      <c r="R1237" s="3" t="s">
        <v>67</v>
      </c>
      <c r="S1237" s="4">
        <v>32</v>
      </c>
      <c r="T1237" s="4">
        <v>32</v>
      </c>
      <c r="U1237" s="5" t="s">
        <v>3834</v>
      </c>
      <c r="V1237" s="5" t="s">
        <v>3834</v>
      </c>
      <c r="W1237" s="5" t="s">
        <v>16062</v>
      </c>
      <c r="X1237" s="5" t="s">
        <v>16062</v>
      </c>
      <c r="Y1237" s="4">
        <v>471</v>
      </c>
      <c r="Z1237" s="4">
        <v>403</v>
      </c>
      <c r="AA1237" s="4">
        <v>597</v>
      </c>
      <c r="AB1237" s="4">
        <v>3</v>
      </c>
      <c r="AC1237" s="4">
        <v>6</v>
      </c>
      <c r="AD1237" s="4">
        <v>16</v>
      </c>
      <c r="AE1237" s="4">
        <v>24</v>
      </c>
      <c r="AF1237" s="4">
        <v>7</v>
      </c>
      <c r="AG1237" s="4">
        <v>8</v>
      </c>
      <c r="AH1237" s="4">
        <v>2</v>
      </c>
      <c r="AI1237" s="4">
        <v>4</v>
      </c>
      <c r="AJ1237" s="4">
        <v>6</v>
      </c>
      <c r="AK1237" s="4">
        <v>9</v>
      </c>
      <c r="AL1237" s="4">
        <v>2</v>
      </c>
      <c r="AM1237" s="4">
        <v>5</v>
      </c>
      <c r="AN1237" s="4">
        <v>3</v>
      </c>
      <c r="AO1237" s="4">
        <v>3</v>
      </c>
      <c r="AP1237" s="3" t="s">
        <v>58</v>
      </c>
      <c r="AQ1237" s="3" t="s">
        <v>87</v>
      </c>
      <c r="AR1237" s="6" t="str">
        <f>HYPERLINK("http://catalog.hathitrust.org/Record/000304011","HathiTrust Record")</f>
        <v>HathiTrust Record</v>
      </c>
      <c r="AS1237" s="6" t="str">
        <f>HYPERLINK("https://creighton-primo.hosted.exlibrisgroup.com/primo-explore/search?tab=default_tab&amp;search_scope=EVERYTHING&amp;vid=01CRU&amp;lang=en_US&amp;offset=0&amp;query=any,contains,991005117459702656","Catalog Record")</f>
        <v>Catalog Record</v>
      </c>
      <c r="AT1237" s="6" t="str">
        <f>HYPERLINK("http://www.worldcat.org/oclc/7464369","WorldCat Record")</f>
        <v>WorldCat Record</v>
      </c>
      <c r="AU1237" s="3" t="s">
        <v>16063</v>
      </c>
      <c r="AV1237" s="3" t="s">
        <v>16064</v>
      </c>
      <c r="AW1237" s="3" t="s">
        <v>16065</v>
      </c>
      <c r="AX1237" s="3" t="s">
        <v>16065</v>
      </c>
      <c r="AY1237" s="3" t="s">
        <v>16066</v>
      </c>
      <c r="AZ1237" s="3" t="s">
        <v>74</v>
      </c>
      <c r="BB1237" s="3" t="s">
        <v>16067</v>
      </c>
      <c r="BC1237" s="3" t="s">
        <v>16068</v>
      </c>
      <c r="BD1237" s="3" t="s">
        <v>16069</v>
      </c>
    </row>
    <row r="1238" spans="1:56" ht="45.75" customHeight="1" x14ac:dyDescent="0.25">
      <c r="A1238" s="7" t="s">
        <v>58</v>
      </c>
      <c r="B1238" s="2" t="s">
        <v>16070</v>
      </c>
      <c r="C1238" s="2" t="s">
        <v>16071</v>
      </c>
      <c r="D1238" s="2" t="s">
        <v>16072</v>
      </c>
      <c r="F1238" s="3" t="s">
        <v>58</v>
      </c>
      <c r="G1238" s="3" t="s">
        <v>59</v>
      </c>
      <c r="H1238" s="3" t="s">
        <v>58</v>
      </c>
      <c r="I1238" s="3" t="s">
        <v>58</v>
      </c>
      <c r="J1238" s="3" t="s">
        <v>60</v>
      </c>
      <c r="K1238" s="2" t="s">
        <v>16073</v>
      </c>
      <c r="L1238" s="2" t="s">
        <v>16074</v>
      </c>
      <c r="M1238" s="3" t="s">
        <v>147</v>
      </c>
      <c r="N1238" s="2" t="s">
        <v>543</v>
      </c>
      <c r="O1238" s="3" t="s">
        <v>65</v>
      </c>
      <c r="P1238" s="3" t="s">
        <v>84</v>
      </c>
      <c r="R1238" s="3" t="s">
        <v>67</v>
      </c>
      <c r="S1238" s="4">
        <v>11</v>
      </c>
      <c r="T1238" s="4">
        <v>11</v>
      </c>
      <c r="U1238" s="5" t="s">
        <v>15958</v>
      </c>
      <c r="V1238" s="5" t="s">
        <v>15958</v>
      </c>
      <c r="W1238" s="5" t="s">
        <v>16075</v>
      </c>
      <c r="X1238" s="5" t="s">
        <v>16075</v>
      </c>
      <c r="Y1238" s="4">
        <v>1004</v>
      </c>
      <c r="Z1238" s="4">
        <v>950</v>
      </c>
      <c r="AA1238" s="4">
        <v>1077</v>
      </c>
      <c r="AB1238" s="4">
        <v>8</v>
      </c>
      <c r="AC1238" s="4">
        <v>8</v>
      </c>
      <c r="AD1238" s="4">
        <v>24</v>
      </c>
      <c r="AE1238" s="4">
        <v>26</v>
      </c>
      <c r="AF1238" s="4">
        <v>6</v>
      </c>
      <c r="AG1238" s="4">
        <v>7</v>
      </c>
      <c r="AH1238" s="4">
        <v>3</v>
      </c>
      <c r="AI1238" s="4">
        <v>4</v>
      </c>
      <c r="AJ1238" s="4">
        <v>7</v>
      </c>
      <c r="AK1238" s="4">
        <v>7</v>
      </c>
      <c r="AL1238" s="4">
        <v>5</v>
      </c>
      <c r="AM1238" s="4">
        <v>5</v>
      </c>
      <c r="AN1238" s="4">
        <v>8</v>
      </c>
      <c r="AO1238" s="4">
        <v>8</v>
      </c>
      <c r="AP1238" s="3" t="s">
        <v>58</v>
      </c>
      <c r="AQ1238" s="3" t="s">
        <v>58</v>
      </c>
      <c r="AS1238" s="6" t="str">
        <f>HYPERLINK("https://creighton-primo.hosted.exlibrisgroup.com/primo-explore/search?tab=default_tab&amp;search_scope=EVERYTHING&amp;vid=01CRU&amp;lang=en_US&amp;offset=0&amp;query=any,contains,991004380659702656","Catalog Record")</f>
        <v>Catalog Record</v>
      </c>
      <c r="AT1238" s="6" t="str">
        <f>HYPERLINK("http://www.worldcat.org/oclc/55633923","WorldCat Record")</f>
        <v>WorldCat Record</v>
      </c>
      <c r="AU1238" s="3" t="s">
        <v>16076</v>
      </c>
      <c r="AV1238" s="3" t="s">
        <v>16077</v>
      </c>
      <c r="AW1238" s="3" t="s">
        <v>16078</v>
      </c>
      <c r="AX1238" s="3" t="s">
        <v>16078</v>
      </c>
      <c r="AY1238" s="3" t="s">
        <v>16079</v>
      </c>
      <c r="AZ1238" s="3" t="s">
        <v>74</v>
      </c>
      <c r="BB1238" s="3" t="s">
        <v>16080</v>
      </c>
      <c r="BC1238" s="3" t="s">
        <v>16081</v>
      </c>
      <c r="BD1238" s="3" t="s">
        <v>16082</v>
      </c>
    </row>
    <row r="1239" spans="1:56" ht="45.75" customHeight="1" x14ac:dyDescent="0.25">
      <c r="A1239" s="7" t="s">
        <v>58</v>
      </c>
      <c r="B1239" s="2" t="s">
        <v>16083</v>
      </c>
      <c r="C1239" s="2" t="s">
        <v>16084</v>
      </c>
      <c r="D1239" s="2" t="s">
        <v>16085</v>
      </c>
      <c r="F1239" s="3" t="s">
        <v>58</v>
      </c>
      <c r="G1239" s="3" t="s">
        <v>59</v>
      </c>
      <c r="H1239" s="3" t="s">
        <v>58</v>
      </c>
      <c r="I1239" s="3" t="s">
        <v>58</v>
      </c>
      <c r="J1239" s="3" t="s">
        <v>60</v>
      </c>
      <c r="L1239" s="2" t="s">
        <v>16086</v>
      </c>
      <c r="M1239" s="3" t="s">
        <v>307</v>
      </c>
      <c r="O1239" s="3" t="s">
        <v>65</v>
      </c>
      <c r="P1239" s="3" t="s">
        <v>84</v>
      </c>
      <c r="R1239" s="3" t="s">
        <v>67</v>
      </c>
      <c r="S1239" s="4">
        <v>45</v>
      </c>
      <c r="T1239" s="4">
        <v>45</v>
      </c>
      <c r="U1239" s="5" t="s">
        <v>3514</v>
      </c>
      <c r="V1239" s="5" t="s">
        <v>3514</v>
      </c>
      <c r="W1239" s="5" t="s">
        <v>3048</v>
      </c>
      <c r="X1239" s="5" t="s">
        <v>3048</v>
      </c>
      <c r="Y1239" s="4">
        <v>236</v>
      </c>
      <c r="Z1239" s="4">
        <v>219</v>
      </c>
      <c r="AA1239" s="4">
        <v>227</v>
      </c>
      <c r="AB1239" s="4">
        <v>1</v>
      </c>
      <c r="AC1239" s="4">
        <v>1</v>
      </c>
      <c r="AD1239" s="4">
        <v>18</v>
      </c>
      <c r="AE1239" s="4">
        <v>18</v>
      </c>
      <c r="AF1239" s="4">
        <v>5</v>
      </c>
      <c r="AG1239" s="4">
        <v>5</v>
      </c>
      <c r="AH1239" s="4">
        <v>4</v>
      </c>
      <c r="AI1239" s="4">
        <v>4</v>
      </c>
      <c r="AJ1239" s="4">
        <v>10</v>
      </c>
      <c r="AK1239" s="4">
        <v>10</v>
      </c>
      <c r="AL1239" s="4">
        <v>0</v>
      </c>
      <c r="AM1239" s="4">
        <v>0</v>
      </c>
      <c r="AN1239" s="4">
        <v>3</v>
      </c>
      <c r="AO1239" s="4">
        <v>3</v>
      </c>
      <c r="AP1239" s="3" t="s">
        <v>58</v>
      </c>
      <c r="AQ1239" s="3" t="s">
        <v>87</v>
      </c>
      <c r="AR1239" s="6" t="str">
        <f>HYPERLINK("http://catalog.hathitrust.org/Record/003075377","HathiTrust Record")</f>
        <v>HathiTrust Record</v>
      </c>
      <c r="AS1239" s="6" t="str">
        <f>HYPERLINK("https://creighton-primo.hosted.exlibrisgroup.com/primo-explore/search?tab=default_tab&amp;search_scope=EVERYTHING&amp;vid=01CRU&amp;lang=en_US&amp;offset=0&amp;query=any,contains,991002471609702656","Catalog Record")</f>
        <v>Catalog Record</v>
      </c>
      <c r="AT1239" s="6" t="str">
        <f>HYPERLINK("http://www.worldcat.org/oclc/32196081","WorldCat Record")</f>
        <v>WorldCat Record</v>
      </c>
      <c r="AU1239" s="3" t="s">
        <v>16087</v>
      </c>
      <c r="AV1239" s="3" t="s">
        <v>16088</v>
      </c>
      <c r="AW1239" s="3" t="s">
        <v>16089</v>
      </c>
      <c r="AX1239" s="3" t="s">
        <v>16089</v>
      </c>
      <c r="AY1239" s="3" t="s">
        <v>16090</v>
      </c>
      <c r="AZ1239" s="3" t="s">
        <v>74</v>
      </c>
      <c r="BB1239" s="3" t="s">
        <v>16091</v>
      </c>
      <c r="BC1239" s="3" t="s">
        <v>16092</v>
      </c>
      <c r="BD1239" s="3" t="s">
        <v>16093</v>
      </c>
    </row>
    <row r="1240" spans="1:56" ht="45.75" customHeight="1" x14ac:dyDescent="0.25">
      <c r="A1240" s="7" t="s">
        <v>58</v>
      </c>
      <c r="B1240" s="2" t="s">
        <v>16094</v>
      </c>
      <c r="C1240" s="2" t="s">
        <v>16095</v>
      </c>
      <c r="D1240" s="2" t="s">
        <v>16096</v>
      </c>
      <c r="F1240" s="3" t="s">
        <v>58</v>
      </c>
      <c r="G1240" s="3" t="s">
        <v>59</v>
      </c>
      <c r="H1240" s="3" t="s">
        <v>87</v>
      </c>
      <c r="I1240" s="3" t="s">
        <v>58</v>
      </c>
      <c r="J1240" s="3" t="s">
        <v>60</v>
      </c>
      <c r="K1240" s="2" t="s">
        <v>16097</v>
      </c>
      <c r="L1240" s="2" t="s">
        <v>16098</v>
      </c>
      <c r="M1240" s="3" t="s">
        <v>629</v>
      </c>
      <c r="N1240" s="2" t="s">
        <v>543</v>
      </c>
      <c r="O1240" s="3" t="s">
        <v>65</v>
      </c>
      <c r="P1240" s="3" t="s">
        <v>14921</v>
      </c>
      <c r="R1240" s="3" t="s">
        <v>67</v>
      </c>
      <c r="S1240" s="4">
        <v>14</v>
      </c>
      <c r="T1240" s="4">
        <v>16</v>
      </c>
      <c r="U1240" s="5" t="s">
        <v>10983</v>
      </c>
      <c r="V1240" s="5" t="s">
        <v>10983</v>
      </c>
      <c r="W1240" s="5" t="s">
        <v>14735</v>
      </c>
      <c r="X1240" s="5" t="s">
        <v>14735</v>
      </c>
      <c r="Y1240" s="4">
        <v>812</v>
      </c>
      <c r="Z1240" s="4">
        <v>775</v>
      </c>
      <c r="AA1240" s="4">
        <v>1138</v>
      </c>
      <c r="AB1240" s="4">
        <v>5</v>
      </c>
      <c r="AC1240" s="4">
        <v>7</v>
      </c>
      <c r="AD1240" s="4">
        <v>46</v>
      </c>
      <c r="AE1240" s="4">
        <v>51</v>
      </c>
      <c r="AF1240" s="4">
        <v>14</v>
      </c>
      <c r="AG1240" s="4">
        <v>18</v>
      </c>
      <c r="AH1240" s="4">
        <v>9</v>
      </c>
      <c r="AI1240" s="4">
        <v>10</v>
      </c>
      <c r="AJ1240" s="4">
        <v>19</v>
      </c>
      <c r="AK1240" s="4">
        <v>21</v>
      </c>
      <c r="AL1240" s="4">
        <v>3</v>
      </c>
      <c r="AM1240" s="4">
        <v>4</v>
      </c>
      <c r="AN1240" s="4">
        <v>10</v>
      </c>
      <c r="AO1240" s="4">
        <v>10</v>
      </c>
      <c r="AP1240" s="3" t="s">
        <v>58</v>
      </c>
      <c r="AQ1240" s="3" t="s">
        <v>58</v>
      </c>
      <c r="AS1240" s="6" t="str">
        <f>HYPERLINK("https://creighton-primo.hosted.exlibrisgroup.com/primo-explore/search?tab=default_tab&amp;search_scope=EVERYTHING&amp;vid=01CRU&amp;lang=en_US&amp;offset=0&amp;query=any,contains,991001658099702656","Catalog Record")</f>
        <v>Catalog Record</v>
      </c>
      <c r="AT1240" s="6" t="str">
        <f>HYPERLINK("http://www.worldcat.org/oclc/27976828","WorldCat Record")</f>
        <v>WorldCat Record</v>
      </c>
      <c r="AU1240" s="3" t="s">
        <v>16099</v>
      </c>
      <c r="AV1240" s="3" t="s">
        <v>16100</v>
      </c>
      <c r="AW1240" s="3" t="s">
        <v>16101</v>
      </c>
      <c r="AX1240" s="3" t="s">
        <v>16101</v>
      </c>
      <c r="AY1240" s="3" t="s">
        <v>16102</v>
      </c>
      <c r="AZ1240" s="3" t="s">
        <v>74</v>
      </c>
      <c r="BB1240" s="3" t="s">
        <v>16103</v>
      </c>
      <c r="BC1240" s="3" t="s">
        <v>16104</v>
      </c>
      <c r="BD1240" s="3" t="s">
        <v>16105</v>
      </c>
    </row>
    <row r="1241" spans="1:56" ht="45.75" customHeight="1" x14ac:dyDescent="0.25">
      <c r="A1241" s="7" t="s">
        <v>58</v>
      </c>
      <c r="B1241" s="2" t="s">
        <v>16106</v>
      </c>
      <c r="C1241" s="2" t="s">
        <v>16107</v>
      </c>
      <c r="D1241" s="2" t="s">
        <v>16108</v>
      </c>
      <c r="F1241" s="3" t="s">
        <v>58</v>
      </c>
      <c r="G1241" s="3" t="s">
        <v>59</v>
      </c>
      <c r="H1241" s="3" t="s">
        <v>58</v>
      </c>
      <c r="I1241" s="3" t="s">
        <v>58</v>
      </c>
      <c r="J1241" s="3" t="s">
        <v>60</v>
      </c>
      <c r="K1241" s="2" t="s">
        <v>16109</v>
      </c>
      <c r="L1241" s="2" t="s">
        <v>16110</v>
      </c>
      <c r="M1241" s="3" t="s">
        <v>290</v>
      </c>
      <c r="O1241" s="3" t="s">
        <v>65</v>
      </c>
      <c r="P1241" s="3" t="s">
        <v>336</v>
      </c>
      <c r="R1241" s="3" t="s">
        <v>67</v>
      </c>
      <c r="S1241" s="4">
        <v>14</v>
      </c>
      <c r="T1241" s="4">
        <v>14</v>
      </c>
      <c r="U1241" s="5" t="s">
        <v>16111</v>
      </c>
      <c r="V1241" s="5" t="s">
        <v>16111</v>
      </c>
      <c r="W1241" s="5" t="s">
        <v>9464</v>
      </c>
      <c r="X1241" s="5" t="s">
        <v>9464</v>
      </c>
      <c r="Y1241" s="4">
        <v>321</v>
      </c>
      <c r="Z1241" s="4">
        <v>301</v>
      </c>
      <c r="AA1241" s="4">
        <v>319</v>
      </c>
      <c r="AB1241" s="4">
        <v>2</v>
      </c>
      <c r="AC1241" s="4">
        <v>2</v>
      </c>
      <c r="AD1241" s="4">
        <v>11</v>
      </c>
      <c r="AE1241" s="4">
        <v>11</v>
      </c>
      <c r="AF1241" s="4">
        <v>2</v>
      </c>
      <c r="AG1241" s="4">
        <v>2</v>
      </c>
      <c r="AH1241" s="4">
        <v>4</v>
      </c>
      <c r="AI1241" s="4">
        <v>4</v>
      </c>
      <c r="AJ1241" s="4">
        <v>6</v>
      </c>
      <c r="AK1241" s="4">
        <v>6</v>
      </c>
      <c r="AL1241" s="4">
        <v>1</v>
      </c>
      <c r="AM1241" s="4">
        <v>1</v>
      </c>
      <c r="AN1241" s="4">
        <v>1</v>
      </c>
      <c r="AO1241" s="4">
        <v>1</v>
      </c>
      <c r="AP1241" s="3" t="s">
        <v>58</v>
      </c>
      <c r="AQ1241" s="3" t="s">
        <v>87</v>
      </c>
      <c r="AR1241" s="6" t="str">
        <f>HYPERLINK("http://catalog.hathitrust.org/Record/004127108","HathiTrust Record")</f>
        <v>HathiTrust Record</v>
      </c>
      <c r="AS1241" s="6" t="str">
        <f>HYPERLINK("https://creighton-primo.hosted.exlibrisgroup.com/primo-explore/search?tab=default_tab&amp;search_scope=EVERYTHING&amp;vid=01CRU&amp;lang=en_US&amp;offset=0&amp;query=any,contains,991003342209702656","Catalog Record")</f>
        <v>Catalog Record</v>
      </c>
      <c r="AT1241" s="6" t="str">
        <f>HYPERLINK("http://www.worldcat.org/oclc/44075905","WorldCat Record")</f>
        <v>WorldCat Record</v>
      </c>
      <c r="AU1241" s="3" t="s">
        <v>16112</v>
      </c>
      <c r="AV1241" s="3" t="s">
        <v>16113</v>
      </c>
      <c r="AW1241" s="3" t="s">
        <v>16114</v>
      </c>
      <c r="AX1241" s="3" t="s">
        <v>16114</v>
      </c>
      <c r="AY1241" s="3" t="s">
        <v>16115</v>
      </c>
      <c r="AZ1241" s="3" t="s">
        <v>74</v>
      </c>
      <c r="BB1241" s="3" t="s">
        <v>16116</v>
      </c>
      <c r="BC1241" s="3" t="s">
        <v>16117</v>
      </c>
      <c r="BD1241" s="3" t="s">
        <v>16118</v>
      </c>
    </row>
    <row r="1242" spans="1:56" ht="45.75" customHeight="1" x14ac:dyDescent="0.25">
      <c r="A1242" s="7" t="s">
        <v>58</v>
      </c>
      <c r="B1242" s="2" t="s">
        <v>16119</v>
      </c>
      <c r="C1242" s="2" t="s">
        <v>16120</v>
      </c>
      <c r="D1242" s="2" t="s">
        <v>16121</v>
      </c>
      <c r="F1242" s="3" t="s">
        <v>58</v>
      </c>
      <c r="G1242" s="3" t="s">
        <v>59</v>
      </c>
      <c r="H1242" s="3" t="s">
        <v>58</v>
      </c>
      <c r="I1242" s="3" t="s">
        <v>58</v>
      </c>
      <c r="J1242" s="3" t="s">
        <v>60</v>
      </c>
      <c r="K1242" s="2" t="s">
        <v>16122</v>
      </c>
      <c r="L1242" s="2" t="s">
        <v>16123</v>
      </c>
      <c r="M1242" s="3" t="s">
        <v>573</v>
      </c>
      <c r="O1242" s="3" t="s">
        <v>65</v>
      </c>
      <c r="P1242" s="3" t="s">
        <v>1282</v>
      </c>
      <c r="R1242" s="3" t="s">
        <v>67</v>
      </c>
      <c r="S1242" s="4">
        <v>6</v>
      </c>
      <c r="T1242" s="4">
        <v>6</v>
      </c>
      <c r="U1242" s="5" t="s">
        <v>16124</v>
      </c>
      <c r="V1242" s="5" t="s">
        <v>16124</v>
      </c>
      <c r="W1242" s="5" t="s">
        <v>8190</v>
      </c>
      <c r="X1242" s="5" t="s">
        <v>8190</v>
      </c>
      <c r="Y1242" s="4">
        <v>1067</v>
      </c>
      <c r="Z1242" s="4">
        <v>1012</v>
      </c>
      <c r="AA1242" s="4">
        <v>1027</v>
      </c>
      <c r="AB1242" s="4">
        <v>6</v>
      </c>
      <c r="AC1242" s="4">
        <v>6</v>
      </c>
      <c r="AD1242" s="4">
        <v>36</v>
      </c>
      <c r="AE1242" s="4">
        <v>36</v>
      </c>
      <c r="AF1242" s="4">
        <v>12</v>
      </c>
      <c r="AG1242" s="4">
        <v>12</v>
      </c>
      <c r="AH1242" s="4">
        <v>7</v>
      </c>
      <c r="AI1242" s="4">
        <v>7</v>
      </c>
      <c r="AJ1242" s="4">
        <v>11</v>
      </c>
      <c r="AK1242" s="4">
        <v>11</v>
      </c>
      <c r="AL1242" s="4">
        <v>4</v>
      </c>
      <c r="AM1242" s="4">
        <v>4</v>
      </c>
      <c r="AN1242" s="4">
        <v>10</v>
      </c>
      <c r="AO1242" s="4">
        <v>10</v>
      </c>
      <c r="AP1242" s="3" t="s">
        <v>58</v>
      </c>
      <c r="AQ1242" s="3" t="s">
        <v>58</v>
      </c>
      <c r="AS1242" s="6" t="str">
        <f>HYPERLINK("https://creighton-primo.hosted.exlibrisgroup.com/primo-explore/search?tab=default_tab&amp;search_scope=EVERYTHING&amp;vid=01CRU&amp;lang=en_US&amp;offset=0&amp;query=any,contains,991004121219702656","Catalog Record")</f>
        <v>Catalog Record</v>
      </c>
      <c r="AT1242" s="6" t="str">
        <f>HYPERLINK("http://www.worldcat.org/oclc/52055145","WorldCat Record")</f>
        <v>WorldCat Record</v>
      </c>
      <c r="AU1242" s="3" t="s">
        <v>16125</v>
      </c>
      <c r="AV1242" s="3" t="s">
        <v>16126</v>
      </c>
      <c r="AW1242" s="3" t="s">
        <v>16127</v>
      </c>
      <c r="AX1242" s="3" t="s">
        <v>16127</v>
      </c>
      <c r="AY1242" s="3" t="s">
        <v>16128</v>
      </c>
      <c r="AZ1242" s="3" t="s">
        <v>74</v>
      </c>
      <c r="BB1242" s="3" t="s">
        <v>16129</v>
      </c>
      <c r="BC1242" s="3" t="s">
        <v>16130</v>
      </c>
      <c r="BD1242" s="3" t="s">
        <v>16131</v>
      </c>
    </row>
    <row r="1243" spans="1:56" ht="45.75" customHeight="1" x14ac:dyDescent="0.25">
      <c r="A1243" s="7" t="s">
        <v>58</v>
      </c>
      <c r="B1243" s="2" t="s">
        <v>16132</v>
      </c>
      <c r="C1243" s="2" t="s">
        <v>16133</v>
      </c>
      <c r="D1243" s="2" t="s">
        <v>16134</v>
      </c>
      <c r="F1243" s="3" t="s">
        <v>58</v>
      </c>
      <c r="G1243" s="3" t="s">
        <v>59</v>
      </c>
      <c r="H1243" s="3" t="s">
        <v>87</v>
      </c>
      <c r="I1243" s="3" t="s">
        <v>58</v>
      </c>
      <c r="J1243" s="3" t="s">
        <v>60</v>
      </c>
      <c r="L1243" s="2" t="s">
        <v>16135</v>
      </c>
      <c r="M1243" s="3" t="s">
        <v>1209</v>
      </c>
      <c r="O1243" s="3" t="s">
        <v>65</v>
      </c>
      <c r="P1243" s="3" t="s">
        <v>175</v>
      </c>
      <c r="R1243" s="3" t="s">
        <v>67</v>
      </c>
      <c r="S1243" s="4">
        <v>65</v>
      </c>
      <c r="T1243" s="4">
        <v>65</v>
      </c>
      <c r="U1243" s="5" t="s">
        <v>16136</v>
      </c>
      <c r="V1243" s="5" t="s">
        <v>16136</v>
      </c>
      <c r="W1243" s="5" t="s">
        <v>16137</v>
      </c>
      <c r="X1243" s="5" t="s">
        <v>16137</v>
      </c>
      <c r="Y1243" s="4">
        <v>454</v>
      </c>
      <c r="Z1243" s="4">
        <v>379</v>
      </c>
      <c r="AA1243" s="4">
        <v>386</v>
      </c>
      <c r="AB1243" s="4">
        <v>4</v>
      </c>
      <c r="AC1243" s="4">
        <v>4</v>
      </c>
      <c r="AD1243" s="4">
        <v>21</v>
      </c>
      <c r="AE1243" s="4">
        <v>21</v>
      </c>
      <c r="AF1243" s="4">
        <v>4</v>
      </c>
      <c r="AG1243" s="4">
        <v>4</v>
      </c>
      <c r="AH1243" s="4">
        <v>2</v>
      </c>
      <c r="AI1243" s="4">
        <v>2</v>
      </c>
      <c r="AJ1243" s="4">
        <v>7</v>
      </c>
      <c r="AK1243" s="4">
        <v>7</v>
      </c>
      <c r="AL1243" s="4">
        <v>2</v>
      </c>
      <c r="AM1243" s="4">
        <v>2</v>
      </c>
      <c r="AN1243" s="4">
        <v>9</v>
      </c>
      <c r="AO1243" s="4">
        <v>9</v>
      </c>
      <c r="AP1243" s="3" t="s">
        <v>58</v>
      </c>
      <c r="AQ1243" s="3" t="s">
        <v>58</v>
      </c>
      <c r="AS1243" s="6" t="str">
        <f>HYPERLINK("https://creighton-primo.hosted.exlibrisgroup.com/primo-explore/search?tab=default_tab&amp;search_scope=EVERYTHING&amp;vid=01CRU&amp;lang=en_US&amp;offset=0&amp;query=any,contains,991001013589702656","Catalog Record")</f>
        <v>Catalog Record</v>
      </c>
      <c r="AT1243" s="6" t="str">
        <f>HYPERLINK("http://www.worldcat.org/oclc/17209566","WorldCat Record")</f>
        <v>WorldCat Record</v>
      </c>
      <c r="AU1243" s="3" t="s">
        <v>16138</v>
      </c>
      <c r="AV1243" s="3" t="s">
        <v>16139</v>
      </c>
      <c r="AW1243" s="3" t="s">
        <v>16140</v>
      </c>
      <c r="AX1243" s="3" t="s">
        <v>16140</v>
      </c>
      <c r="AY1243" s="3" t="s">
        <v>16141</v>
      </c>
      <c r="AZ1243" s="3" t="s">
        <v>74</v>
      </c>
      <c r="BB1243" s="3" t="s">
        <v>16142</v>
      </c>
      <c r="BC1243" s="3" t="s">
        <v>16143</v>
      </c>
      <c r="BD1243" s="3" t="s">
        <v>16144</v>
      </c>
    </row>
    <row r="1244" spans="1:56" ht="45.75" customHeight="1" x14ac:dyDescent="0.25">
      <c r="A1244" s="7" t="s">
        <v>58</v>
      </c>
      <c r="B1244" s="2" t="s">
        <v>16145</v>
      </c>
      <c r="C1244" s="2" t="s">
        <v>16146</v>
      </c>
      <c r="D1244" s="2" t="s">
        <v>16147</v>
      </c>
      <c r="F1244" s="3" t="s">
        <v>58</v>
      </c>
      <c r="G1244" s="3" t="s">
        <v>59</v>
      </c>
      <c r="H1244" s="3" t="s">
        <v>87</v>
      </c>
      <c r="I1244" s="3" t="s">
        <v>58</v>
      </c>
      <c r="J1244" s="3" t="s">
        <v>60</v>
      </c>
      <c r="K1244" s="2" t="s">
        <v>15762</v>
      </c>
      <c r="L1244" s="2" t="s">
        <v>16148</v>
      </c>
      <c r="M1244" s="3" t="s">
        <v>2324</v>
      </c>
      <c r="O1244" s="3" t="s">
        <v>65</v>
      </c>
      <c r="P1244" s="3" t="s">
        <v>84</v>
      </c>
      <c r="R1244" s="3" t="s">
        <v>67</v>
      </c>
      <c r="S1244" s="4">
        <v>94</v>
      </c>
      <c r="T1244" s="4">
        <v>97</v>
      </c>
      <c r="U1244" s="5" t="s">
        <v>16149</v>
      </c>
      <c r="V1244" s="5" t="s">
        <v>16150</v>
      </c>
      <c r="W1244" s="5" t="s">
        <v>16151</v>
      </c>
      <c r="X1244" s="5" t="s">
        <v>13494</v>
      </c>
      <c r="Y1244" s="4">
        <v>1549</v>
      </c>
      <c r="Z1244" s="4">
        <v>1375</v>
      </c>
      <c r="AA1244" s="4">
        <v>1392</v>
      </c>
      <c r="AB1244" s="4">
        <v>11</v>
      </c>
      <c r="AC1244" s="4">
        <v>11</v>
      </c>
      <c r="AD1244" s="4">
        <v>55</v>
      </c>
      <c r="AE1244" s="4">
        <v>56</v>
      </c>
      <c r="AF1244" s="4">
        <v>20</v>
      </c>
      <c r="AG1244" s="4">
        <v>21</v>
      </c>
      <c r="AH1244" s="4">
        <v>7</v>
      </c>
      <c r="AI1244" s="4">
        <v>8</v>
      </c>
      <c r="AJ1244" s="4">
        <v>17</v>
      </c>
      <c r="AK1244" s="4">
        <v>17</v>
      </c>
      <c r="AL1244" s="4">
        <v>5</v>
      </c>
      <c r="AM1244" s="4">
        <v>5</v>
      </c>
      <c r="AN1244" s="4">
        <v>16</v>
      </c>
      <c r="AO1244" s="4">
        <v>16</v>
      </c>
      <c r="AP1244" s="3" t="s">
        <v>58</v>
      </c>
      <c r="AQ1244" s="3" t="s">
        <v>58</v>
      </c>
      <c r="AS1244" s="6" t="str">
        <f>HYPERLINK("https://creighton-primo.hosted.exlibrisgroup.com/primo-explore/search?tab=default_tab&amp;search_scope=EVERYTHING&amp;vid=01CRU&amp;lang=en_US&amp;offset=0&amp;query=any,contains,991001625829702656","Catalog Record")</f>
        <v>Catalog Record</v>
      </c>
      <c r="AT1244" s="6" t="str">
        <f>HYPERLINK("http://www.worldcat.org/oclc/9647204","WorldCat Record")</f>
        <v>WorldCat Record</v>
      </c>
      <c r="AU1244" s="3" t="s">
        <v>16152</v>
      </c>
      <c r="AV1244" s="3" t="s">
        <v>16153</v>
      </c>
      <c r="AW1244" s="3" t="s">
        <v>16154</v>
      </c>
      <c r="AX1244" s="3" t="s">
        <v>16154</v>
      </c>
      <c r="AY1244" s="3" t="s">
        <v>16155</v>
      </c>
      <c r="AZ1244" s="3" t="s">
        <v>74</v>
      </c>
      <c r="BB1244" s="3" t="s">
        <v>16156</v>
      </c>
      <c r="BC1244" s="3" t="s">
        <v>16157</v>
      </c>
      <c r="BD1244" s="3" t="s">
        <v>16158</v>
      </c>
    </row>
    <row r="1245" spans="1:56" ht="45.75" customHeight="1" x14ac:dyDescent="0.25">
      <c r="A1245" s="7" t="s">
        <v>58</v>
      </c>
      <c r="B1245" s="2" t="s">
        <v>16159</v>
      </c>
      <c r="C1245" s="2" t="s">
        <v>16160</v>
      </c>
      <c r="D1245" s="2" t="s">
        <v>16161</v>
      </c>
      <c r="F1245" s="3" t="s">
        <v>58</v>
      </c>
      <c r="G1245" s="3" t="s">
        <v>59</v>
      </c>
      <c r="H1245" s="3" t="s">
        <v>58</v>
      </c>
      <c r="I1245" s="3" t="s">
        <v>58</v>
      </c>
      <c r="J1245" s="3" t="s">
        <v>60</v>
      </c>
      <c r="L1245" s="2" t="s">
        <v>16162</v>
      </c>
      <c r="M1245" s="3" t="s">
        <v>1032</v>
      </c>
      <c r="O1245" s="3" t="s">
        <v>65</v>
      </c>
      <c r="P1245" s="3" t="s">
        <v>148</v>
      </c>
      <c r="R1245" s="3" t="s">
        <v>67</v>
      </c>
      <c r="S1245" s="4">
        <v>5</v>
      </c>
      <c r="T1245" s="4">
        <v>5</v>
      </c>
      <c r="U1245" s="5" t="s">
        <v>16163</v>
      </c>
      <c r="V1245" s="5" t="s">
        <v>16163</v>
      </c>
      <c r="W1245" s="5" t="s">
        <v>6453</v>
      </c>
      <c r="X1245" s="5" t="s">
        <v>6453</v>
      </c>
      <c r="Y1245" s="4">
        <v>362</v>
      </c>
      <c r="Z1245" s="4">
        <v>340</v>
      </c>
      <c r="AA1245" s="4">
        <v>467</v>
      </c>
      <c r="AB1245" s="4">
        <v>2</v>
      </c>
      <c r="AC1245" s="4">
        <v>3</v>
      </c>
      <c r="AD1245" s="4">
        <v>20</v>
      </c>
      <c r="AE1245" s="4">
        <v>28</v>
      </c>
      <c r="AF1245" s="4">
        <v>5</v>
      </c>
      <c r="AG1245" s="4">
        <v>9</v>
      </c>
      <c r="AH1245" s="4">
        <v>5</v>
      </c>
      <c r="AI1245" s="4">
        <v>5</v>
      </c>
      <c r="AJ1245" s="4">
        <v>9</v>
      </c>
      <c r="AK1245" s="4">
        <v>14</v>
      </c>
      <c r="AL1245" s="4">
        <v>1</v>
      </c>
      <c r="AM1245" s="4">
        <v>2</v>
      </c>
      <c r="AN1245" s="4">
        <v>4</v>
      </c>
      <c r="AO1245" s="4">
        <v>4</v>
      </c>
      <c r="AP1245" s="3" t="s">
        <v>58</v>
      </c>
      <c r="AQ1245" s="3" t="s">
        <v>87</v>
      </c>
      <c r="AR1245" s="6" t="str">
        <f>HYPERLINK("http://catalog.hathitrust.org/Record/003167977","HathiTrust Record")</f>
        <v>HathiTrust Record</v>
      </c>
      <c r="AS1245" s="6" t="str">
        <f>HYPERLINK("https://creighton-primo.hosted.exlibrisgroup.com/primo-explore/search?tab=default_tab&amp;search_scope=EVERYTHING&amp;vid=01CRU&amp;lang=en_US&amp;offset=0&amp;query=any,contains,991002685189702656","Catalog Record")</f>
        <v>Catalog Record</v>
      </c>
      <c r="AT1245" s="6" t="str">
        <f>HYPERLINK("http://www.worldcat.org/oclc/35086064","WorldCat Record")</f>
        <v>WorldCat Record</v>
      </c>
      <c r="AU1245" s="3" t="s">
        <v>16164</v>
      </c>
      <c r="AV1245" s="3" t="s">
        <v>16165</v>
      </c>
      <c r="AW1245" s="3" t="s">
        <v>16166</v>
      </c>
      <c r="AX1245" s="3" t="s">
        <v>16166</v>
      </c>
      <c r="AY1245" s="3" t="s">
        <v>16167</v>
      </c>
      <c r="AZ1245" s="3" t="s">
        <v>74</v>
      </c>
      <c r="BB1245" s="3" t="s">
        <v>16168</v>
      </c>
      <c r="BC1245" s="3" t="s">
        <v>16169</v>
      </c>
      <c r="BD1245" s="3" t="s">
        <v>16170</v>
      </c>
    </row>
    <row r="1246" spans="1:56" ht="45.75" customHeight="1" x14ac:dyDescent="0.25">
      <c r="A1246" s="7" t="s">
        <v>58</v>
      </c>
      <c r="B1246" s="2" t="s">
        <v>16171</v>
      </c>
      <c r="C1246" s="2" t="s">
        <v>16172</v>
      </c>
      <c r="D1246" s="2" t="s">
        <v>16173</v>
      </c>
      <c r="F1246" s="3" t="s">
        <v>58</v>
      </c>
      <c r="G1246" s="3" t="s">
        <v>59</v>
      </c>
      <c r="H1246" s="3" t="s">
        <v>58</v>
      </c>
      <c r="I1246" s="3" t="s">
        <v>58</v>
      </c>
      <c r="J1246" s="3" t="s">
        <v>60</v>
      </c>
      <c r="K1246" s="2" t="s">
        <v>5607</v>
      </c>
      <c r="L1246" s="2" t="s">
        <v>16174</v>
      </c>
      <c r="M1246" s="3" t="s">
        <v>83</v>
      </c>
      <c r="O1246" s="3" t="s">
        <v>65</v>
      </c>
      <c r="P1246" s="3" t="s">
        <v>175</v>
      </c>
      <c r="R1246" s="3" t="s">
        <v>67</v>
      </c>
      <c r="S1246" s="4">
        <v>47</v>
      </c>
      <c r="T1246" s="4">
        <v>47</v>
      </c>
      <c r="U1246" s="5" t="s">
        <v>16175</v>
      </c>
      <c r="V1246" s="5" t="s">
        <v>16175</v>
      </c>
      <c r="W1246" s="5" t="s">
        <v>3724</v>
      </c>
      <c r="X1246" s="5" t="s">
        <v>3724</v>
      </c>
      <c r="Y1246" s="4">
        <v>1202</v>
      </c>
      <c r="Z1246" s="4">
        <v>1074</v>
      </c>
      <c r="AA1246" s="4">
        <v>1130</v>
      </c>
      <c r="AB1246" s="4">
        <v>7</v>
      </c>
      <c r="AC1246" s="4">
        <v>7</v>
      </c>
      <c r="AD1246" s="4">
        <v>53</v>
      </c>
      <c r="AE1246" s="4">
        <v>55</v>
      </c>
      <c r="AF1246" s="4">
        <v>15</v>
      </c>
      <c r="AG1246" s="4">
        <v>15</v>
      </c>
      <c r="AH1246" s="4">
        <v>7</v>
      </c>
      <c r="AI1246" s="4">
        <v>7</v>
      </c>
      <c r="AJ1246" s="4">
        <v>16</v>
      </c>
      <c r="AK1246" s="4">
        <v>17</v>
      </c>
      <c r="AL1246" s="4">
        <v>5</v>
      </c>
      <c r="AM1246" s="4">
        <v>5</v>
      </c>
      <c r="AN1246" s="4">
        <v>20</v>
      </c>
      <c r="AO1246" s="4">
        <v>21</v>
      </c>
      <c r="AP1246" s="3" t="s">
        <v>58</v>
      </c>
      <c r="AQ1246" s="3" t="s">
        <v>58</v>
      </c>
      <c r="AS1246" s="6" t="str">
        <f>HYPERLINK("https://creighton-primo.hosted.exlibrisgroup.com/primo-explore/search?tab=default_tab&amp;search_scope=EVERYTHING&amp;vid=01CRU&amp;lang=en_US&amp;offset=0&amp;query=any,contains,991000917459702656","Catalog Record")</f>
        <v>Catalog Record</v>
      </c>
      <c r="AT1246" s="6" t="str">
        <f>HYPERLINK("http://www.worldcat.org/oclc/14187617","WorldCat Record")</f>
        <v>WorldCat Record</v>
      </c>
      <c r="AU1246" s="3" t="s">
        <v>16176</v>
      </c>
      <c r="AV1246" s="3" t="s">
        <v>16177</v>
      </c>
      <c r="AW1246" s="3" t="s">
        <v>16178</v>
      </c>
      <c r="AX1246" s="3" t="s">
        <v>16178</v>
      </c>
      <c r="AY1246" s="3" t="s">
        <v>16179</v>
      </c>
      <c r="AZ1246" s="3" t="s">
        <v>74</v>
      </c>
      <c r="BB1246" s="3" t="s">
        <v>16180</v>
      </c>
      <c r="BC1246" s="3" t="s">
        <v>16181</v>
      </c>
      <c r="BD1246" s="3" t="s">
        <v>16182</v>
      </c>
    </row>
    <row r="1247" spans="1:56" ht="45.75" customHeight="1" x14ac:dyDescent="0.25">
      <c r="A1247" s="7" t="s">
        <v>58</v>
      </c>
      <c r="B1247" s="2" t="s">
        <v>16183</v>
      </c>
      <c r="C1247" s="2" t="s">
        <v>16184</v>
      </c>
      <c r="D1247" s="2" t="s">
        <v>16185</v>
      </c>
      <c r="F1247" s="3" t="s">
        <v>58</v>
      </c>
      <c r="G1247" s="3" t="s">
        <v>59</v>
      </c>
      <c r="H1247" s="3" t="s">
        <v>58</v>
      </c>
      <c r="I1247" s="3" t="s">
        <v>58</v>
      </c>
      <c r="J1247" s="3" t="s">
        <v>60</v>
      </c>
      <c r="K1247" s="2" t="s">
        <v>16186</v>
      </c>
      <c r="L1247" s="2" t="s">
        <v>16187</v>
      </c>
      <c r="M1247" s="3" t="s">
        <v>63</v>
      </c>
      <c r="N1247" s="2" t="s">
        <v>2892</v>
      </c>
      <c r="O1247" s="3" t="s">
        <v>65</v>
      </c>
      <c r="P1247" s="3" t="s">
        <v>4857</v>
      </c>
      <c r="R1247" s="3" t="s">
        <v>67</v>
      </c>
      <c r="S1247" s="4">
        <v>1</v>
      </c>
      <c r="T1247" s="4">
        <v>1</v>
      </c>
      <c r="U1247" s="5" t="s">
        <v>1702</v>
      </c>
      <c r="V1247" s="5" t="s">
        <v>1702</v>
      </c>
      <c r="W1247" s="5" t="s">
        <v>1702</v>
      </c>
      <c r="X1247" s="5" t="s">
        <v>1702</v>
      </c>
      <c r="Y1247" s="4">
        <v>99</v>
      </c>
      <c r="Z1247" s="4">
        <v>95</v>
      </c>
      <c r="AA1247" s="4">
        <v>199</v>
      </c>
      <c r="AB1247" s="4">
        <v>1</v>
      </c>
      <c r="AC1247" s="4">
        <v>1</v>
      </c>
      <c r="AD1247" s="4">
        <v>2</v>
      </c>
      <c r="AE1247" s="4">
        <v>4</v>
      </c>
      <c r="AF1247" s="4">
        <v>1</v>
      </c>
      <c r="AG1247" s="4">
        <v>3</v>
      </c>
      <c r="AH1247" s="4">
        <v>0</v>
      </c>
      <c r="AI1247" s="4">
        <v>1</v>
      </c>
      <c r="AJ1247" s="4">
        <v>1</v>
      </c>
      <c r="AK1247" s="4">
        <v>1</v>
      </c>
      <c r="AL1247" s="4">
        <v>0</v>
      </c>
      <c r="AM1247" s="4">
        <v>0</v>
      </c>
      <c r="AN1247" s="4">
        <v>1</v>
      </c>
      <c r="AO1247" s="4">
        <v>1</v>
      </c>
      <c r="AP1247" s="3" t="s">
        <v>58</v>
      </c>
      <c r="AQ1247" s="3" t="s">
        <v>58</v>
      </c>
      <c r="AS1247" s="6" t="str">
        <f>HYPERLINK("https://creighton-primo.hosted.exlibrisgroup.com/primo-explore/search?tab=default_tab&amp;search_scope=EVERYTHING&amp;vid=01CRU&amp;lang=en_US&amp;offset=0&amp;query=any,contains,991004655019702656","Catalog Record")</f>
        <v>Catalog Record</v>
      </c>
      <c r="AT1247" s="6" t="str">
        <f>HYPERLINK("http://www.worldcat.org/oclc/60590129","WorldCat Record")</f>
        <v>WorldCat Record</v>
      </c>
      <c r="AU1247" s="3" t="s">
        <v>16188</v>
      </c>
      <c r="AV1247" s="3" t="s">
        <v>16189</v>
      </c>
      <c r="AW1247" s="3" t="s">
        <v>16190</v>
      </c>
      <c r="AX1247" s="3" t="s">
        <v>16190</v>
      </c>
      <c r="AY1247" s="3" t="s">
        <v>16191</v>
      </c>
      <c r="AZ1247" s="3" t="s">
        <v>74</v>
      </c>
      <c r="BB1247" s="3" t="s">
        <v>16192</v>
      </c>
      <c r="BC1247" s="3" t="s">
        <v>16193</v>
      </c>
      <c r="BD1247" s="3" t="s">
        <v>16194</v>
      </c>
    </row>
    <row r="1248" spans="1:56" ht="45.75" customHeight="1" x14ac:dyDescent="0.25">
      <c r="A1248" s="7" t="s">
        <v>58</v>
      </c>
      <c r="B1248" s="2" t="s">
        <v>16195</v>
      </c>
      <c r="C1248" s="2" t="s">
        <v>16196</v>
      </c>
      <c r="D1248" s="2" t="s">
        <v>16197</v>
      </c>
      <c r="F1248" s="3" t="s">
        <v>58</v>
      </c>
      <c r="G1248" s="3" t="s">
        <v>59</v>
      </c>
      <c r="H1248" s="3" t="s">
        <v>87</v>
      </c>
      <c r="I1248" s="3" t="s">
        <v>58</v>
      </c>
      <c r="J1248" s="3" t="s">
        <v>60</v>
      </c>
      <c r="K1248" s="2" t="s">
        <v>16198</v>
      </c>
      <c r="L1248" s="2" t="s">
        <v>16199</v>
      </c>
      <c r="M1248" s="3" t="s">
        <v>1998</v>
      </c>
      <c r="O1248" s="3" t="s">
        <v>65</v>
      </c>
      <c r="P1248" s="3" t="s">
        <v>190</v>
      </c>
      <c r="Q1248" s="2" t="s">
        <v>15673</v>
      </c>
      <c r="R1248" s="3" t="s">
        <v>67</v>
      </c>
      <c r="S1248" s="4">
        <v>11</v>
      </c>
      <c r="T1248" s="4">
        <v>12</v>
      </c>
      <c r="U1248" s="5" t="s">
        <v>3834</v>
      </c>
      <c r="V1248" s="5" t="s">
        <v>3834</v>
      </c>
      <c r="W1248" s="5" t="s">
        <v>11362</v>
      </c>
      <c r="X1248" s="5" t="s">
        <v>16200</v>
      </c>
      <c r="Y1248" s="4">
        <v>1078</v>
      </c>
      <c r="Z1248" s="4">
        <v>905</v>
      </c>
      <c r="AA1248" s="4">
        <v>906</v>
      </c>
      <c r="AB1248" s="4">
        <v>9</v>
      </c>
      <c r="AC1248" s="4">
        <v>9</v>
      </c>
      <c r="AD1248" s="4">
        <v>50</v>
      </c>
      <c r="AE1248" s="4">
        <v>50</v>
      </c>
      <c r="AF1248" s="4">
        <v>12</v>
      </c>
      <c r="AG1248" s="4">
        <v>12</v>
      </c>
      <c r="AH1248" s="4">
        <v>10</v>
      </c>
      <c r="AI1248" s="4">
        <v>10</v>
      </c>
      <c r="AJ1248" s="4">
        <v>15</v>
      </c>
      <c r="AK1248" s="4">
        <v>15</v>
      </c>
      <c r="AL1248" s="4">
        <v>6</v>
      </c>
      <c r="AM1248" s="4">
        <v>6</v>
      </c>
      <c r="AN1248" s="4">
        <v>16</v>
      </c>
      <c r="AO1248" s="4">
        <v>16</v>
      </c>
      <c r="AP1248" s="3" t="s">
        <v>58</v>
      </c>
      <c r="AQ1248" s="3" t="s">
        <v>58</v>
      </c>
      <c r="AS1248" s="6" t="str">
        <f>HYPERLINK("https://creighton-primo.hosted.exlibrisgroup.com/primo-explore/search?tab=default_tab&amp;search_scope=EVERYTHING&amp;vid=01CRU&amp;lang=en_US&amp;offset=0&amp;query=any,contains,991001689749702656","Catalog Record")</f>
        <v>Catalog Record</v>
      </c>
      <c r="AT1248" s="6" t="str">
        <f>HYPERLINK("http://www.worldcat.org/oclc/995086","WorldCat Record")</f>
        <v>WorldCat Record</v>
      </c>
      <c r="AU1248" s="3" t="s">
        <v>16201</v>
      </c>
      <c r="AV1248" s="3" t="s">
        <v>16202</v>
      </c>
      <c r="AW1248" s="3" t="s">
        <v>16203</v>
      </c>
      <c r="AX1248" s="3" t="s">
        <v>16203</v>
      </c>
      <c r="AY1248" s="3" t="s">
        <v>16204</v>
      </c>
      <c r="AZ1248" s="3" t="s">
        <v>74</v>
      </c>
      <c r="BB1248" s="3" t="s">
        <v>16205</v>
      </c>
      <c r="BC1248" s="3" t="s">
        <v>16206</v>
      </c>
      <c r="BD1248" s="3" t="s">
        <v>16207</v>
      </c>
    </row>
    <row r="1249" spans="1:56" ht="45.75" customHeight="1" x14ac:dyDescent="0.25">
      <c r="A1249" s="7" t="s">
        <v>58</v>
      </c>
      <c r="B1249" s="2" t="s">
        <v>16208</v>
      </c>
      <c r="C1249" s="2" t="s">
        <v>16209</v>
      </c>
      <c r="D1249" s="2" t="s">
        <v>16210</v>
      </c>
      <c r="F1249" s="3" t="s">
        <v>58</v>
      </c>
      <c r="G1249" s="3" t="s">
        <v>59</v>
      </c>
      <c r="H1249" s="3" t="s">
        <v>58</v>
      </c>
      <c r="I1249" s="3" t="s">
        <v>58</v>
      </c>
      <c r="J1249" s="3" t="s">
        <v>60</v>
      </c>
      <c r="L1249" s="2" t="s">
        <v>16211</v>
      </c>
      <c r="M1249" s="3" t="s">
        <v>220</v>
      </c>
      <c r="O1249" s="3" t="s">
        <v>65</v>
      </c>
      <c r="P1249" s="3" t="s">
        <v>84</v>
      </c>
      <c r="Q1249" s="2" t="s">
        <v>16212</v>
      </c>
      <c r="R1249" s="3" t="s">
        <v>67</v>
      </c>
      <c r="S1249" s="4">
        <v>3</v>
      </c>
      <c r="T1249" s="4">
        <v>3</v>
      </c>
      <c r="U1249" s="5" t="s">
        <v>16213</v>
      </c>
      <c r="V1249" s="5" t="s">
        <v>16213</v>
      </c>
      <c r="W1249" s="5" t="s">
        <v>9377</v>
      </c>
      <c r="X1249" s="5" t="s">
        <v>9377</v>
      </c>
      <c r="Y1249" s="4">
        <v>344</v>
      </c>
      <c r="Z1249" s="4">
        <v>282</v>
      </c>
      <c r="AA1249" s="4">
        <v>337</v>
      </c>
      <c r="AB1249" s="4">
        <v>3</v>
      </c>
      <c r="AC1249" s="4">
        <v>4</v>
      </c>
      <c r="AD1249" s="4">
        <v>16</v>
      </c>
      <c r="AE1249" s="4">
        <v>21</v>
      </c>
      <c r="AF1249" s="4">
        <v>4</v>
      </c>
      <c r="AG1249" s="4">
        <v>5</v>
      </c>
      <c r="AH1249" s="4">
        <v>5</v>
      </c>
      <c r="AI1249" s="4">
        <v>8</v>
      </c>
      <c r="AJ1249" s="4">
        <v>10</v>
      </c>
      <c r="AK1249" s="4">
        <v>11</v>
      </c>
      <c r="AL1249" s="4">
        <v>2</v>
      </c>
      <c r="AM1249" s="4">
        <v>3</v>
      </c>
      <c r="AN1249" s="4">
        <v>1</v>
      </c>
      <c r="AO1249" s="4">
        <v>1</v>
      </c>
      <c r="AP1249" s="3" t="s">
        <v>58</v>
      </c>
      <c r="AQ1249" s="3" t="s">
        <v>58</v>
      </c>
      <c r="AS1249" s="6" t="str">
        <f>HYPERLINK("https://creighton-primo.hosted.exlibrisgroup.com/primo-explore/search?tab=default_tab&amp;search_scope=EVERYTHING&amp;vid=01CRU&amp;lang=en_US&amp;offset=0&amp;query=any,contains,991003283589702656","Catalog Record")</f>
        <v>Catalog Record</v>
      </c>
      <c r="AT1249" s="6" t="str">
        <f>HYPERLINK("http://www.worldcat.org/oclc/37594234","WorldCat Record")</f>
        <v>WorldCat Record</v>
      </c>
      <c r="AU1249" s="3" t="s">
        <v>16214</v>
      </c>
      <c r="AV1249" s="3" t="s">
        <v>16215</v>
      </c>
      <c r="AW1249" s="3" t="s">
        <v>16216</v>
      </c>
      <c r="AX1249" s="3" t="s">
        <v>16216</v>
      </c>
      <c r="AY1249" s="3" t="s">
        <v>16217</v>
      </c>
      <c r="AZ1249" s="3" t="s">
        <v>74</v>
      </c>
      <c r="BB1249" s="3" t="s">
        <v>16218</v>
      </c>
      <c r="BC1249" s="3" t="s">
        <v>16219</v>
      </c>
      <c r="BD1249" s="3" t="s">
        <v>16220</v>
      </c>
    </row>
    <row r="1250" spans="1:56" ht="45.75" customHeight="1" x14ac:dyDescent="0.25">
      <c r="A1250" s="7" t="s">
        <v>58</v>
      </c>
      <c r="B1250" s="2" t="s">
        <v>16221</v>
      </c>
      <c r="C1250" s="2" t="s">
        <v>16222</v>
      </c>
      <c r="D1250" s="2" t="s">
        <v>16223</v>
      </c>
      <c r="F1250" s="3" t="s">
        <v>58</v>
      </c>
      <c r="G1250" s="3" t="s">
        <v>59</v>
      </c>
      <c r="H1250" s="3" t="s">
        <v>58</v>
      </c>
      <c r="I1250" s="3" t="s">
        <v>58</v>
      </c>
      <c r="J1250" s="3" t="s">
        <v>60</v>
      </c>
      <c r="K1250" s="2" t="s">
        <v>16224</v>
      </c>
      <c r="L1250" s="2" t="s">
        <v>16225</v>
      </c>
      <c r="M1250" s="3" t="s">
        <v>629</v>
      </c>
      <c r="O1250" s="3" t="s">
        <v>65</v>
      </c>
      <c r="P1250" s="3" t="s">
        <v>204</v>
      </c>
      <c r="R1250" s="3" t="s">
        <v>67</v>
      </c>
      <c r="S1250" s="4">
        <v>5</v>
      </c>
      <c r="T1250" s="4">
        <v>5</v>
      </c>
      <c r="U1250" s="5" t="s">
        <v>3074</v>
      </c>
      <c r="V1250" s="5" t="s">
        <v>3074</v>
      </c>
      <c r="W1250" s="5" t="s">
        <v>16226</v>
      </c>
      <c r="X1250" s="5" t="s">
        <v>16226</v>
      </c>
      <c r="Y1250" s="4">
        <v>256</v>
      </c>
      <c r="Z1250" s="4">
        <v>179</v>
      </c>
      <c r="AA1250" s="4">
        <v>206</v>
      </c>
      <c r="AB1250" s="4">
        <v>2</v>
      </c>
      <c r="AC1250" s="4">
        <v>2</v>
      </c>
      <c r="AD1250" s="4">
        <v>13</v>
      </c>
      <c r="AE1250" s="4">
        <v>13</v>
      </c>
      <c r="AF1250" s="4">
        <v>5</v>
      </c>
      <c r="AG1250" s="4">
        <v>5</v>
      </c>
      <c r="AH1250" s="4">
        <v>6</v>
      </c>
      <c r="AI1250" s="4">
        <v>6</v>
      </c>
      <c r="AJ1250" s="4">
        <v>6</v>
      </c>
      <c r="AK1250" s="4">
        <v>6</v>
      </c>
      <c r="AL1250" s="4">
        <v>1</v>
      </c>
      <c r="AM1250" s="4">
        <v>1</v>
      </c>
      <c r="AN1250" s="4">
        <v>0</v>
      </c>
      <c r="AO1250" s="4">
        <v>0</v>
      </c>
      <c r="AP1250" s="3" t="s">
        <v>58</v>
      </c>
      <c r="AQ1250" s="3" t="s">
        <v>87</v>
      </c>
      <c r="AR1250" s="6" t="str">
        <f>HYPERLINK("http://catalog.hathitrust.org/Record/002908340","HathiTrust Record")</f>
        <v>HathiTrust Record</v>
      </c>
      <c r="AS1250" s="6" t="str">
        <f>HYPERLINK("https://creighton-primo.hosted.exlibrisgroup.com/primo-explore/search?tab=default_tab&amp;search_scope=EVERYTHING&amp;vid=01CRU&amp;lang=en_US&amp;offset=0&amp;query=any,contains,991002296229702656","Catalog Record")</f>
        <v>Catalog Record</v>
      </c>
      <c r="AT1250" s="6" t="str">
        <f>HYPERLINK("http://www.worldcat.org/oclc/29792354","WorldCat Record")</f>
        <v>WorldCat Record</v>
      </c>
      <c r="AU1250" s="3" t="s">
        <v>16227</v>
      </c>
      <c r="AV1250" s="3" t="s">
        <v>16228</v>
      </c>
      <c r="AW1250" s="3" t="s">
        <v>16229</v>
      </c>
      <c r="AX1250" s="3" t="s">
        <v>16229</v>
      </c>
      <c r="AY1250" s="3" t="s">
        <v>16230</v>
      </c>
      <c r="AZ1250" s="3" t="s">
        <v>74</v>
      </c>
      <c r="BB1250" s="3" t="s">
        <v>16231</v>
      </c>
      <c r="BC1250" s="3" t="s">
        <v>16232</v>
      </c>
      <c r="BD1250" s="3" t="s">
        <v>16233</v>
      </c>
    </row>
    <row r="1251" spans="1:56" ht="45.75" customHeight="1" x14ac:dyDescent="0.25">
      <c r="A1251" s="7" t="s">
        <v>58</v>
      </c>
      <c r="B1251" s="2" t="s">
        <v>16234</v>
      </c>
      <c r="C1251" s="2" t="s">
        <v>16235</v>
      </c>
      <c r="D1251" s="2" t="s">
        <v>16236</v>
      </c>
      <c r="F1251" s="3" t="s">
        <v>58</v>
      </c>
      <c r="G1251" s="3" t="s">
        <v>59</v>
      </c>
      <c r="H1251" s="3" t="s">
        <v>58</v>
      </c>
      <c r="I1251" s="3" t="s">
        <v>58</v>
      </c>
      <c r="J1251" s="3" t="s">
        <v>60</v>
      </c>
      <c r="L1251" s="2" t="s">
        <v>13874</v>
      </c>
      <c r="M1251" s="3" t="s">
        <v>220</v>
      </c>
      <c r="O1251" s="3" t="s">
        <v>65</v>
      </c>
      <c r="P1251" s="3" t="s">
        <v>148</v>
      </c>
      <c r="Q1251" s="2" t="s">
        <v>13875</v>
      </c>
      <c r="R1251" s="3" t="s">
        <v>67</v>
      </c>
      <c r="S1251" s="4">
        <v>3</v>
      </c>
      <c r="T1251" s="4">
        <v>3</v>
      </c>
      <c r="U1251" s="5" t="s">
        <v>293</v>
      </c>
      <c r="V1251" s="5" t="s">
        <v>293</v>
      </c>
      <c r="W1251" s="5" t="s">
        <v>5105</v>
      </c>
      <c r="X1251" s="5" t="s">
        <v>5105</v>
      </c>
      <c r="Y1251" s="4">
        <v>447</v>
      </c>
      <c r="Z1251" s="4">
        <v>377</v>
      </c>
      <c r="AA1251" s="4">
        <v>384</v>
      </c>
      <c r="AB1251" s="4">
        <v>2</v>
      </c>
      <c r="AC1251" s="4">
        <v>2</v>
      </c>
      <c r="AD1251" s="4">
        <v>26</v>
      </c>
      <c r="AE1251" s="4">
        <v>26</v>
      </c>
      <c r="AF1251" s="4">
        <v>8</v>
      </c>
      <c r="AG1251" s="4">
        <v>8</v>
      </c>
      <c r="AH1251" s="4">
        <v>5</v>
      </c>
      <c r="AI1251" s="4">
        <v>5</v>
      </c>
      <c r="AJ1251" s="4">
        <v>12</v>
      </c>
      <c r="AK1251" s="4">
        <v>12</v>
      </c>
      <c r="AL1251" s="4">
        <v>1</v>
      </c>
      <c r="AM1251" s="4">
        <v>1</v>
      </c>
      <c r="AN1251" s="4">
        <v>5</v>
      </c>
      <c r="AO1251" s="4">
        <v>5</v>
      </c>
      <c r="AP1251" s="3" t="s">
        <v>58</v>
      </c>
      <c r="AQ1251" s="3" t="s">
        <v>58</v>
      </c>
      <c r="AS1251" s="6" t="str">
        <f>HYPERLINK("https://creighton-primo.hosted.exlibrisgroup.com/primo-explore/search?tab=default_tab&amp;search_scope=EVERYTHING&amp;vid=01CRU&amp;lang=en_US&amp;offset=0&amp;query=any,contains,991003677119702656","Catalog Record")</f>
        <v>Catalog Record</v>
      </c>
      <c r="AT1251" s="6" t="str">
        <f>HYPERLINK("http://www.worldcat.org/oclc/41326304","WorldCat Record")</f>
        <v>WorldCat Record</v>
      </c>
      <c r="AU1251" s="3" t="s">
        <v>16237</v>
      </c>
      <c r="AV1251" s="3" t="s">
        <v>16238</v>
      </c>
      <c r="AW1251" s="3" t="s">
        <v>16239</v>
      </c>
      <c r="AX1251" s="3" t="s">
        <v>16239</v>
      </c>
      <c r="AY1251" s="3" t="s">
        <v>16240</v>
      </c>
      <c r="AZ1251" s="3" t="s">
        <v>74</v>
      </c>
      <c r="BB1251" s="3" t="s">
        <v>16241</v>
      </c>
      <c r="BC1251" s="3" t="s">
        <v>16242</v>
      </c>
      <c r="BD1251" s="3" t="s">
        <v>16243</v>
      </c>
    </row>
    <row r="1252" spans="1:56" ht="45.75" customHeight="1" x14ac:dyDescent="0.25">
      <c r="A1252" s="7" t="s">
        <v>58</v>
      </c>
      <c r="B1252" s="2" t="s">
        <v>16244</v>
      </c>
      <c r="C1252" s="2" t="s">
        <v>16245</v>
      </c>
      <c r="D1252" s="2" t="s">
        <v>16246</v>
      </c>
      <c r="F1252" s="3" t="s">
        <v>58</v>
      </c>
      <c r="G1252" s="3" t="s">
        <v>59</v>
      </c>
      <c r="H1252" s="3" t="s">
        <v>58</v>
      </c>
      <c r="I1252" s="3" t="s">
        <v>58</v>
      </c>
      <c r="J1252" s="3" t="s">
        <v>60</v>
      </c>
      <c r="K1252" s="2" t="s">
        <v>16247</v>
      </c>
      <c r="L1252" s="2" t="s">
        <v>16248</v>
      </c>
      <c r="M1252" s="3" t="s">
        <v>1088</v>
      </c>
      <c r="O1252" s="3" t="s">
        <v>65</v>
      </c>
      <c r="P1252" s="3" t="s">
        <v>84</v>
      </c>
      <c r="R1252" s="3" t="s">
        <v>67</v>
      </c>
      <c r="S1252" s="4">
        <v>21</v>
      </c>
      <c r="T1252" s="4">
        <v>21</v>
      </c>
      <c r="U1252" s="5" t="s">
        <v>8484</v>
      </c>
      <c r="V1252" s="5" t="s">
        <v>8484</v>
      </c>
      <c r="W1252" s="5" t="s">
        <v>16249</v>
      </c>
      <c r="X1252" s="5" t="s">
        <v>16249</v>
      </c>
      <c r="Y1252" s="4">
        <v>122</v>
      </c>
      <c r="Z1252" s="4">
        <v>107</v>
      </c>
      <c r="AA1252" s="4">
        <v>112</v>
      </c>
      <c r="AB1252" s="4">
        <v>1</v>
      </c>
      <c r="AC1252" s="4">
        <v>1</v>
      </c>
      <c r="AD1252" s="4">
        <v>7</v>
      </c>
      <c r="AE1252" s="4">
        <v>7</v>
      </c>
      <c r="AF1252" s="4">
        <v>3</v>
      </c>
      <c r="AG1252" s="4">
        <v>3</v>
      </c>
      <c r="AH1252" s="4">
        <v>2</v>
      </c>
      <c r="AI1252" s="4">
        <v>2</v>
      </c>
      <c r="AJ1252" s="4">
        <v>4</v>
      </c>
      <c r="AK1252" s="4">
        <v>4</v>
      </c>
      <c r="AL1252" s="4">
        <v>0</v>
      </c>
      <c r="AM1252" s="4">
        <v>0</v>
      </c>
      <c r="AN1252" s="4">
        <v>0</v>
      </c>
      <c r="AO1252" s="4">
        <v>0</v>
      </c>
      <c r="AP1252" s="3" t="s">
        <v>58</v>
      </c>
      <c r="AQ1252" s="3" t="s">
        <v>58</v>
      </c>
      <c r="AS1252" s="6" t="str">
        <f>HYPERLINK("https://creighton-primo.hosted.exlibrisgroup.com/primo-explore/search?tab=default_tab&amp;search_scope=EVERYTHING&amp;vid=01CRU&amp;lang=en_US&amp;offset=0&amp;query=any,contains,991000751009702656","Catalog Record")</f>
        <v>Catalog Record</v>
      </c>
      <c r="AT1252" s="6" t="str">
        <f>HYPERLINK("http://www.worldcat.org/oclc/12927462","WorldCat Record")</f>
        <v>WorldCat Record</v>
      </c>
      <c r="AU1252" s="3" t="s">
        <v>16250</v>
      </c>
      <c r="AV1252" s="3" t="s">
        <v>16251</v>
      </c>
      <c r="AW1252" s="3" t="s">
        <v>16252</v>
      </c>
      <c r="AX1252" s="3" t="s">
        <v>16252</v>
      </c>
      <c r="AY1252" s="3" t="s">
        <v>16253</v>
      </c>
      <c r="AZ1252" s="3" t="s">
        <v>74</v>
      </c>
      <c r="BB1252" s="3" t="s">
        <v>16254</v>
      </c>
      <c r="BC1252" s="3" t="s">
        <v>16255</v>
      </c>
      <c r="BD1252" s="3" t="s">
        <v>16256</v>
      </c>
    </row>
    <row r="1253" spans="1:56" ht="45.75" customHeight="1" x14ac:dyDescent="0.25">
      <c r="A1253" s="7" t="s">
        <v>58</v>
      </c>
      <c r="B1253" s="2" t="s">
        <v>16257</v>
      </c>
      <c r="C1253" s="2" t="s">
        <v>16258</v>
      </c>
      <c r="D1253" s="2" t="s">
        <v>16259</v>
      </c>
      <c r="F1253" s="3" t="s">
        <v>58</v>
      </c>
      <c r="G1253" s="3" t="s">
        <v>59</v>
      </c>
      <c r="H1253" s="3" t="s">
        <v>58</v>
      </c>
      <c r="I1253" s="3" t="s">
        <v>58</v>
      </c>
      <c r="J1253" s="3" t="s">
        <v>60</v>
      </c>
      <c r="L1253" s="2" t="s">
        <v>16260</v>
      </c>
      <c r="M1253" s="3" t="s">
        <v>800</v>
      </c>
      <c r="O1253" s="3" t="s">
        <v>65</v>
      </c>
      <c r="P1253" s="3" t="s">
        <v>587</v>
      </c>
      <c r="R1253" s="3" t="s">
        <v>67</v>
      </c>
      <c r="S1253" s="4">
        <v>31</v>
      </c>
      <c r="T1253" s="4">
        <v>31</v>
      </c>
      <c r="U1253" s="5" t="s">
        <v>10828</v>
      </c>
      <c r="V1253" s="5" t="s">
        <v>10828</v>
      </c>
      <c r="W1253" s="5" t="s">
        <v>16261</v>
      </c>
      <c r="X1253" s="5" t="s">
        <v>16261</v>
      </c>
      <c r="Y1253" s="4">
        <v>284</v>
      </c>
      <c r="Z1253" s="4">
        <v>228</v>
      </c>
      <c r="AA1253" s="4">
        <v>235</v>
      </c>
      <c r="AB1253" s="4">
        <v>2</v>
      </c>
      <c r="AC1253" s="4">
        <v>2</v>
      </c>
      <c r="AD1253" s="4">
        <v>12</v>
      </c>
      <c r="AE1253" s="4">
        <v>12</v>
      </c>
      <c r="AF1253" s="4">
        <v>5</v>
      </c>
      <c r="AG1253" s="4">
        <v>5</v>
      </c>
      <c r="AH1253" s="4">
        <v>3</v>
      </c>
      <c r="AI1253" s="4">
        <v>3</v>
      </c>
      <c r="AJ1253" s="4">
        <v>5</v>
      </c>
      <c r="AK1253" s="4">
        <v>5</v>
      </c>
      <c r="AL1253" s="4">
        <v>1</v>
      </c>
      <c r="AM1253" s="4">
        <v>1</v>
      </c>
      <c r="AN1253" s="4">
        <v>0</v>
      </c>
      <c r="AO1253" s="4">
        <v>0</v>
      </c>
      <c r="AP1253" s="3" t="s">
        <v>58</v>
      </c>
      <c r="AQ1253" s="3" t="s">
        <v>87</v>
      </c>
      <c r="AR1253" s="6" t="str">
        <f>HYPERLINK("http://catalog.hathitrust.org/Record/002495067","HathiTrust Record")</f>
        <v>HathiTrust Record</v>
      </c>
      <c r="AS1253" s="6" t="str">
        <f>HYPERLINK("https://creighton-primo.hosted.exlibrisgroup.com/primo-explore/search?tab=default_tab&amp;search_scope=EVERYTHING&amp;vid=01CRU&amp;lang=en_US&amp;offset=0&amp;query=any,contains,991001857169702656","Catalog Record")</f>
        <v>Catalog Record</v>
      </c>
      <c r="AT1253" s="6" t="str">
        <f>HYPERLINK("http://www.worldcat.org/oclc/23287877","WorldCat Record")</f>
        <v>WorldCat Record</v>
      </c>
      <c r="AU1253" s="3" t="s">
        <v>16262</v>
      </c>
      <c r="AV1253" s="3" t="s">
        <v>16263</v>
      </c>
      <c r="AW1253" s="3" t="s">
        <v>16264</v>
      </c>
      <c r="AX1253" s="3" t="s">
        <v>16264</v>
      </c>
      <c r="AY1253" s="3" t="s">
        <v>16265</v>
      </c>
      <c r="AZ1253" s="3" t="s">
        <v>74</v>
      </c>
      <c r="BB1253" s="3" t="s">
        <v>16266</v>
      </c>
      <c r="BC1253" s="3" t="s">
        <v>16267</v>
      </c>
      <c r="BD1253" s="3" t="s">
        <v>16268</v>
      </c>
    </row>
    <row r="1254" spans="1:56" ht="45.75" customHeight="1" x14ac:dyDescent="0.25">
      <c r="A1254" s="7" t="s">
        <v>58</v>
      </c>
      <c r="B1254" s="2" t="s">
        <v>16269</v>
      </c>
      <c r="C1254" s="2" t="s">
        <v>16270</v>
      </c>
      <c r="D1254" s="2" t="s">
        <v>16271</v>
      </c>
      <c r="F1254" s="3" t="s">
        <v>58</v>
      </c>
      <c r="G1254" s="3" t="s">
        <v>59</v>
      </c>
      <c r="H1254" s="3" t="s">
        <v>58</v>
      </c>
      <c r="I1254" s="3" t="s">
        <v>58</v>
      </c>
      <c r="J1254" s="3" t="s">
        <v>60</v>
      </c>
      <c r="K1254" s="2" t="s">
        <v>16272</v>
      </c>
      <c r="L1254" s="2" t="s">
        <v>16273</v>
      </c>
      <c r="M1254" s="3" t="s">
        <v>5050</v>
      </c>
      <c r="O1254" s="3" t="s">
        <v>16274</v>
      </c>
      <c r="P1254" s="3" t="s">
        <v>1340</v>
      </c>
      <c r="R1254" s="3" t="s">
        <v>67</v>
      </c>
      <c r="S1254" s="4">
        <v>16</v>
      </c>
      <c r="T1254" s="4">
        <v>16</v>
      </c>
      <c r="U1254" s="5" t="s">
        <v>16275</v>
      </c>
      <c r="V1254" s="5" t="s">
        <v>16275</v>
      </c>
      <c r="W1254" s="5" t="s">
        <v>16276</v>
      </c>
      <c r="X1254" s="5" t="s">
        <v>16276</v>
      </c>
      <c r="Y1254" s="4">
        <v>54</v>
      </c>
      <c r="Z1254" s="4">
        <v>48</v>
      </c>
      <c r="AA1254" s="4">
        <v>130</v>
      </c>
      <c r="AB1254" s="4">
        <v>1</v>
      </c>
      <c r="AC1254" s="4">
        <v>1</v>
      </c>
      <c r="AD1254" s="4">
        <v>1</v>
      </c>
      <c r="AE1254" s="4">
        <v>7</v>
      </c>
      <c r="AF1254" s="4">
        <v>0</v>
      </c>
      <c r="AG1254" s="4">
        <v>1</v>
      </c>
      <c r="AH1254" s="4">
        <v>0</v>
      </c>
      <c r="AI1254" s="4">
        <v>1</v>
      </c>
      <c r="AJ1254" s="4">
        <v>1</v>
      </c>
      <c r="AK1254" s="4">
        <v>2</v>
      </c>
      <c r="AL1254" s="4">
        <v>0</v>
      </c>
      <c r="AM1254" s="4">
        <v>0</v>
      </c>
      <c r="AN1254" s="4">
        <v>0</v>
      </c>
      <c r="AO1254" s="4">
        <v>3</v>
      </c>
      <c r="AP1254" s="3" t="s">
        <v>87</v>
      </c>
      <c r="AQ1254" s="3" t="s">
        <v>58</v>
      </c>
      <c r="AR1254" s="6" t="str">
        <f>HYPERLINK("http://catalog.hathitrust.org/Record/001132674","HathiTrust Record")</f>
        <v>HathiTrust Record</v>
      </c>
      <c r="AS1254" s="6" t="str">
        <f>HYPERLINK("https://creighton-primo.hosted.exlibrisgroup.com/primo-explore/search?tab=default_tab&amp;search_scope=EVERYTHING&amp;vid=01CRU&amp;lang=en_US&amp;offset=0&amp;query=any,contains,991001792609702656","Catalog Record")</f>
        <v>Catalog Record</v>
      </c>
      <c r="AT1254" s="6" t="str">
        <f>HYPERLINK("http://www.worldcat.org/oclc/3305461","WorldCat Record")</f>
        <v>WorldCat Record</v>
      </c>
      <c r="AU1254" s="3" t="s">
        <v>16277</v>
      </c>
      <c r="AV1254" s="3" t="s">
        <v>16278</v>
      </c>
      <c r="AW1254" s="3" t="s">
        <v>16279</v>
      </c>
      <c r="AX1254" s="3" t="s">
        <v>16279</v>
      </c>
      <c r="AY1254" s="3" t="s">
        <v>16280</v>
      </c>
      <c r="AZ1254" s="3" t="s">
        <v>74</v>
      </c>
      <c r="BC1254" s="3" t="s">
        <v>16281</v>
      </c>
      <c r="BD1254" s="3" t="s">
        <v>16282</v>
      </c>
    </row>
    <row r="1255" spans="1:56" ht="45.75" customHeight="1" x14ac:dyDescent="0.25">
      <c r="A1255" s="7" t="s">
        <v>58</v>
      </c>
      <c r="B1255" s="2" t="s">
        <v>16283</v>
      </c>
      <c r="C1255" s="2" t="s">
        <v>16284</v>
      </c>
      <c r="D1255" s="2" t="s">
        <v>16285</v>
      </c>
      <c r="F1255" s="3" t="s">
        <v>58</v>
      </c>
      <c r="G1255" s="3" t="s">
        <v>59</v>
      </c>
      <c r="H1255" s="3" t="s">
        <v>58</v>
      </c>
      <c r="I1255" s="3" t="s">
        <v>58</v>
      </c>
      <c r="J1255" s="3" t="s">
        <v>60</v>
      </c>
      <c r="K1255" s="2" t="s">
        <v>16286</v>
      </c>
      <c r="L1255" s="2" t="s">
        <v>16287</v>
      </c>
      <c r="M1255" s="3" t="s">
        <v>1544</v>
      </c>
      <c r="O1255" s="3" t="s">
        <v>65</v>
      </c>
      <c r="P1255" s="3" t="s">
        <v>190</v>
      </c>
      <c r="R1255" s="3" t="s">
        <v>67</v>
      </c>
      <c r="S1255" s="4">
        <v>22</v>
      </c>
      <c r="T1255" s="4">
        <v>22</v>
      </c>
      <c r="U1255" s="5" t="s">
        <v>16288</v>
      </c>
      <c r="V1255" s="5" t="s">
        <v>16288</v>
      </c>
      <c r="W1255" s="5" t="s">
        <v>16289</v>
      </c>
      <c r="X1255" s="5" t="s">
        <v>16289</v>
      </c>
      <c r="Y1255" s="4">
        <v>301</v>
      </c>
      <c r="Z1255" s="4">
        <v>255</v>
      </c>
      <c r="AA1255" s="4">
        <v>258</v>
      </c>
      <c r="AB1255" s="4">
        <v>3</v>
      </c>
      <c r="AC1255" s="4">
        <v>3</v>
      </c>
      <c r="AD1255" s="4">
        <v>11</v>
      </c>
      <c r="AE1255" s="4">
        <v>11</v>
      </c>
      <c r="AF1255" s="4">
        <v>1</v>
      </c>
      <c r="AG1255" s="4">
        <v>1</v>
      </c>
      <c r="AH1255" s="4">
        <v>1</v>
      </c>
      <c r="AI1255" s="4">
        <v>1</v>
      </c>
      <c r="AJ1255" s="4">
        <v>7</v>
      </c>
      <c r="AK1255" s="4">
        <v>7</v>
      </c>
      <c r="AL1255" s="4">
        <v>2</v>
      </c>
      <c r="AM1255" s="4">
        <v>2</v>
      </c>
      <c r="AN1255" s="4">
        <v>1</v>
      </c>
      <c r="AO1255" s="4">
        <v>1</v>
      </c>
      <c r="AP1255" s="3" t="s">
        <v>58</v>
      </c>
      <c r="AQ1255" s="3" t="s">
        <v>87</v>
      </c>
      <c r="AR1255" s="6" t="str">
        <f>HYPERLINK("http://catalog.hathitrust.org/Record/001743352","HathiTrust Record")</f>
        <v>HathiTrust Record</v>
      </c>
      <c r="AS1255" s="6" t="str">
        <f>HYPERLINK("https://creighton-primo.hosted.exlibrisgroup.com/primo-explore/search?tab=default_tab&amp;search_scope=EVERYTHING&amp;vid=01CRU&amp;lang=en_US&amp;offset=0&amp;query=any,contains,991000782139702656","Catalog Record")</f>
        <v>Catalog Record</v>
      </c>
      <c r="AT1255" s="6" t="str">
        <f>HYPERLINK("http://www.worldcat.org/oclc/135352","WorldCat Record")</f>
        <v>WorldCat Record</v>
      </c>
      <c r="AU1255" s="3" t="s">
        <v>16290</v>
      </c>
      <c r="AV1255" s="3" t="s">
        <v>16291</v>
      </c>
      <c r="AW1255" s="3" t="s">
        <v>16292</v>
      </c>
      <c r="AX1255" s="3" t="s">
        <v>16292</v>
      </c>
      <c r="AY1255" s="3" t="s">
        <v>16293</v>
      </c>
      <c r="AZ1255" s="3" t="s">
        <v>74</v>
      </c>
      <c r="BC1255" s="3" t="s">
        <v>16294</v>
      </c>
      <c r="BD1255" s="3" t="s">
        <v>16295</v>
      </c>
    </row>
    <row r="1256" spans="1:56" ht="45.75" customHeight="1" x14ac:dyDescent="0.25">
      <c r="A1256" s="7" t="s">
        <v>58</v>
      </c>
      <c r="B1256" s="2" t="s">
        <v>16296</v>
      </c>
      <c r="C1256" s="2" t="s">
        <v>16297</v>
      </c>
      <c r="D1256" s="2" t="s">
        <v>16298</v>
      </c>
      <c r="F1256" s="3" t="s">
        <v>58</v>
      </c>
      <c r="G1256" s="3" t="s">
        <v>59</v>
      </c>
      <c r="H1256" s="3" t="s">
        <v>58</v>
      </c>
      <c r="I1256" s="3" t="s">
        <v>58</v>
      </c>
      <c r="J1256" s="3" t="s">
        <v>60</v>
      </c>
      <c r="K1256" s="2" t="s">
        <v>16299</v>
      </c>
      <c r="L1256" s="2" t="s">
        <v>16300</v>
      </c>
      <c r="M1256" s="3" t="s">
        <v>16301</v>
      </c>
      <c r="N1256" s="2" t="s">
        <v>4473</v>
      </c>
      <c r="O1256" s="3" t="s">
        <v>65</v>
      </c>
      <c r="P1256" s="3" t="s">
        <v>1340</v>
      </c>
      <c r="Q1256" s="2" t="s">
        <v>16302</v>
      </c>
      <c r="R1256" s="3" t="s">
        <v>67</v>
      </c>
      <c r="S1256" s="4">
        <v>3</v>
      </c>
      <c r="T1256" s="4">
        <v>3</v>
      </c>
      <c r="U1256" s="5" t="s">
        <v>16303</v>
      </c>
      <c r="V1256" s="5" t="s">
        <v>16303</v>
      </c>
      <c r="W1256" s="5" t="s">
        <v>1758</v>
      </c>
      <c r="X1256" s="5" t="s">
        <v>1758</v>
      </c>
      <c r="Y1256" s="4">
        <v>192</v>
      </c>
      <c r="Z1256" s="4">
        <v>177</v>
      </c>
      <c r="AA1256" s="4">
        <v>179</v>
      </c>
      <c r="AB1256" s="4">
        <v>2</v>
      </c>
      <c r="AC1256" s="4">
        <v>2</v>
      </c>
      <c r="AD1256" s="4">
        <v>9</v>
      </c>
      <c r="AE1256" s="4">
        <v>9</v>
      </c>
      <c r="AF1256" s="4">
        <v>3</v>
      </c>
      <c r="AG1256" s="4">
        <v>3</v>
      </c>
      <c r="AH1256" s="4">
        <v>3</v>
      </c>
      <c r="AI1256" s="4">
        <v>3</v>
      </c>
      <c r="AJ1256" s="4">
        <v>3</v>
      </c>
      <c r="AK1256" s="4">
        <v>3</v>
      </c>
      <c r="AL1256" s="4">
        <v>1</v>
      </c>
      <c r="AM1256" s="4">
        <v>1</v>
      </c>
      <c r="AN1256" s="4">
        <v>0</v>
      </c>
      <c r="AO1256" s="4">
        <v>0</v>
      </c>
      <c r="AP1256" s="3" t="s">
        <v>58</v>
      </c>
      <c r="AQ1256" s="3" t="s">
        <v>87</v>
      </c>
      <c r="AR1256" s="6" t="str">
        <f>HYPERLINK("http://catalog.hathitrust.org/Record/102569708","HathiTrust Record")</f>
        <v>HathiTrust Record</v>
      </c>
      <c r="AS1256" s="6" t="str">
        <f>HYPERLINK("https://creighton-primo.hosted.exlibrisgroup.com/primo-explore/search?tab=default_tab&amp;search_scope=EVERYTHING&amp;vid=01CRU&amp;lang=en_US&amp;offset=0&amp;query=any,contains,991001528909702656","Catalog Record")</f>
        <v>Catalog Record</v>
      </c>
      <c r="AT1256" s="6" t="str">
        <f>HYPERLINK("http://www.worldcat.org/oclc/232294","WorldCat Record")</f>
        <v>WorldCat Record</v>
      </c>
      <c r="AU1256" s="3" t="s">
        <v>16304</v>
      </c>
      <c r="AV1256" s="3" t="s">
        <v>16305</v>
      </c>
      <c r="AW1256" s="3" t="s">
        <v>16306</v>
      </c>
      <c r="AX1256" s="3" t="s">
        <v>16306</v>
      </c>
      <c r="AY1256" s="3" t="s">
        <v>16307</v>
      </c>
      <c r="AZ1256" s="3" t="s">
        <v>74</v>
      </c>
      <c r="BC1256" s="3" t="s">
        <v>16308</v>
      </c>
      <c r="BD1256" s="3" t="s">
        <v>16309</v>
      </c>
    </row>
    <row r="1257" spans="1:56" ht="45.75" customHeight="1" x14ac:dyDescent="0.25">
      <c r="A1257" s="7" t="s">
        <v>58</v>
      </c>
      <c r="B1257" s="2" t="s">
        <v>16310</v>
      </c>
      <c r="C1257" s="2" t="s">
        <v>16311</v>
      </c>
      <c r="D1257" s="2" t="s">
        <v>16312</v>
      </c>
      <c r="F1257" s="3" t="s">
        <v>58</v>
      </c>
      <c r="G1257" s="3" t="s">
        <v>59</v>
      </c>
      <c r="H1257" s="3" t="s">
        <v>58</v>
      </c>
      <c r="I1257" s="3" t="s">
        <v>58</v>
      </c>
      <c r="J1257" s="3" t="s">
        <v>60</v>
      </c>
      <c r="K1257" s="2" t="s">
        <v>16313</v>
      </c>
      <c r="L1257" s="2" t="s">
        <v>16314</v>
      </c>
      <c r="M1257" s="3" t="s">
        <v>1485</v>
      </c>
      <c r="N1257" s="2" t="s">
        <v>4053</v>
      </c>
      <c r="O1257" s="3" t="s">
        <v>65</v>
      </c>
      <c r="P1257" s="3" t="s">
        <v>84</v>
      </c>
      <c r="R1257" s="3" t="s">
        <v>67</v>
      </c>
      <c r="S1257" s="4">
        <v>52</v>
      </c>
      <c r="T1257" s="4">
        <v>52</v>
      </c>
      <c r="U1257" s="5" t="s">
        <v>16288</v>
      </c>
      <c r="V1257" s="5" t="s">
        <v>16288</v>
      </c>
      <c r="W1257" s="5" t="s">
        <v>2274</v>
      </c>
      <c r="X1257" s="5" t="s">
        <v>2274</v>
      </c>
      <c r="Y1257" s="4">
        <v>743</v>
      </c>
      <c r="Z1257" s="4">
        <v>695</v>
      </c>
      <c r="AA1257" s="4">
        <v>697</v>
      </c>
      <c r="AB1257" s="4">
        <v>4</v>
      </c>
      <c r="AC1257" s="4">
        <v>4</v>
      </c>
      <c r="AD1257" s="4">
        <v>26</v>
      </c>
      <c r="AE1257" s="4">
        <v>26</v>
      </c>
      <c r="AF1257" s="4">
        <v>3</v>
      </c>
      <c r="AG1257" s="4">
        <v>3</v>
      </c>
      <c r="AH1257" s="4">
        <v>6</v>
      </c>
      <c r="AI1257" s="4">
        <v>6</v>
      </c>
      <c r="AJ1257" s="4">
        <v>9</v>
      </c>
      <c r="AK1257" s="4">
        <v>9</v>
      </c>
      <c r="AL1257" s="4">
        <v>3</v>
      </c>
      <c r="AM1257" s="4">
        <v>3</v>
      </c>
      <c r="AN1257" s="4">
        <v>7</v>
      </c>
      <c r="AO1257" s="4">
        <v>7</v>
      </c>
      <c r="AP1257" s="3" t="s">
        <v>58</v>
      </c>
      <c r="AQ1257" s="3" t="s">
        <v>87</v>
      </c>
      <c r="AR1257" s="6" t="str">
        <f>HYPERLINK("http://catalog.hathitrust.org/Record/000705848","HathiTrust Record")</f>
        <v>HathiTrust Record</v>
      </c>
      <c r="AS1257" s="6" t="str">
        <f>HYPERLINK("https://creighton-primo.hosted.exlibrisgroup.com/primo-explore/search?tab=default_tab&amp;search_scope=EVERYTHING&amp;vid=01CRU&amp;lang=en_US&amp;offset=0&amp;query=any,contains,991004065409702656","Catalog Record")</f>
        <v>Catalog Record</v>
      </c>
      <c r="AT1257" s="6" t="str">
        <f>HYPERLINK("http://www.worldcat.org/oclc/2283839","WorldCat Record")</f>
        <v>WorldCat Record</v>
      </c>
      <c r="AU1257" s="3" t="s">
        <v>16315</v>
      </c>
      <c r="AV1257" s="3" t="s">
        <v>16316</v>
      </c>
      <c r="AW1257" s="3" t="s">
        <v>16317</v>
      </c>
      <c r="AX1257" s="3" t="s">
        <v>16317</v>
      </c>
      <c r="AY1257" s="3" t="s">
        <v>16318</v>
      </c>
      <c r="AZ1257" s="3" t="s">
        <v>74</v>
      </c>
      <c r="BB1257" s="3" t="s">
        <v>16319</v>
      </c>
      <c r="BC1257" s="3" t="s">
        <v>16320</v>
      </c>
      <c r="BD1257" s="3" t="s">
        <v>16321</v>
      </c>
    </row>
    <row r="1258" spans="1:56" ht="45.75" customHeight="1" x14ac:dyDescent="0.25">
      <c r="A1258" s="7" t="s">
        <v>58</v>
      </c>
      <c r="B1258" s="2" t="s">
        <v>16322</v>
      </c>
      <c r="C1258" s="2" t="s">
        <v>16323</v>
      </c>
      <c r="D1258" s="2" t="s">
        <v>16324</v>
      </c>
      <c r="F1258" s="3" t="s">
        <v>58</v>
      </c>
      <c r="G1258" s="3" t="s">
        <v>59</v>
      </c>
      <c r="H1258" s="3" t="s">
        <v>58</v>
      </c>
      <c r="I1258" s="3" t="s">
        <v>58</v>
      </c>
      <c r="J1258" s="3" t="s">
        <v>60</v>
      </c>
      <c r="K1258" s="2" t="s">
        <v>16325</v>
      </c>
      <c r="L1258" s="2" t="s">
        <v>16326</v>
      </c>
      <c r="M1258" s="3" t="s">
        <v>867</v>
      </c>
      <c r="N1258" s="2" t="s">
        <v>543</v>
      </c>
      <c r="O1258" s="3" t="s">
        <v>65</v>
      </c>
      <c r="P1258" s="3" t="s">
        <v>84</v>
      </c>
      <c r="R1258" s="3" t="s">
        <v>67</v>
      </c>
      <c r="S1258" s="4">
        <v>33</v>
      </c>
      <c r="T1258" s="4">
        <v>33</v>
      </c>
      <c r="U1258" s="5" t="s">
        <v>16327</v>
      </c>
      <c r="V1258" s="5" t="s">
        <v>16327</v>
      </c>
      <c r="W1258" s="5" t="s">
        <v>16328</v>
      </c>
      <c r="X1258" s="5" t="s">
        <v>16328</v>
      </c>
      <c r="Y1258" s="4">
        <v>571</v>
      </c>
      <c r="Z1258" s="4">
        <v>522</v>
      </c>
      <c r="AA1258" s="4">
        <v>737</v>
      </c>
      <c r="AB1258" s="4">
        <v>5</v>
      </c>
      <c r="AC1258" s="4">
        <v>7</v>
      </c>
      <c r="AD1258" s="4">
        <v>11</v>
      </c>
      <c r="AE1258" s="4">
        <v>16</v>
      </c>
      <c r="AF1258" s="4">
        <v>3</v>
      </c>
      <c r="AG1258" s="4">
        <v>4</v>
      </c>
      <c r="AH1258" s="4">
        <v>3</v>
      </c>
      <c r="AI1258" s="4">
        <v>5</v>
      </c>
      <c r="AJ1258" s="4">
        <v>3</v>
      </c>
      <c r="AK1258" s="4">
        <v>3</v>
      </c>
      <c r="AL1258" s="4">
        <v>3</v>
      </c>
      <c r="AM1258" s="4">
        <v>5</v>
      </c>
      <c r="AN1258" s="4">
        <v>0</v>
      </c>
      <c r="AO1258" s="4">
        <v>0</v>
      </c>
      <c r="AP1258" s="3" t="s">
        <v>58</v>
      </c>
      <c r="AQ1258" s="3" t="s">
        <v>87</v>
      </c>
      <c r="AR1258" s="6" t="str">
        <f>HYPERLINK("http://catalog.hathitrust.org/Record/002552990","HathiTrust Record")</f>
        <v>HathiTrust Record</v>
      </c>
      <c r="AS1258" s="6" t="str">
        <f>HYPERLINK("https://creighton-primo.hosted.exlibrisgroup.com/primo-explore/search?tab=default_tab&amp;search_scope=EVERYTHING&amp;vid=01CRU&amp;lang=en_US&amp;offset=0&amp;query=any,contains,991001925739702656","Catalog Record")</f>
        <v>Catalog Record</v>
      </c>
      <c r="AT1258" s="6" t="str">
        <f>HYPERLINK("http://www.worldcat.org/oclc/24319463","WorldCat Record")</f>
        <v>WorldCat Record</v>
      </c>
      <c r="AU1258" s="3" t="s">
        <v>16329</v>
      </c>
      <c r="AV1258" s="3" t="s">
        <v>16330</v>
      </c>
      <c r="AW1258" s="3" t="s">
        <v>16331</v>
      </c>
      <c r="AX1258" s="3" t="s">
        <v>16331</v>
      </c>
      <c r="AY1258" s="3" t="s">
        <v>16332</v>
      </c>
      <c r="AZ1258" s="3" t="s">
        <v>74</v>
      </c>
      <c r="BB1258" s="3" t="s">
        <v>16333</v>
      </c>
      <c r="BC1258" s="3" t="s">
        <v>16334</v>
      </c>
      <c r="BD1258" s="3" t="s">
        <v>16335</v>
      </c>
    </row>
    <row r="1259" spans="1:56" ht="45.75" customHeight="1" x14ac:dyDescent="0.25">
      <c r="A1259" s="7" t="s">
        <v>58</v>
      </c>
      <c r="B1259" s="2" t="s">
        <v>16336</v>
      </c>
      <c r="C1259" s="2" t="s">
        <v>16337</v>
      </c>
      <c r="D1259" s="2" t="s">
        <v>16338</v>
      </c>
      <c r="F1259" s="3" t="s">
        <v>58</v>
      </c>
      <c r="G1259" s="3" t="s">
        <v>59</v>
      </c>
      <c r="H1259" s="3" t="s">
        <v>58</v>
      </c>
      <c r="I1259" s="3" t="s">
        <v>58</v>
      </c>
      <c r="J1259" s="3" t="s">
        <v>60</v>
      </c>
      <c r="K1259" s="2" t="s">
        <v>16339</v>
      </c>
      <c r="L1259" s="2" t="s">
        <v>16340</v>
      </c>
      <c r="M1259" s="3" t="s">
        <v>9451</v>
      </c>
      <c r="O1259" s="3" t="s">
        <v>65</v>
      </c>
      <c r="P1259" s="3" t="s">
        <v>84</v>
      </c>
      <c r="R1259" s="3" t="s">
        <v>67</v>
      </c>
      <c r="S1259" s="4">
        <v>5</v>
      </c>
      <c r="T1259" s="4">
        <v>5</v>
      </c>
      <c r="U1259" s="5" t="s">
        <v>16341</v>
      </c>
      <c r="V1259" s="5" t="s">
        <v>16341</v>
      </c>
      <c r="W1259" s="5" t="s">
        <v>16342</v>
      </c>
      <c r="X1259" s="5" t="s">
        <v>16342</v>
      </c>
      <c r="Y1259" s="4">
        <v>346</v>
      </c>
      <c r="Z1259" s="4">
        <v>281</v>
      </c>
      <c r="AA1259" s="4">
        <v>286</v>
      </c>
      <c r="AB1259" s="4">
        <v>4</v>
      </c>
      <c r="AC1259" s="4">
        <v>4</v>
      </c>
      <c r="AD1259" s="4">
        <v>16</v>
      </c>
      <c r="AE1259" s="4">
        <v>16</v>
      </c>
      <c r="AF1259" s="4">
        <v>6</v>
      </c>
      <c r="AG1259" s="4">
        <v>6</v>
      </c>
      <c r="AH1259" s="4">
        <v>2</v>
      </c>
      <c r="AI1259" s="4">
        <v>2</v>
      </c>
      <c r="AJ1259" s="4">
        <v>7</v>
      </c>
      <c r="AK1259" s="4">
        <v>7</v>
      </c>
      <c r="AL1259" s="4">
        <v>3</v>
      </c>
      <c r="AM1259" s="4">
        <v>3</v>
      </c>
      <c r="AN1259" s="4">
        <v>0</v>
      </c>
      <c r="AO1259" s="4">
        <v>0</v>
      </c>
      <c r="AP1259" s="3" t="s">
        <v>58</v>
      </c>
      <c r="AQ1259" s="3" t="s">
        <v>58</v>
      </c>
      <c r="AS1259" s="6" t="str">
        <f>HYPERLINK("https://creighton-primo.hosted.exlibrisgroup.com/primo-explore/search?tab=default_tab&amp;search_scope=EVERYTHING&amp;vid=01CRU&amp;lang=en_US&amp;offset=0&amp;query=any,contains,991002078559702656","Catalog Record")</f>
        <v>Catalog Record</v>
      </c>
      <c r="AT1259" s="6" t="str">
        <f>HYPERLINK("http://www.worldcat.org/oclc/264121","WorldCat Record")</f>
        <v>WorldCat Record</v>
      </c>
      <c r="AU1259" s="3" t="s">
        <v>16343</v>
      </c>
      <c r="AV1259" s="3" t="s">
        <v>16344</v>
      </c>
      <c r="AW1259" s="3" t="s">
        <v>16345</v>
      </c>
      <c r="AX1259" s="3" t="s">
        <v>16345</v>
      </c>
      <c r="AY1259" s="3" t="s">
        <v>16346</v>
      </c>
      <c r="AZ1259" s="3" t="s">
        <v>74</v>
      </c>
      <c r="BC1259" s="3" t="s">
        <v>16347</v>
      </c>
      <c r="BD1259" s="3" t="s">
        <v>16348</v>
      </c>
    </row>
    <row r="1260" spans="1:56" ht="45.75" customHeight="1" x14ac:dyDescent="0.25">
      <c r="A1260" s="7" t="s">
        <v>58</v>
      </c>
      <c r="B1260" s="2" t="s">
        <v>16349</v>
      </c>
      <c r="C1260" s="2" t="s">
        <v>16350</v>
      </c>
      <c r="D1260" s="2" t="s">
        <v>16351</v>
      </c>
      <c r="F1260" s="3" t="s">
        <v>58</v>
      </c>
      <c r="G1260" s="3" t="s">
        <v>59</v>
      </c>
      <c r="H1260" s="3" t="s">
        <v>58</v>
      </c>
      <c r="I1260" s="3" t="s">
        <v>58</v>
      </c>
      <c r="J1260" s="3" t="s">
        <v>60</v>
      </c>
      <c r="K1260" s="2" t="s">
        <v>16352</v>
      </c>
      <c r="L1260" s="2" t="s">
        <v>16353</v>
      </c>
      <c r="M1260" s="3" t="s">
        <v>1623</v>
      </c>
      <c r="O1260" s="3" t="s">
        <v>65</v>
      </c>
      <c r="P1260" s="3" t="s">
        <v>175</v>
      </c>
      <c r="R1260" s="3" t="s">
        <v>67</v>
      </c>
      <c r="S1260" s="4">
        <v>2</v>
      </c>
      <c r="T1260" s="4">
        <v>2</v>
      </c>
      <c r="U1260" s="5" t="s">
        <v>16354</v>
      </c>
      <c r="V1260" s="5" t="s">
        <v>16354</v>
      </c>
      <c r="W1260" s="5" t="s">
        <v>5038</v>
      </c>
      <c r="X1260" s="5" t="s">
        <v>5038</v>
      </c>
      <c r="Y1260" s="4">
        <v>502</v>
      </c>
      <c r="Z1260" s="4">
        <v>440</v>
      </c>
      <c r="AA1260" s="4">
        <v>479</v>
      </c>
      <c r="AB1260" s="4">
        <v>4</v>
      </c>
      <c r="AC1260" s="4">
        <v>5</v>
      </c>
      <c r="AD1260" s="4">
        <v>21</v>
      </c>
      <c r="AE1260" s="4">
        <v>25</v>
      </c>
      <c r="AF1260" s="4">
        <v>7</v>
      </c>
      <c r="AG1260" s="4">
        <v>9</v>
      </c>
      <c r="AH1260" s="4">
        <v>6</v>
      </c>
      <c r="AI1260" s="4">
        <v>6</v>
      </c>
      <c r="AJ1260" s="4">
        <v>9</v>
      </c>
      <c r="AK1260" s="4">
        <v>10</v>
      </c>
      <c r="AL1260" s="4">
        <v>3</v>
      </c>
      <c r="AM1260" s="4">
        <v>4</v>
      </c>
      <c r="AN1260" s="4">
        <v>2</v>
      </c>
      <c r="AO1260" s="4">
        <v>2</v>
      </c>
      <c r="AP1260" s="3" t="s">
        <v>58</v>
      </c>
      <c r="AQ1260" s="3" t="s">
        <v>87</v>
      </c>
      <c r="AR1260" s="6" t="str">
        <f>HYPERLINK("http://catalog.hathitrust.org/Record/009512702","HathiTrust Record")</f>
        <v>HathiTrust Record</v>
      </c>
      <c r="AS1260" s="6" t="str">
        <f>HYPERLINK("https://creighton-primo.hosted.exlibrisgroup.com/primo-explore/search?tab=default_tab&amp;search_scope=EVERYTHING&amp;vid=01CRU&amp;lang=en_US&amp;offset=0&amp;query=any,contains,991002072669702656","Catalog Record")</f>
        <v>Catalog Record</v>
      </c>
      <c r="AT1260" s="6" t="str">
        <f>HYPERLINK("http://www.worldcat.org/oclc/263675","WorldCat Record")</f>
        <v>WorldCat Record</v>
      </c>
      <c r="AU1260" s="3" t="s">
        <v>16355</v>
      </c>
      <c r="AV1260" s="3" t="s">
        <v>16356</v>
      </c>
      <c r="AW1260" s="3" t="s">
        <v>16357</v>
      </c>
      <c r="AX1260" s="3" t="s">
        <v>16357</v>
      </c>
      <c r="AY1260" s="3" t="s">
        <v>16358</v>
      </c>
      <c r="AZ1260" s="3" t="s">
        <v>74</v>
      </c>
      <c r="BC1260" s="3" t="s">
        <v>16359</v>
      </c>
      <c r="BD1260" s="3" t="s">
        <v>16360</v>
      </c>
    </row>
    <row r="1261" spans="1:56" ht="45.75" customHeight="1" x14ac:dyDescent="0.25">
      <c r="A1261" s="7" t="s">
        <v>58</v>
      </c>
      <c r="B1261" s="2" t="s">
        <v>16361</v>
      </c>
      <c r="C1261" s="2" t="s">
        <v>16362</v>
      </c>
      <c r="D1261" s="2" t="s">
        <v>16363</v>
      </c>
      <c r="F1261" s="3" t="s">
        <v>58</v>
      </c>
      <c r="G1261" s="3" t="s">
        <v>59</v>
      </c>
      <c r="H1261" s="3" t="s">
        <v>58</v>
      </c>
      <c r="I1261" s="3" t="s">
        <v>58</v>
      </c>
      <c r="J1261" s="3" t="s">
        <v>60</v>
      </c>
      <c r="K1261" s="2" t="s">
        <v>16364</v>
      </c>
      <c r="L1261" s="2" t="s">
        <v>16365</v>
      </c>
      <c r="M1261" s="3" t="s">
        <v>100</v>
      </c>
      <c r="O1261" s="3" t="s">
        <v>65</v>
      </c>
      <c r="P1261" s="3" t="s">
        <v>84</v>
      </c>
      <c r="R1261" s="3" t="s">
        <v>67</v>
      </c>
      <c r="S1261" s="4">
        <v>1</v>
      </c>
      <c r="T1261" s="4">
        <v>1</v>
      </c>
      <c r="U1261" s="5" t="s">
        <v>10685</v>
      </c>
      <c r="V1261" s="5" t="s">
        <v>10685</v>
      </c>
      <c r="W1261" s="5" t="s">
        <v>5038</v>
      </c>
      <c r="X1261" s="5" t="s">
        <v>5038</v>
      </c>
      <c r="Y1261" s="4">
        <v>449</v>
      </c>
      <c r="Z1261" s="4">
        <v>420</v>
      </c>
      <c r="AA1261" s="4">
        <v>555</v>
      </c>
      <c r="AB1261" s="4">
        <v>5</v>
      </c>
      <c r="AC1261" s="4">
        <v>6</v>
      </c>
      <c r="AD1261" s="4">
        <v>5</v>
      </c>
      <c r="AE1261" s="4">
        <v>9</v>
      </c>
      <c r="AF1261" s="4">
        <v>0</v>
      </c>
      <c r="AG1261" s="4">
        <v>2</v>
      </c>
      <c r="AH1261" s="4">
        <v>1</v>
      </c>
      <c r="AI1261" s="4">
        <v>3</v>
      </c>
      <c r="AJ1261" s="4">
        <v>2</v>
      </c>
      <c r="AK1261" s="4">
        <v>5</v>
      </c>
      <c r="AL1261" s="4">
        <v>2</v>
      </c>
      <c r="AM1261" s="4">
        <v>2</v>
      </c>
      <c r="AN1261" s="4">
        <v>0</v>
      </c>
      <c r="AO1261" s="4">
        <v>0</v>
      </c>
      <c r="AP1261" s="3" t="s">
        <v>58</v>
      </c>
      <c r="AQ1261" s="3" t="s">
        <v>87</v>
      </c>
      <c r="AR1261" s="6" t="str">
        <f>HYPERLINK("http://catalog.hathitrust.org/Record/000031181","HathiTrust Record")</f>
        <v>HathiTrust Record</v>
      </c>
      <c r="AS1261" s="6" t="str">
        <f>HYPERLINK("https://creighton-primo.hosted.exlibrisgroup.com/primo-explore/search?tab=default_tab&amp;search_scope=EVERYTHING&amp;vid=01CRU&amp;lang=en_US&amp;offset=0&amp;query=any,contains,991003671049702656","Catalog Record")</f>
        <v>Catalog Record</v>
      </c>
      <c r="AT1261" s="6" t="str">
        <f>HYPERLINK("http://www.worldcat.org/oclc/1288446","WorldCat Record")</f>
        <v>WorldCat Record</v>
      </c>
      <c r="AU1261" s="3" t="s">
        <v>16366</v>
      </c>
      <c r="AV1261" s="3" t="s">
        <v>16367</v>
      </c>
      <c r="AW1261" s="3" t="s">
        <v>16368</v>
      </c>
      <c r="AX1261" s="3" t="s">
        <v>16368</v>
      </c>
      <c r="AY1261" s="3" t="s">
        <v>16369</v>
      </c>
      <c r="AZ1261" s="3" t="s">
        <v>74</v>
      </c>
      <c r="BB1261" s="3" t="s">
        <v>16370</v>
      </c>
      <c r="BC1261" s="3" t="s">
        <v>16371</v>
      </c>
      <c r="BD1261" s="3" t="s">
        <v>16372</v>
      </c>
    </row>
    <row r="1262" spans="1:56" ht="45.75" customHeight="1" x14ac:dyDescent="0.25">
      <c r="A1262" s="7" t="s">
        <v>58</v>
      </c>
      <c r="B1262" s="2" t="s">
        <v>16373</v>
      </c>
      <c r="C1262" s="2" t="s">
        <v>16374</v>
      </c>
      <c r="D1262" s="2" t="s">
        <v>16375</v>
      </c>
      <c r="F1262" s="3" t="s">
        <v>58</v>
      </c>
      <c r="G1262" s="3" t="s">
        <v>59</v>
      </c>
      <c r="H1262" s="3" t="s">
        <v>58</v>
      </c>
      <c r="I1262" s="3" t="s">
        <v>58</v>
      </c>
      <c r="J1262" s="3" t="s">
        <v>60</v>
      </c>
      <c r="K1262" s="2" t="s">
        <v>16376</v>
      </c>
      <c r="L1262" s="2" t="s">
        <v>16377</v>
      </c>
      <c r="M1262" s="3" t="s">
        <v>16378</v>
      </c>
      <c r="N1262" s="2" t="s">
        <v>16379</v>
      </c>
      <c r="O1262" s="3" t="s">
        <v>65</v>
      </c>
      <c r="P1262" s="3" t="s">
        <v>84</v>
      </c>
      <c r="R1262" s="3" t="s">
        <v>67</v>
      </c>
      <c r="S1262" s="4">
        <v>6</v>
      </c>
      <c r="T1262" s="4">
        <v>6</v>
      </c>
      <c r="U1262" s="5" t="s">
        <v>12454</v>
      </c>
      <c r="V1262" s="5" t="s">
        <v>12454</v>
      </c>
      <c r="W1262" s="5" t="s">
        <v>6810</v>
      </c>
      <c r="X1262" s="5" t="s">
        <v>6810</v>
      </c>
      <c r="Y1262" s="4">
        <v>50</v>
      </c>
      <c r="Z1262" s="4">
        <v>47</v>
      </c>
      <c r="AA1262" s="4">
        <v>139</v>
      </c>
      <c r="AB1262" s="4">
        <v>2</v>
      </c>
      <c r="AC1262" s="4">
        <v>2</v>
      </c>
      <c r="AD1262" s="4">
        <v>6</v>
      </c>
      <c r="AE1262" s="4">
        <v>9</v>
      </c>
      <c r="AF1262" s="4">
        <v>3</v>
      </c>
      <c r="AG1262" s="4">
        <v>4</v>
      </c>
      <c r="AH1262" s="4">
        <v>1</v>
      </c>
      <c r="AI1262" s="4">
        <v>1</v>
      </c>
      <c r="AJ1262" s="4">
        <v>2</v>
      </c>
      <c r="AK1262" s="4">
        <v>4</v>
      </c>
      <c r="AL1262" s="4">
        <v>1</v>
      </c>
      <c r="AM1262" s="4">
        <v>1</v>
      </c>
      <c r="AN1262" s="4">
        <v>1</v>
      </c>
      <c r="AO1262" s="4">
        <v>1</v>
      </c>
      <c r="AP1262" s="3" t="s">
        <v>58</v>
      </c>
      <c r="AQ1262" s="3" t="s">
        <v>87</v>
      </c>
      <c r="AR1262" s="6" t="str">
        <f>HYPERLINK("http://catalog.hathitrust.org/Record/001132721","HathiTrust Record")</f>
        <v>HathiTrust Record</v>
      </c>
      <c r="AS1262" s="6" t="str">
        <f>HYPERLINK("https://creighton-primo.hosted.exlibrisgroup.com/primo-explore/search?tab=default_tab&amp;search_scope=EVERYTHING&amp;vid=01CRU&amp;lang=en_US&amp;offset=0&amp;query=any,contains,991003854849702656","Catalog Record")</f>
        <v>Catalog Record</v>
      </c>
      <c r="AT1262" s="6" t="str">
        <f>HYPERLINK("http://www.worldcat.org/oclc/1652062","WorldCat Record")</f>
        <v>WorldCat Record</v>
      </c>
      <c r="AU1262" s="3" t="s">
        <v>16380</v>
      </c>
      <c r="AV1262" s="3" t="s">
        <v>16381</v>
      </c>
      <c r="AW1262" s="3" t="s">
        <v>16382</v>
      </c>
      <c r="AX1262" s="3" t="s">
        <v>16382</v>
      </c>
      <c r="AY1262" s="3" t="s">
        <v>16383</v>
      </c>
      <c r="AZ1262" s="3" t="s">
        <v>74</v>
      </c>
      <c r="BC1262" s="3" t="s">
        <v>16384</v>
      </c>
      <c r="BD1262" s="3" t="s">
        <v>16385</v>
      </c>
    </row>
    <row r="1263" spans="1:56" ht="45.75" customHeight="1" x14ac:dyDescent="0.25">
      <c r="A1263" s="7" t="s">
        <v>58</v>
      </c>
      <c r="B1263" s="2" t="s">
        <v>16386</v>
      </c>
      <c r="C1263" s="2" t="s">
        <v>16387</v>
      </c>
      <c r="D1263" s="2" t="s">
        <v>16388</v>
      </c>
      <c r="F1263" s="3" t="s">
        <v>58</v>
      </c>
      <c r="G1263" s="3" t="s">
        <v>59</v>
      </c>
      <c r="H1263" s="3" t="s">
        <v>87</v>
      </c>
      <c r="I1263" s="3" t="s">
        <v>58</v>
      </c>
      <c r="J1263" s="3" t="s">
        <v>60</v>
      </c>
      <c r="L1263" s="2" t="s">
        <v>5009</v>
      </c>
      <c r="M1263" s="3" t="s">
        <v>908</v>
      </c>
      <c r="O1263" s="3" t="s">
        <v>65</v>
      </c>
      <c r="P1263" s="3" t="s">
        <v>132</v>
      </c>
      <c r="Q1263" s="2" t="s">
        <v>16389</v>
      </c>
      <c r="R1263" s="3" t="s">
        <v>67</v>
      </c>
      <c r="S1263" s="4">
        <v>20</v>
      </c>
      <c r="T1263" s="4">
        <v>21</v>
      </c>
      <c r="U1263" s="5" t="s">
        <v>16390</v>
      </c>
      <c r="V1263" s="5" t="s">
        <v>16390</v>
      </c>
      <c r="W1263" s="5" t="s">
        <v>1571</v>
      </c>
      <c r="X1263" s="5" t="s">
        <v>1571</v>
      </c>
      <c r="Y1263" s="4">
        <v>330</v>
      </c>
      <c r="Z1263" s="4">
        <v>263</v>
      </c>
      <c r="AA1263" s="4">
        <v>270</v>
      </c>
      <c r="AB1263" s="4">
        <v>4</v>
      </c>
      <c r="AC1263" s="4">
        <v>4</v>
      </c>
      <c r="AD1263" s="4">
        <v>12</v>
      </c>
      <c r="AE1263" s="4">
        <v>12</v>
      </c>
      <c r="AF1263" s="4">
        <v>6</v>
      </c>
      <c r="AG1263" s="4">
        <v>6</v>
      </c>
      <c r="AH1263" s="4">
        <v>3</v>
      </c>
      <c r="AI1263" s="4">
        <v>3</v>
      </c>
      <c r="AJ1263" s="4">
        <v>6</v>
      </c>
      <c r="AK1263" s="4">
        <v>6</v>
      </c>
      <c r="AL1263" s="4">
        <v>2</v>
      </c>
      <c r="AM1263" s="4">
        <v>2</v>
      </c>
      <c r="AN1263" s="4">
        <v>0</v>
      </c>
      <c r="AO1263" s="4">
        <v>0</v>
      </c>
      <c r="AP1263" s="3" t="s">
        <v>58</v>
      </c>
      <c r="AQ1263" s="3" t="s">
        <v>87</v>
      </c>
      <c r="AR1263" s="6" t="str">
        <f>HYPERLINK("http://catalog.hathitrust.org/Record/000255796","HathiTrust Record")</f>
        <v>HathiTrust Record</v>
      </c>
      <c r="AS1263" s="6" t="str">
        <f>HYPERLINK("https://creighton-primo.hosted.exlibrisgroup.com/primo-explore/search?tab=default_tab&amp;search_scope=EVERYTHING&amp;vid=01CRU&amp;lang=en_US&amp;offset=0&amp;query=any,contains,991001767009702656","Catalog Record")</f>
        <v>Catalog Record</v>
      </c>
      <c r="AT1263" s="6" t="str">
        <f>HYPERLINK("http://www.worldcat.org/oclc/4493629","WorldCat Record")</f>
        <v>WorldCat Record</v>
      </c>
      <c r="AU1263" s="3" t="s">
        <v>16391</v>
      </c>
      <c r="AV1263" s="3" t="s">
        <v>16392</v>
      </c>
      <c r="AW1263" s="3" t="s">
        <v>16393</v>
      </c>
      <c r="AX1263" s="3" t="s">
        <v>16393</v>
      </c>
      <c r="AY1263" s="3" t="s">
        <v>16394</v>
      </c>
      <c r="AZ1263" s="3" t="s">
        <v>74</v>
      </c>
      <c r="BB1263" s="3" t="s">
        <v>16395</v>
      </c>
      <c r="BC1263" s="3" t="s">
        <v>16396</v>
      </c>
      <c r="BD1263" s="3" t="s">
        <v>16397</v>
      </c>
    </row>
    <row r="1264" spans="1:56" ht="45.75" customHeight="1" x14ac:dyDescent="0.25">
      <c r="A1264" s="7" t="s">
        <v>58</v>
      </c>
      <c r="B1264" s="2" t="s">
        <v>16398</v>
      </c>
      <c r="C1264" s="2" t="s">
        <v>16399</v>
      </c>
      <c r="D1264" s="2" t="s">
        <v>16400</v>
      </c>
      <c r="F1264" s="3" t="s">
        <v>58</v>
      </c>
      <c r="G1264" s="3" t="s">
        <v>59</v>
      </c>
      <c r="H1264" s="3" t="s">
        <v>58</v>
      </c>
      <c r="I1264" s="3" t="s">
        <v>58</v>
      </c>
      <c r="J1264" s="3" t="s">
        <v>60</v>
      </c>
      <c r="K1264" s="2" t="s">
        <v>16401</v>
      </c>
      <c r="L1264" s="2" t="s">
        <v>1045</v>
      </c>
      <c r="M1264" s="3" t="s">
        <v>713</v>
      </c>
      <c r="O1264" s="3" t="s">
        <v>65</v>
      </c>
      <c r="P1264" s="3" t="s">
        <v>148</v>
      </c>
      <c r="R1264" s="3" t="s">
        <v>67</v>
      </c>
      <c r="S1264" s="4">
        <v>11</v>
      </c>
      <c r="T1264" s="4">
        <v>11</v>
      </c>
      <c r="U1264" s="5" t="s">
        <v>16402</v>
      </c>
      <c r="V1264" s="5" t="s">
        <v>16402</v>
      </c>
      <c r="W1264" s="5" t="s">
        <v>12418</v>
      </c>
      <c r="X1264" s="5" t="s">
        <v>12418</v>
      </c>
      <c r="Y1264" s="4">
        <v>304</v>
      </c>
      <c r="Z1264" s="4">
        <v>262</v>
      </c>
      <c r="AA1264" s="4">
        <v>495</v>
      </c>
      <c r="AB1264" s="4">
        <v>2</v>
      </c>
      <c r="AC1264" s="4">
        <v>4</v>
      </c>
      <c r="AD1264" s="4">
        <v>7</v>
      </c>
      <c r="AE1264" s="4">
        <v>20</v>
      </c>
      <c r="AF1264" s="4">
        <v>2</v>
      </c>
      <c r="AG1264" s="4">
        <v>5</v>
      </c>
      <c r="AH1264" s="4">
        <v>2</v>
      </c>
      <c r="AI1264" s="4">
        <v>5</v>
      </c>
      <c r="AJ1264" s="4">
        <v>3</v>
      </c>
      <c r="AK1264" s="4">
        <v>10</v>
      </c>
      <c r="AL1264" s="4">
        <v>1</v>
      </c>
      <c r="AM1264" s="4">
        <v>3</v>
      </c>
      <c r="AN1264" s="4">
        <v>0</v>
      </c>
      <c r="AO1264" s="4">
        <v>1</v>
      </c>
      <c r="AP1264" s="3" t="s">
        <v>58</v>
      </c>
      <c r="AQ1264" s="3" t="s">
        <v>58</v>
      </c>
      <c r="AS1264" s="6" t="str">
        <f>HYPERLINK("https://creighton-primo.hosted.exlibrisgroup.com/primo-explore/search?tab=default_tab&amp;search_scope=EVERYTHING&amp;vid=01CRU&amp;lang=en_US&amp;offset=0&amp;query=any,contains,991005105119702656","Catalog Record")</f>
        <v>Catalog Record</v>
      </c>
      <c r="AT1264" s="6" t="str">
        <f>HYPERLINK("http://www.worldcat.org/oclc/7328492","WorldCat Record")</f>
        <v>WorldCat Record</v>
      </c>
      <c r="AU1264" s="3" t="s">
        <v>16403</v>
      </c>
      <c r="AV1264" s="3" t="s">
        <v>16404</v>
      </c>
      <c r="AW1264" s="3" t="s">
        <v>16405</v>
      </c>
      <c r="AX1264" s="3" t="s">
        <v>16405</v>
      </c>
      <c r="AY1264" s="3" t="s">
        <v>16406</v>
      </c>
      <c r="AZ1264" s="3" t="s">
        <v>74</v>
      </c>
      <c r="BB1264" s="3" t="s">
        <v>16407</v>
      </c>
      <c r="BC1264" s="3" t="s">
        <v>16408</v>
      </c>
      <c r="BD1264" s="3" t="s">
        <v>16409</v>
      </c>
    </row>
    <row r="1265" spans="1:56" ht="45.75" customHeight="1" x14ac:dyDescent="0.25">
      <c r="A1265" s="7" t="s">
        <v>58</v>
      </c>
      <c r="B1265" s="2" t="s">
        <v>16410</v>
      </c>
      <c r="C1265" s="2" t="s">
        <v>16411</v>
      </c>
      <c r="D1265" s="2" t="s">
        <v>16412</v>
      </c>
      <c r="F1265" s="3" t="s">
        <v>58</v>
      </c>
      <c r="G1265" s="3" t="s">
        <v>59</v>
      </c>
      <c r="H1265" s="3" t="s">
        <v>87</v>
      </c>
      <c r="I1265" s="3" t="s">
        <v>58</v>
      </c>
      <c r="J1265" s="3" t="s">
        <v>60</v>
      </c>
      <c r="K1265" s="2" t="s">
        <v>16413</v>
      </c>
      <c r="L1265" s="2" t="s">
        <v>16414</v>
      </c>
      <c r="M1265" s="3" t="s">
        <v>1419</v>
      </c>
      <c r="N1265" s="2" t="s">
        <v>543</v>
      </c>
      <c r="O1265" s="3" t="s">
        <v>65</v>
      </c>
      <c r="P1265" s="3" t="s">
        <v>84</v>
      </c>
      <c r="R1265" s="3" t="s">
        <v>67</v>
      </c>
      <c r="S1265" s="4">
        <v>19</v>
      </c>
      <c r="T1265" s="4">
        <v>31</v>
      </c>
      <c r="U1265" s="5" t="s">
        <v>16415</v>
      </c>
      <c r="V1265" s="5" t="s">
        <v>16415</v>
      </c>
      <c r="W1265" s="5" t="s">
        <v>16416</v>
      </c>
      <c r="X1265" s="5" t="s">
        <v>16416</v>
      </c>
      <c r="Y1265" s="4">
        <v>942</v>
      </c>
      <c r="Z1265" s="4">
        <v>855</v>
      </c>
      <c r="AA1265" s="4">
        <v>1078</v>
      </c>
      <c r="AB1265" s="4">
        <v>8</v>
      </c>
      <c r="AC1265" s="4">
        <v>9</v>
      </c>
      <c r="AD1265" s="4">
        <v>30</v>
      </c>
      <c r="AE1265" s="4">
        <v>35</v>
      </c>
      <c r="AF1265" s="4">
        <v>7</v>
      </c>
      <c r="AG1265" s="4">
        <v>9</v>
      </c>
      <c r="AH1265" s="4">
        <v>3</v>
      </c>
      <c r="AI1265" s="4">
        <v>3</v>
      </c>
      <c r="AJ1265" s="4">
        <v>9</v>
      </c>
      <c r="AK1265" s="4">
        <v>12</v>
      </c>
      <c r="AL1265" s="4">
        <v>4</v>
      </c>
      <c r="AM1265" s="4">
        <v>4</v>
      </c>
      <c r="AN1265" s="4">
        <v>10</v>
      </c>
      <c r="AO1265" s="4">
        <v>11</v>
      </c>
      <c r="AP1265" s="3" t="s">
        <v>58</v>
      </c>
      <c r="AQ1265" s="3" t="s">
        <v>58</v>
      </c>
      <c r="AS1265" s="6" t="str">
        <f>HYPERLINK("https://creighton-primo.hosted.exlibrisgroup.com/primo-explore/search?tab=default_tab&amp;search_scope=EVERYTHING&amp;vid=01CRU&amp;lang=en_US&amp;offset=0&amp;query=any,contains,991001782979702656","Catalog Record")</f>
        <v>Catalog Record</v>
      </c>
      <c r="AT1265" s="6" t="str">
        <f>HYPERLINK("http://www.worldcat.org/oclc/3415361","WorldCat Record")</f>
        <v>WorldCat Record</v>
      </c>
      <c r="AU1265" s="3" t="s">
        <v>16417</v>
      </c>
      <c r="AV1265" s="3" t="s">
        <v>16418</v>
      </c>
      <c r="AW1265" s="3" t="s">
        <v>16419</v>
      </c>
      <c r="AX1265" s="3" t="s">
        <v>16419</v>
      </c>
      <c r="AY1265" s="3" t="s">
        <v>16420</v>
      </c>
      <c r="AZ1265" s="3" t="s">
        <v>74</v>
      </c>
      <c r="BB1265" s="3" t="s">
        <v>16421</v>
      </c>
      <c r="BC1265" s="3" t="s">
        <v>16422</v>
      </c>
      <c r="BD1265" s="3" t="s">
        <v>16423</v>
      </c>
    </row>
    <row r="1266" spans="1:56" ht="45.75" customHeight="1" x14ac:dyDescent="0.25">
      <c r="A1266" s="7" t="s">
        <v>58</v>
      </c>
      <c r="B1266" s="2" t="s">
        <v>16424</v>
      </c>
      <c r="C1266" s="2" t="s">
        <v>16425</v>
      </c>
      <c r="D1266" s="2" t="s">
        <v>16426</v>
      </c>
      <c r="F1266" s="3" t="s">
        <v>58</v>
      </c>
      <c r="G1266" s="3" t="s">
        <v>59</v>
      </c>
      <c r="H1266" s="3" t="s">
        <v>58</v>
      </c>
      <c r="I1266" s="3" t="s">
        <v>58</v>
      </c>
      <c r="J1266" s="3" t="s">
        <v>60</v>
      </c>
      <c r="K1266" s="2" t="s">
        <v>16427</v>
      </c>
      <c r="L1266" s="2" t="s">
        <v>16428</v>
      </c>
      <c r="M1266" s="3" t="s">
        <v>1419</v>
      </c>
      <c r="N1266" s="2" t="s">
        <v>4053</v>
      </c>
      <c r="O1266" s="3" t="s">
        <v>65</v>
      </c>
      <c r="P1266" s="3" t="s">
        <v>84</v>
      </c>
      <c r="R1266" s="3" t="s">
        <v>67</v>
      </c>
      <c r="S1266" s="4">
        <v>19</v>
      </c>
      <c r="T1266" s="4">
        <v>19</v>
      </c>
      <c r="U1266" s="5" t="s">
        <v>16288</v>
      </c>
      <c r="V1266" s="5" t="s">
        <v>16288</v>
      </c>
      <c r="W1266" s="5" t="s">
        <v>16416</v>
      </c>
      <c r="X1266" s="5" t="s">
        <v>16416</v>
      </c>
      <c r="Y1266" s="4">
        <v>362</v>
      </c>
      <c r="Z1266" s="4">
        <v>337</v>
      </c>
      <c r="AA1266" s="4">
        <v>399</v>
      </c>
      <c r="AB1266" s="4">
        <v>2</v>
      </c>
      <c r="AC1266" s="4">
        <v>3</v>
      </c>
      <c r="AD1266" s="4">
        <v>11</v>
      </c>
      <c r="AE1266" s="4">
        <v>14</v>
      </c>
      <c r="AF1266" s="4">
        <v>4</v>
      </c>
      <c r="AG1266" s="4">
        <v>5</v>
      </c>
      <c r="AH1266" s="4">
        <v>4</v>
      </c>
      <c r="AI1266" s="4">
        <v>4</v>
      </c>
      <c r="AJ1266" s="4">
        <v>4</v>
      </c>
      <c r="AK1266" s="4">
        <v>6</v>
      </c>
      <c r="AL1266" s="4">
        <v>1</v>
      </c>
      <c r="AM1266" s="4">
        <v>2</v>
      </c>
      <c r="AN1266" s="4">
        <v>0</v>
      </c>
      <c r="AO1266" s="4">
        <v>0</v>
      </c>
      <c r="AP1266" s="3" t="s">
        <v>58</v>
      </c>
      <c r="AQ1266" s="3" t="s">
        <v>87</v>
      </c>
      <c r="AR1266" s="6" t="str">
        <f>HYPERLINK("http://catalog.hathitrust.org/Record/005039208","HathiTrust Record")</f>
        <v>HathiTrust Record</v>
      </c>
      <c r="AS1266" s="6" t="str">
        <f>HYPERLINK("https://creighton-primo.hosted.exlibrisgroup.com/primo-explore/search?tab=default_tab&amp;search_scope=EVERYTHING&amp;vid=01CRU&amp;lang=en_US&amp;offset=0&amp;query=any,contains,991004392419702656","Catalog Record")</f>
        <v>Catalog Record</v>
      </c>
      <c r="AT1266" s="6" t="str">
        <f>HYPERLINK("http://www.worldcat.org/oclc/3272769","WorldCat Record")</f>
        <v>WorldCat Record</v>
      </c>
      <c r="AU1266" s="3" t="s">
        <v>16429</v>
      </c>
      <c r="AV1266" s="3" t="s">
        <v>16430</v>
      </c>
      <c r="AW1266" s="3" t="s">
        <v>16431</v>
      </c>
      <c r="AX1266" s="3" t="s">
        <v>16431</v>
      </c>
      <c r="AY1266" s="3" t="s">
        <v>16432</v>
      </c>
      <c r="AZ1266" s="3" t="s">
        <v>74</v>
      </c>
      <c r="BB1266" s="3" t="s">
        <v>16433</v>
      </c>
      <c r="BC1266" s="3" t="s">
        <v>16434</v>
      </c>
      <c r="BD1266" s="3" t="s">
        <v>16435</v>
      </c>
    </row>
    <row r="1267" spans="1:56" ht="45.75" customHeight="1" x14ac:dyDescent="0.25">
      <c r="A1267" s="7" t="s">
        <v>58</v>
      </c>
      <c r="B1267" s="2" t="s">
        <v>16436</v>
      </c>
      <c r="C1267" s="2" t="s">
        <v>16437</v>
      </c>
      <c r="D1267" s="2" t="s">
        <v>16438</v>
      </c>
      <c r="F1267" s="3" t="s">
        <v>58</v>
      </c>
      <c r="G1267" s="3" t="s">
        <v>59</v>
      </c>
      <c r="H1267" s="3" t="s">
        <v>58</v>
      </c>
      <c r="I1267" s="3" t="s">
        <v>58</v>
      </c>
      <c r="J1267" s="3" t="s">
        <v>60</v>
      </c>
      <c r="K1267" s="2" t="s">
        <v>3572</v>
      </c>
      <c r="L1267" s="2" t="s">
        <v>16439</v>
      </c>
      <c r="M1267" s="3" t="s">
        <v>937</v>
      </c>
      <c r="O1267" s="3" t="s">
        <v>65</v>
      </c>
      <c r="P1267" s="3" t="s">
        <v>132</v>
      </c>
      <c r="R1267" s="3" t="s">
        <v>67</v>
      </c>
      <c r="S1267" s="4">
        <v>18</v>
      </c>
      <c r="T1267" s="4">
        <v>18</v>
      </c>
      <c r="U1267" s="5" t="s">
        <v>16440</v>
      </c>
      <c r="V1267" s="5" t="s">
        <v>16440</v>
      </c>
      <c r="W1267" s="5" t="s">
        <v>9244</v>
      </c>
      <c r="X1267" s="5" t="s">
        <v>9244</v>
      </c>
      <c r="Y1267" s="4">
        <v>356</v>
      </c>
      <c r="Z1267" s="4">
        <v>333</v>
      </c>
      <c r="AA1267" s="4">
        <v>335</v>
      </c>
      <c r="AB1267" s="4">
        <v>6</v>
      </c>
      <c r="AC1267" s="4">
        <v>6</v>
      </c>
      <c r="AD1267" s="4">
        <v>14</v>
      </c>
      <c r="AE1267" s="4">
        <v>14</v>
      </c>
      <c r="AF1267" s="4">
        <v>2</v>
      </c>
      <c r="AG1267" s="4">
        <v>2</v>
      </c>
      <c r="AH1267" s="4">
        <v>5</v>
      </c>
      <c r="AI1267" s="4">
        <v>5</v>
      </c>
      <c r="AJ1267" s="4">
        <v>6</v>
      </c>
      <c r="AK1267" s="4">
        <v>6</v>
      </c>
      <c r="AL1267" s="4">
        <v>4</v>
      </c>
      <c r="AM1267" s="4">
        <v>4</v>
      </c>
      <c r="AN1267" s="4">
        <v>0</v>
      </c>
      <c r="AO1267" s="4">
        <v>0</v>
      </c>
      <c r="AP1267" s="3" t="s">
        <v>58</v>
      </c>
      <c r="AQ1267" s="3" t="s">
        <v>58</v>
      </c>
      <c r="AS1267" s="6" t="str">
        <f>HYPERLINK("https://creighton-primo.hosted.exlibrisgroup.com/primo-explore/search?tab=default_tab&amp;search_scope=EVERYTHING&amp;vid=01CRU&amp;lang=en_US&amp;offset=0&amp;query=any,contains,991004399449702656","Catalog Record")</f>
        <v>Catalog Record</v>
      </c>
      <c r="AT1267" s="6" t="str">
        <f>HYPERLINK("http://www.worldcat.org/oclc/3294422","WorldCat Record")</f>
        <v>WorldCat Record</v>
      </c>
      <c r="AU1267" s="3" t="s">
        <v>16441</v>
      </c>
      <c r="AV1267" s="3" t="s">
        <v>16442</v>
      </c>
      <c r="AW1267" s="3" t="s">
        <v>16443</v>
      </c>
      <c r="AX1267" s="3" t="s">
        <v>16443</v>
      </c>
      <c r="AY1267" s="3" t="s">
        <v>16444</v>
      </c>
      <c r="AZ1267" s="3" t="s">
        <v>74</v>
      </c>
      <c r="BB1267" s="3" t="s">
        <v>16445</v>
      </c>
      <c r="BC1267" s="3" t="s">
        <v>16446</v>
      </c>
      <c r="BD1267" s="3" t="s">
        <v>16447</v>
      </c>
    </row>
    <row r="1268" spans="1:56" ht="45.75" customHeight="1" x14ac:dyDescent="0.25">
      <c r="A1268" s="7" t="s">
        <v>58</v>
      </c>
      <c r="B1268" s="2" t="s">
        <v>16448</v>
      </c>
      <c r="C1268" s="2" t="s">
        <v>16449</v>
      </c>
      <c r="D1268" s="2" t="s">
        <v>16450</v>
      </c>
      <c r="F1268" s="3" t="s">
        <v>58</v>
      </c>
      <c r="G1268" s="3" t="s">
        <v>59</v>
      </c>
      <c r="H1268" s="3" t="s">
        <v>58</v>
      </c>
      <c r="I1268" s="3" t="s">
        <v>58</v>
      </c>
      <c r="J1268" s="3" t="s">
        <v>60</v>
      </c>
      <c r="K1268" s="2" t="s">
        <v>16451</v>
      </c>
      <c r="L1268" s="2" t="s">
        <v>16452</v>
      </c>
      <c r="M1268" s="3" t="s">
        <v>557</v>
      </c>
      <c r="O1268" s="3" t="s">
        <v>65</v>
      </c>
      <c r="P1268" s="3" t="s">
        <v>3792</v>
      </c>
      <c r="R1268" s="3" t="s">
        <v>67</v>
      </c>
      <c r="S1268" s="4">
        <v>27</v>
      </c>
      <c r="T1268" s="4">
        <v>27</v>
      </c>
      <c r="U1268" s="5" t="s">
        <v>16453</v>
      </c>
      <c r="V1268" s="5" t="s">
        <v>16453</v>
      </c>
      <c r="W1268" s="5" t="s">
        <v>16454</v>
      </c>
      <c r="X1268" s="5" t="s">
        <v>16454</v>
      </c>
      <c r="Y1268" s="4">
        <v>117</v>
      </c>
      <c r="Z1268" s="4">
        <v>113</v>
      </c>
      <c r="AA1268" s="4">
        <v>115</v>
      </c>
      <c r="AB1268" s="4">
        <v>4</v>
      </c>
      <c r="AC1268" s="4">
        <v>4</v>
      </c>
      <c r="AD1268" s="4">
        <v>5</v>
      </c>
      <c r="AE1268" s="4">
        <v>5</v>
      </c>
      <c r="AF1268" s="4">
        <v>0</v>
      </c>
      <c r="AG1268" s="4">
        <v>0</v>
      </c>
      <c r="AH1268" s="4">
        <v>1</v>
      </c>
      <c r="AI1268" s="4">
        <v>1</v>
      </c>
      <c r="AJ1268" s="4">
        <v>2</v>
      </c>
      <c r="AK1268" s="4">
        <v>2</v>
      </c>
      <c r="AL1268" s="4">
        <v>2</v>
      </c>
      <c r="AM1268" s="4">
        <v>2</v>
      </c>
      <c r="AN1268" s="4">
        <v>1</v>
      </c>
      <c r="AO1268" s="4">
        <v>1</v>
      </c>
      <c r="AP1268" s="3" t="s">
        <v>58</v>
      </c>
      <c r="AQ1268" s="3" t="s">
        <v>87</v>
      </c>
      <c r="AR1268" s="6" t="str">
        <f>HYPERLINK("http://catalog.hathitrust.org/Record/003443624","HathiTrust Record")</f>
        <v>HathiTrust Record</v>
      </c>
      <c r="AS1268" s="6" t="str">
        <f>HYPERLINK("https://creighton-primo.hosted.exlibrisgroup.com/primo-explore/search?tab=default_tab&amp;search_scope=EVERYTHING&amp;vid=01CRU&amp;lang=en_US&amp;offset=0&amp;query=any,contains,991002020439702656","Catalog Record")</f>
        <v>Catalog Record</v>
      </c>
      <c r="AT1268" s="6" t="str">
        <f>HYPERLINK("http://www.worldcat.org/oclc/25707418","WorldCat Record")</f>
        <v>WorldCat Record</v>
      </c>
      <c r="AU1268" s="3" t="s">
        <v>16455</v>
      </c>
      <c r="AV1268" s="3" t="s">
        <v>16456</v>
      </c>
      <c r="AW1268" s="3" t="s">
        <v>16457</v>
      </c>
      <c r="AX1268" s="3" t="s">
        <v>16457</v>
      </c>
      <c r="AY1268" s="3" t="s">
        <v>16458</v>
      </c>
      <c r="AZ1268" s="3" t="s">
        <v>74</v>
      </c>
      <c r="BB1268" s="3" t="s">
        <v>16459</v>
      </c>
      <c r="BC1268" s="3" t="s">
        <v>16460</v>
      </c>
      <c r="BD1268" s="3" t="s">
        <v>16461</v>
      </c>
    </row>
    <row r="1269" spans="1:56" ht="45.75" customHeight="1" x14ac:dyDescent="0.25">
      <c r="A1269" s="7" t="s">
        <v>58</v>
      </c>
      <c r="B1269" s="2" t="s">
        <v>16462</v>
      </c>
      <c r="C1269" s="2" t="s">
        <v>16463</v>
      </c>
      <c r="D1269" s="2" t="s">
        <v>16464</v>
      </c>
      <c r="F1269" s="3" t="s">
        <v>58</v>
      </c>
      <c r="G1269" s="3" t="s">
        <v>59</v>
      </c>
      <c r="H1269" s="3" t="s">
        <v>58</v>
      </c>
      <c r="I1269" s="3" t="s">
        <v>58</v>
      </c>
      <c r="J1269" s="3" t="s">
        <v>60</v>
      </c>
      <c r="K1269" s="2" t="s">
        <v>16465</v>
      </c>
      <c r="L1269" s="2" t="s">
        <v>16466</v>
      </c>
      <c r="M1269" s="3" t="s">
        <v>1058</v>
      </c>
      <c r="O1269" s="3" t="s">
        <v>65</v>
      </c>
      <c r="P1269" s="3" t="s">
        <v>84</v>
      </c>
      <c r="Q1269" s="2" t="s">
        <v>3345</v>
      </c>
      <c r="R1269" s="3" t="s">
        <v>67</v>
      </c>
      <c r="S1269" s="4">
        <v>58</v>
      </c>
      <c r="T1269" s="4">
        <v>58</v>
      </c>
      <c r="U1269" s="5" t="s">
        <v>15984</v>
      </c>
      <c r="V1269" s="5" t="s">
        <v>15984</v>
      </c>
      <c r="W1269" s="5" t="s">
        <v>16467</v>
      </c>
      <c r="X1269" s="5" t="s">
        <v>16467</v>
      </c>
      <c r="Y1269" s="4">
        <v>549</v>
      </c>
      <c r="Z1269" s="4">
        <v>460</v>
      </c>
      <c r="AA1269" s="4">
        <v>483</v>
      </c>
      <c r="AB1269" s="4">
        <v>5</v>
      </c>
      <c r="AC1269" s="4">
        <v>5</v>
      </c>
      <c r="AD1269" s="4">
        <v>21</v>
      </c>
      <c r="AE1269" s="4">
        <v>21</v>
      </c>
      <c r="AF1269" s="4">
        <v>6</v>
      </c>
      <c r="AG1269" s="4">
        <v>6</v>
      </c>
      <c r="AH1269" s="4">
        <v>6</v>
      </c>
      <c r="AI1269" s="4">
        <v>6</v>
      </c>
      <c r="AJ1269" s="4">
        <v>9</v>
      </c>
      <c r="AK1269" s="4">
        <v>9</v>
      </c>
      <c r="AL1269" s="4">
        <v>4</v>
      </c>
      <c r="AM1269" s="4">
        <v>4</v>
      </c>
      <c r="AN1269" s="4">
        <v>0</v>
      </c>
      <c r="AO1269" s="4">
        <v>0</v>
      </c>
      <c r="AP1269" s="3" t="s">
        <v>58</v>
      </c>
      <c r="AQ1269" s="3" t="s">
        <v>58</v>
      </c>
      <c r="AS1269" s="6" t="str">
        <f>HYPERLINK("https://creighton-primo.hosted.exlibrisgroup.com/primo-explore/search?tab=default_tab&amp;search_scope=EVERYTHING&amp;vid=01CRU&amp;lang=en_US&amp;offset=0&amp;query=any,contains,991001308249702656","Catalog Record")</f>
        <v>Catalog Record</v>
      </c>
      <c r="AT1269" s="6" t="str">
        <f>HYPERLINK("http://www.worldcat.org/oclc/18134537","WorldCat Record")</f>
        <v>WorldCat Record</v>
      </c>
      <c r="AU1269" s="3" t="s">
        <v>16468</v>
      </c>
      <c r="AV1269" s="3" t="s">
        <v>16469</v>
      </c>
      <c r="AW1269" s="3" t="s">
        <v>16470</v>
      </c>
      <c r="AX1269" s="3" t="s">
        <v>16470</v>
      </c>
      <c r="AY1269" s="3" t="s">
        <v>16471</v>
      </c>
      <c r="AZ1269" s="3" t="s">
        <v>74</v>
      </c>
      <c r="BB1269" s="3" t="s">
        <v>16472</v>
      </c>
      <c r="BC1269" s="3" t="s">
        <v>16473</v>
      </c>
      <c r="BD1269" s="3" t="s">
        <v>16474</v>
      </c>
    </row>
    <row r="1270" spans="1:56" ht="45.75" customHeight="1" x14ac:dyDescent="0.25">
      <c r="A1270" s="7" t="s">
        <v>58</v>
      </c>
      <c r="B1270" s="2" t="s">
        <v>16475</v>
      </c>
      <c r="C1270" s="2" t="s">
        <v>16476</v>
      </c>
      <c r="D1270" s="2" t="s">
        <v>16477</v>
      </c>
      <c r="F1270" s="3" t="s">
        <v>58</v>
      </c>
      <c r="G1270" s="3" t="s">
        <v>59</v>
      </c>
      <c r="H1270" s="3" t="s">
        <v>58</v>
      </c>
      <c r="I1270" s="3" t="s">
        <v>58</v>
      </c>
      <c r="J1270" s="3" t="s">
        <v>60</v>
      </c>
      <c r="K1270" s="2" t="s">
        <v>16478</v>
      </c>
      <c r="L1270" s="2" t="s">
        <v>16479</v>
      </c>
      <c r="M1270" s="3" t="s">
        <v>528</v>
      </c>
      <c r="N1270" s="2" t="s">
        <v>543</v>
      </c>
      <c r="O1270" s="3" t="s">
        <v>65</v>
      </c>
      <c r="P1270" s="3" t="s">
        <v>84</v>
      </c>
      <c r="R1270" s="3" t="s">
        <v>67</v>
      </c>
      <c r="S1270" s="4">
        <v>45</v>
      </c>
      <c r="T1270" s="4">
        <v>45</v>
      </c>
      <c r="U1270" s="5" t="s">
        <v>9098</v>
      </c>
      <c r="V1270" s="5" t="s">
        <v>9098</v>
      </c>
      <c r="W1270" s="5" t="s">
        <v>16480</v>
      </c>
      <c r="X1270" s="5" t="s">
        <v>16480</v>
      </c>
      <c r="Y1270" s="4">
        <v>588</v>
      </c>
      <c r="Z1270" s="4">
        <v>559</v>
      </c>
      <c r="AA1270" s="4">
        <v>597</v>
      </c>
      <c r="AB1270" s="4">
        <v>5</v>
      </c>
      <c r="AC1270" s="4">
        <v>5</v>
      </c>
      <c r="AD1270" s="4">
        <v>16</v>
      </c>
      <c r="AE1270" s="4">
        <v>17</v>
      </c>
      <c r="AF1270" s="4">
        <v>1</v>
      </c>
      <c r="AG1270" s="4">
        <v>2</v>
      </c>
      <c r="AH1270" s="4">
        <v>3</v>
      </c>
      <c r="AI1270" s="4">
        <v>3</v>
      </c>
      <c r="AJ1270" s="4">
        <v>5</v>
      </c>
      <c r="AK1270" s="4">
        <v>6</v>
      </c>
      <c r="AL1270" s="4">
        <v>1</v>
      </c>
      <c r="AM1270" s="4">
        <v>1</v>
      </c>
      <c r="AN1270" s="4">
        <v>7</v>
      </c>
      <c r="AO1270" s="4">
        <v>7</v>
      </c>
      <c r="AP1270" s="3" t="s">
        <v>58</v>
      </c>
      <c r="AQ1270" s="3" t="s">
        <v>58</v>
      </c>
      <c r="AS1270" s="6" t="str">
        <f>HYPERLINK("https://creighton-primo.hosted.exlibrisgroup.com/primo-explore/search?tab=default_tab&amp;search_scope=EVERYTHING&amp;vid=01CRU&amp;lang=en_US&amp;offset=0&amp;query=any,contains,991001612479702656","Catalog Record")</f>
        <v>Catalog Record</v>
      </c>
      <c r="AT1270" s="6" t="str">
        <f>HYPERLINK("http://www.worldcat.org/oclc/20754375","WorldCat Record")</f>
        <v>WorldCat Record</v>
      </c>
      <c r="AU1270" s="3" t="s">
        <v>16481</v>
      </c>
      <c r="AV1270" s="3" t="s">
        <v>16482</v>
      </c>
      <c r="AW1270" s="3" t="s">
        <v>16483</v>
      </c>
      <c r="AX1270" s="3" t="s">
        <v>16483</v>
      </c>
      <c r="AY1270" s="3" t="s">
        <v>16484</v>
      </c>
      <c r="AZ1270" s="3" t="s">
        <v>74</v>
      </c>
      <c r="BB1270" s="3" t="s">
        <v>16485</v>
      </c>
      <c r="BC1270" s="3" t="s">
        <v>16486</v>
      </c>
      <c r="BD1270" s="3" t="s">
        <v>16487</v>
      </c>
    </row>
    <row r="1271" spans="1:56" ht="45.75" customHeight="1" x14ac:dyDescent="0.25">
      <c r="A1271" s="7" t="s">
        <v>58</v>
      </c>
      <c r="B1271" s="2" t="s">
        <v>16488</v>
      </c>
      <c r="C1271" s="2" t="s">
        <v>16489</v>
      </c>
      <c r="D1271" s="2" t="s">
        <v>16490</v>
      </c>
      <c r="F1271" s="3" t="s">
        <v>58</v>
      </c>
      <c r="G1271" s="3" t="s">
        <v>59</v>
      </c>
      <c r="H1271" s="3" t="s">
        <v>58</v>
      </c>
      <c r="I1271" s="3" t="s">
        <v>58</v>
      </c>
      <c r="J1271" s="3" t="s">
        <v>60</v>
      </c>
      <c r="K1271" s="2" t="s">
        <v>16491</v>
      </c>
      <c r="L1271" s="2" t="s">
        <v>2174</v>
      </c>
      <c r="M1271" s="3" t="s">
        <v>116</v>
      </c>
      <c r="O1271" s="3" t="s">
        <v>65</v>
      </c>
      <c r="P1271" s="3" t="s">
        <v>148</v>
      </c>
      <c r="R1271" s="3" t="s">
        <v>67</v>
      </c>
      <c r="S1271" s="4">
        <v>15</v>
      </c>
      <c r="T1271" s="4">
        <v>15</v>
      </c>
      <c r="U1271" s="5" t="s">
        <v>16492</v>
      </c>
      <c r="V1271" s="5" t="s">
        <v>16492</v>
      </c>
      <c r="W1271" s="5" t="s">
        <v>16493</v>
      </c>
      <c r="X1271" s="5" t="s">
        <v>16493</v>
      </c>
      <c r="Y1271" s="4">
        <v>1139</v>
      </c>
      <c r="Z1271" s="4">
        <v>1050</v>
      </c>
      <c r="AA1271" s="4">
        <v>1103</v>
      </c>
      <c r="AB1271" s="4">
        <v>9</v>
      </c>
      <c r="AC1271" s="4">
        <v>9</v>
      </c>
      <c r="AD1271" s="4">
        <v>53</v>
      </c>
      <c r="AE1271" s="4">
        <v>53</v>
      </c>
      <c r="AF1271" s="4">
        <v>17</v>
      </c>
      <c r="AG1271" s="4">
        <v>17</v>
      </c>
      <c r="AH1271" s="4">
        <v>10</v>
      </c>
      <c r="AI1271" s="4">
        <v>10</v>
      </c>
      <c r="AJ1271" s="4">
        <v>19</v>
      </c>
      <c r="AK1271" s="4">
        <v>19</v>
      </c>
      <c r="AL1271" s="4">
        <v>8</v>
      </c>
      <c r="AM1271" s="4">
        <v>8</v>
      </c>
      <c r="AN1271" s="4">
        <v>9</v>
      </c>
      <c r="AO1271" s="4">
        <v>9</v>
      </c>
      <c r="AP1271" s="3" t="s">
        <v>58</v>
      </c>
      <c r="AQ1271" s="3" t="s">
        <v>87</v>
      </c>
      <c r="AR1271" s="6" t="str">
        <f>HYPERLINK("http://catalog.hathitrust.org/Record/003969696","HathiTrust Record")</f>
        <v>HathiTrust Record</v>
      </c>
      <c r="AS1271" s="6" t="str">
        <f>HYPERLINK("https://creighton-primo.hosted.exlibrisgroup.com/primo-explore/search?tab=default_tab&amp;search_scope=EVERYTHING&amp;vid=01CRU&amp;lang=en_US&amp;offset=0&amp;query=any,contains,991005427079702656","Catalog Record")</f>
        <v>Catalog Record</v>
      </c>
      <c r="AT1271" s="6" t="str">
        <f>HYPERLINK("http://www.worldcat.org/oclc/37608280","WorldCat Record")</f>
        <v>WorldCat Record</v>
      </c>
      <c r="AU1271" s="3" t="s">
        <v>16494</v>
      </c>
      <c r="AV1271" s="3" t="s">
        <v>16495</v>
      </c>
      <c r="AW1271" s="3" t="s">
        <v>16496</v>
      </c>
      <c r="AX1271" s="3" t="s">
        <v>16496</v>
      </c>
      <c r="AY1271" s="3" t="s">
        <v>16497</v>
      </c>
      <c r="AZ1271" s="3" t="s">
        <v>74</v>
      </c>
      <c r="BB1271" s="3" t="s">
        <v>16498</v>
      </c>
      <c r="BC1271" s="3" t="s">
        <v>16499</v>
      </c>
      <c r="BD1271" s="3" t="s">
        <v>16500</v>
      </c>
    </row>
    <row r="1272" spans="1:56" ht="45.75" customHeight="1" x14ac:dyDescent="0.25">
      <c r="A1272" s="7" t="s">
        <v>58</v>
      </c>
      <c r="B1272" s="2" t="s">
        <v>16501</v>
      </c>
      <c r="C1272" s="2" t="s">
        <v>16502</v>
      </c>
      <c r="D1272" s="2" t="s">
        <v>16503</v>
      </c>
      <c r="F1272" s="3" t="s">
        <v>58</v>
      </c>
      <c r="G1272" s="3" t="s">
        <v>59</v>
      </c>
      <c r="H1272" s="3" t="s">
        <v>58</v>
      </c>
      <c r="I1272" s="3" t="s">
        <v>58</v>
      </c>
      <c r="J1272" s="3" t="s">
        <v>60</v>
      </c>
      <c r="K1272" s="2" t="s">
        <v>16504</v>
      </c>
      <c r="L1272" s="2" t="s">
        <v>16505</v>
      </c>
      <c r="M1272" s="3" t="s">
        <v>867</v>
      </c>
      <c r="O1272" s="3" t="s">
        <v>65</v>
      </c>
      <c r="P1272" s="3" t="s">
        <v>84</v>
      </c>
      <c r="R1272" s="3" t="s">
        <v>67</v>
      </c>
      <c r="S1272" s="4">
        <v>27</v>
      </c>
      <c r="T1272" s="4">
        <v>27</v>
      </c>
      <c r="U1272" s="5" t="s">
        <v>10243</v>
      </c>
      <c r="V1272" s="5" t="s">
        <v>10243</v>
      </c>
      <c r="W1272" s="5" t="s">
        <v>16328</v>
      </c>
      <c r="X1272" s="5" t="s">
        <v>16328</v>
      </c>
      <c r="Y1272" s="4">
        <v>308</v>
      </c>
      <c r="Z1272" s="4">
        <v>265</v>
      </c>
      <c r="AA1272" s="4">
        <v>272</v>
      </c>
      <c r="AB1272" s="4">
        <v>3</v>
      </c>
      <c r="AC1272" s="4">
        <v>3</v>
      </c>
      <c r="AD1272" s="4">
        <v>11</v>
      </c>
      <c r="AE1272" s="4">
        <v>11</v>
      </c>
      <c r="AF1272" s="4">
        <v>1</v>
      </c>
      <c r="AG1272" s="4">
        <v>1</v>
      </c>
      <c r="AH1272" s="4">
        <v>3</v>
      </c>
      <c r="AI1272" s="4">
        <v>3</v>
      </c>
      <c r="AJ1272" s="4">
        <v>6</v>
      </c>
      <c r="AK1272" s="4">
        <v>6</v>
      </c>
      <c r="AL1272" s="4">
        <v>2</v>
      </c>
      <c r="AM1272" s="4">
        <v>2</v>
      </c>
      <c r="AN1272" s="4">
        <v>0</v>
      </c>
      <c r="AO1272" s="4">
        <v>0</v>
      </c>
      <c r="AP1272" s="3" t="s">
        <v>58</v>
      </c>
      <c r="AQ1272" s="3" t="s">
        <v>87</v>
      </c>
      <c r="AR1272" s="6" t="str">
        <f>HYPERLINK("http://catalog.hathitrust.org/Record/002523975","HathiTrust Record")</f>
        <v>HathiTrust Record</v>
      </c>
      <c r="AS1272" s="6" t="str">
        <f>HYPERLINK("https://creighton-primo.hosted.exlibrisgroup.com/primo-explore/search?tab=default_tab&amp;search_scope=EVERYTHING&amp;vid=01CRU&amp;lang=en_US&amp;offset=0&amp;query=any,contains,991001932019702656","Catalog Record")</f>
        <v>Catalog Record</v>
      </c>
      <c r="AT1272" s="6" t="str">
        <f>HYPERLINK("http://www.worldcat.org/oclc/24379710","WorldCat Record")</f>
        <v>WorldCat Record</v>
      </c>
      <c r="AU1272" s="3" t="s">
        <v>16506</v>
      </c>
      <c r="AV1272" s="3" t="s">
        <v>16507</v>
      </c>
      <c r="AW1272" s="3" t="s">
        <v>16508</v>
      </c>
      <c r="AX1272" s="3" t="s">
        <v>16508</v>
      </c>
      <c r="AY1272" s="3" t="s">
        <v>16509</v>
      </c>
      <c r="AZ1272" s="3" t="s">
        <v>74</v>
      </c>
      <c r="BB1272" s="3" t="s">
        <v>16510</v>
      </c>
      <c r="BC1272" s="3" t="s">
        <v>16511</v>
      </c>
      <c r="BD1272" s="3" t="s">
        <v>16512</v>
      </c>
    </row>
    <row r="1273" spans="1:56" ht="45.75" customHeight="1" x14ac:dyDescent="0.25">
      <c r="A1273" s="7" t="s">
        <v>58</v>
      </c>
      <c r="B1273" s="2" t="s">
        <v>16513</v>
      </c>
      <c r="C1273" s="2" t="s">
        <v>16514</v>
      </c>
      <c r="D1273" s="2" t="s">
        <v>16515</v>
      </c>
      <c r="F1273" s="3" t="s">
        <v>58</v>
      </c>
      <c r="G1273" s="3" t="s">
        <v>59</v>
      </c>
      <c r="H1273" s="3" t="s">
        <v>58</v>
      </c>
      <c r="I1273" s="3" t="s">
        <v>58</v>
      </c>
      <c r="J1273" s="3" t="s">
        <v>60</v>
      </c>
      <c r="K1273" s="2" t="s">
        <v>16516</v>
      </c>
      <c r="L1273" s="2" t="s">
        <v>16517</v>
      </c>
      <c r="M1273" s="3" t="s">
        <v>557</v>
      </c>
      <c r="O1273" s="3" t="s">
        <v>65</v>
      </c>
      <c r="P1273" s="3" t="s">
        <v>587</v>
      </c>
      <c r="R1273" s="3" t="s">
        <v>67</v>
      </c>
      <c r="S1273" s="4">
        <v>15</v>
      </c>
      <c r="T1273" s="4">
        <v>15</v>
      </c>
      <c r="U1273" s="5" t="s">
        <v>16518</v>
      </c>
      <c r="V1273" s="5" t="s">
        <v>16518</v>
      </c>
      <c r="W1273" s="5" t="s">
        <v>16519</v>
      </c>
      <c r="X1273" s="5" t="s">
        <v>16519</v>
      </c>
      <c r="Y1273" s="4">
        <v>557</v>
      </c>
      <c r="Z1273" s="4">
        <v>507</v>
      </c>
      <c r="AA1273" s="4">
        <v>695</v>
      </c>
      <c r="AB1273" s="4">
        <v>3</v>
      </c>
      <c r="AC1273" s="4">
        <v>3</v>
      </c>
      <c r="AD1273" s="4">
        <v>11</v>
      </c>
      <c r="AE1273" s="4">
        <v>22</v>
      </c>
      <c r="AF1273" s="4">
        <v>1</v>
      </c>
      <c r="AG1273" s="4">
        <v>9</v>
      </c>
      <c r="AH1273" s="4">
        <v>3</v>
      </c>
      <c r="AI1273" s="4">
        <v>6</v>
      </c>
      <c r="AJ1273" s="4">
        <v>6</v>
      </c>
      <c r="AK1273" s="4">
        <v>10</v>
      </c>
      <c r="AL1273" s="4">
        <v>2</v>
      </c>
      <c r="AM1273" s="4">
        <v>2</v>
      </c>
      <c r="AN1273" s="4">
        <v>1</v>
      </c>
      <c r="AO1273" s="4">
        <v>1</v>
      </c>
      <c r="AP1273" s="3" t="s">
        <v>58</v>
      </c>
      <c r="AQ1273" s="3" t="s">
        <v>58</v>
      </c>
      <c r="AS1273" s="6" t="str">
        <f>HYPERLINK("https://creighton-primo.hosted.exlibrisgroup.com/primo-explore/search?tab=default_tab&amp;search_scope=EVERYTHING&amp;vid=01CRU&amp;lang=en_US&amp;offset=0&amp;query=any,contains,991002118419702656","Catalog Record")</f>
        <v>Catalog Record</v>
      </c>
      <c r="AT1273" s="6" t="str">
        <f>HYPERLINK("http://www.worldcat.org/oclc/27147080","WorldCat Record")</f>
        <v>WorldCat Record</v>
      </c>
      <c r="AU1273" s="3" t="s">
        <v>16520</v>
      </c>
      <c r="AV1273" s="3" t="s">
        <v>16521</v>
      </c>
      <c r="AW1273" s="3" t="s">
        <v>16522</v>
      </c>
      <c r="AX1273" s="3" t="s">
        <v>16522</v>
      </c>
      <c r="AY1273" s="3" t="s">
        <v>16523</v>
      </c>
      <c r="AZ1273" s="3" t="s">
        <v>74</v>
      </c>
      <c r="BB1273" s="3" t="s">
        <v>16524</v>
      </c>
      <c r="BC1273" s="3" t="s">
        <v>16525</v>
      </c>
      <c r="BD1273" s="3" t="s">
        <v>16526</v>
      </c>
    </row>
    <row r="1274" spans="1:56" ht="45.75" customHeight="1" x14ac:dyDescent="0.25">
      <c r="A1274" s="7" t="s">
        <v>58</v>
      </c>
      <c r="B1274" s="2" t="s">
        <v>16527</v>
      </c>
      <c r="C1274" s="2" t="s">
        <v>16528</v>
      </c>
      <c r="D1274" s="2" t="s">
        <v>16529</v>
      </c>
      <c r="F1274" s="3" t="s">
        <v>58</v>
      </c>
      <c r="G1274" s="3" t="s">
        <v>59</v>
      </c>
      <c r="H1274" s="3" t="s">
        <v>58</v>
      </c>
      <c r="I1274" s="3" t="s">
        <v>58</v>
      </c>
      <c r="J1274" s="3" t="s">
        <v>60</v>
      </c>
      <c r="K1274" s="2" t="s">
        <v>16530</v>
      </c>
      <c r="L1274" s="2" t="s">
        <v>16531</v>
      </c>
      <c r="M1274" s="3" t="s">
        <v>742</v>
      </c>
      <c r="O1274" s="3" t="s">
        <v>65</v>
      </c>
      <c r="P1274" s="3" t="s">
        <v>148</v>
      </c>
      <c r="R1274" s="3" t="s">
        <v>67</v>
      </c>
      <c r="S1274" s="4">
        <v>24</v>
      </c>
      <c r="T1274" s="4">
        <v>24</v>
      </c>
      <c r="U1274" s="5" t="s">
        <v>16275</v>
      </c>
      <c r="V1274" s="5" t="s">
        <v>16275</v>
      </c>
      <c r="W1274" s="5" t="s">
        <v>16532</v>
      </c>
      <c r="X1274" s="5" t="s">
        <v>16532</v>
      </c>
      <c r="Y1274" s="4">
        <v>577</v>
      </c>
      <c r="Z1274" s="4">
        <v>516</v>
      </c>
      <c r="AA1274" s="4">
        <v>518</v>
      </c>
      <c r="AB1274" s="4">
        <v>3</v>
      </c>
      <c r="AC1274" s="4">
        <v>3</v>
      </c>
      <c r="AD1274" s="4">
        <v>20</v>
      </c>
      <c r="AE1274" s="4">
        <v>20</v>
      </c>
      <c r="AF1274" s="4">
        <v>5</v>
      </c>
      <c r="AG1274" s="4">
        <v>5</v>
      </c>
      <c r="AH1274" s="4">
        <v>3</v>
      </c>
      <c r="AI1274" s="4">
        <v>3</v>
      </c>
      <c r="AJ1274" s="4">
        <v>6</v>
      </c>
      <c r="AK1274" s="4">
        <v>6</v>
      </c>
      <c r="AL1274" s="4">
        <v>2</v>
      </c>
      <c r="AM1274" s="4">
        <v>2</v>
      </c>
      <c r="AN1274" s="4">
        <v>7</v>
      </c>
      <c r="AO1274" s="4">
        <v>7</v>
      </c>
      <c r="AP1274" s="3" t="s">
        <v>58</v>
      </c>
      <c r="AQ1274" s="3" t="s">
        <v>87</v>
      </c>
      <c r="AR1274" s="6" t="str">
        <f>HYPERLINK("http://catalog.hathitrust.org/Record/001547693","HathiTrust Record")</f>
        <v>HathiTrust Record</v>
      </c>
      <c r="AS1274" s="6" t="str">
        <f>HYPERLINK("https://creighton-primo.hosted.exlibrisgroup.com/primo-explore/search?tab=default_tab&amp;search_scope=EVERYTHING&amp;vid=01CRU&amp;lang=en_US&amp;offset=0&amp;query=any,contains,991001507139702656","Catalog Record")</f>
        <v>Catalog Record</v>
      </c>
      <c r="AT1274" s="6" t="str">
        <f>HYPERLINK("http://www.worldcat.org/oclc/19846910","WorldCat Record")</f>
        <v>WorldCat Record</v>
      </c>
      <c r="AU1274" s="3" t="s">
        <v>16533</v>
      </c>
      <c r="AV1274" s="3" t="s">
        <v>16534</v>
      </c>
      <c r="AW1274" s="3" t="s">
        <v>16535</v>
      </c>
      <c r="AX1274" s="3" t="s">
        <v>16535</v>
      </c>
      <c r="AY1274" s="3" t="s">
        <v>16536</v>
      </c>
      <c r="AZ1274" s="3" t="s">
        <v>74</v>
      </c>
      <c r="BB1274" s="3" t="s">
        <v>16537</v>
      </c>
      <c r="BC1274" s="3" t="s">
        <v>16538</v>
      </c>
      <c r="BD1274" s="3" t="s">
        <v>16539</v>
      </c>
    </row>
    <row r="1275" spans="1:56" ht="45.75" customHeight="1" x14ac:dyDescent="0.25">
      <c r="A1275" s="7" t="s">
        <v>58</v>
      </c>
      <c r="B1275" s="2" t="s">
        <v>16540</v>
      </c>
      <c r="C1275" s="2" t="s">
        <v>16541</v>
      </c>
      <c r="D1275" s="2" t="s">
        <v>16542</v>
      </c>
      <c r="F1275" s="3" t="s">
        <v>58</v>
      </c>
      <c r="G1275" s="3" t="s">
        <v>59</v>
      </c>
      <c r="H1275" s="3" t="s">
        <v>58</v>
      </c>
      <c r="I1275" s="3" t="s">
        <v>58</v>
      </c>
      <c r="J1275" s="3" t="s">
        <v>60</v>
      </c>
      <c r="K1275" s="2" t="s">
        <v>16543</v>
      </c>
      <c r="L1275" s="2" t="s">
        <v>16544</v>
      </c>
      <c r="M1275" s="3" t="s">
        <v>2324</v>
      </c>
      <c r="O1275" s="3" t="s">
        <v>65</v>
      </c>
      <c r="P1275" s="3" t="s">
        <v>84</v>
      </c>
      <c r="R1275" s="3" t="s">
        <v>67</v>
      </c>
      <c r="S1275" s="4">
        <v>26</v>
      </c>
      <c r="T1275" s="4">
        <v>26</v>
      </c>
      <c r="U1275" s="5" t="s">
        <v>16518</v>
      </c>
      <c r="V1275" s="5" t="s">
        <v>16518</v>
      </c>
      <c r="W1275" s="5" t="s">
        <v>5876</v>
      </c>
      <c r="X1275" s="5" t="s">
        <v>5876</v>
      </c>
      <c r="Y1275" s="4">
        <v>629</v>
      </c>
      <c r="Z1275" s="4">
        <v>557</v>
      </c>
      <c r="AA1275" s="4">
        <v>573</v>
      </c>
      <c r="AB1275" s="4">
        <v>9</v>
      </c>
      <c r="AC1275" s="4">
        <v>9</v>
      </c>
      <c r="AD1275" s="4">
        <v>33</v>
      </c>
      <c r="AE1275" s="4">
        <v>34</v>
      </c>
      <c r="AF1275" s="4">
        <v>12</v>
      </c>
      <c r="AG1275" s="4">
        <v>13</v>
      </c>
      <c r="AH1275" s="4">
        <v>7</v>
      </c>
      <c r="AI1275" s="4">
        <v>7</v>
      </c>
      <c r="AJ1275" s="4">
        <v>12</v>
      </c>
      <c r="AK1275" s="4">
        <v>12</v>
      </c>
      <c r="AL1275" s="4">
        <v>7</v>
      </c>
      <c r="AM1275" s="4">
        <v>7</v>
      </c>
      <c r="AN1275" s="4">
        <v>1</v>
      </c>
      <c r="AO1275" s="4">
        <v>1</v>
      </c>
      <c r="AP1275" s="3" t="s">
        <v>58</v>
      </c>
      <c r="AQ1275" s="3" t="s">
        <v>87</v>
      </c>
      <c r="AR1275" s="6" t="str">
        <f>HYPERLINK("http://catalog.hathitrust.org/Record/000119249","HathiTrust Record")</f>
        <v>HathiTrust Record</v>
      </c>
      <c r="AS1275" s="6" t="str">
        <f>HYPERLINK("https://creighton-primo.hosted.exlibrisgroup.com/primo-explore/search?tab=default_tab&amp;search_scope=EVERYTHING&amp;vid=01CRU&amp;lang=en_US&amp;offset=0&amp;query=any,contains,991000239259702656","Catalog Record")</f>
        <v>Catalog Record</v>
      </c>
      <c r="AT1275" s="6" t="str">
        <f>HYPERLINK("http://www.worldcat.org/oclc/9682706","WorldCat Record")</f>
        <v>WorldCat Record</v>
      </c>
      <c r="AU1275" s="3" t="s">
        <v>16545</v>
      </c>
      <c r="AV1275" s="3" t="s">
        <v>16546</v>
      </c>
      <c r="AW1275" s="3" t="s">
        <v>16547</v>
      </c>
      <c r="AX1275" s="3" t="s">
        <v>16547</v>
      </c>
      <c r="AY1275" s="3" t="s">
        <v>16548</v>
      </c>
      <c r="AZ1275" s="3" t="s">
        <v>74</v>
      </c>
      <c r="BB1275" s="3" t="s">
        <v>16549</v>
      </c>
      <c r="BC1275" s="3" t="s">
        <v>16550</v>
      </c>
      <c r="BD1275" s="3" t="s">
        <v>16551</v>
      </c>
    </row>
    <row r="1276" spans="1:56" ht="45.75" customHeight="1" x14ac:dyDescent="0.25">
      <c r="A1276" s="7" t="s">
        <v>58</v>
      </c>
      <c r="B1276" s="2" t="s">
        <v>16552</v>
      </c>
      <c r="C1276" s="2" t="s">
        <v>16553</v>
      </c>
      <c r="D1276" s="2" t="s">
        <v>16554</v>
      </c>
      <c r="F1276" s="3" t="s">
        <v>58</v>
      </c>
      <c r="G1276" s="3" t="s">
        <v>59</v>
      </c>
      <c r="H1276" s="3" t="s">
        <v>58</v>
      </c>
      <c r="I1276" s="3" t="s">
        <v>58</v>
      </c>
      <c r="J1276" s="3" t="s">
        <v>60</v>
      </c>
      <c r="K1276" s="2" t="s">
        <v>16555</v>
      </c>
      <c r="L1276" s="2" t="s">
        <v>16556</v>
      </c>
      <c r="M1276" s="3" t="s">
        <v>203</v>
      </c>
      <c r="O1276" s="3" t="s">
        <v>65</v>
      </c>
      <c r="P1276" s="3" t="s">
        <v>84</v>
      </c>
      <c r="R1276" s="3" t="s">
        <v>67</v>
      </c>
      <c r="S1276" s="4">
        <v>4</v>
      </c>
      <c r="T1276" s="4">
        <v>4</v>
      </c>
      <c r="U1276" s="5" t="s">
        <v>16557</v>
      </c>
      <c r="V1276" s="5" t="s">
        <v>16557</v>
      </c>
      <c r="W1276" s="5" t="s">
        <v>16558</v>
      </c>
      <c r="X1276" s="5" t="s">
        <v>16558</v>
      </c>
      <c r="Y1276" s="4">
        <v>563</v>
      </c>
      <c r="Z1276" s="4">
        <v>505</v>
      </c>
      <c r="AA1276" s="4">
        <v>788</v>
      </c>
      <c r="AB1276" s="4">
        <v>4</v>
      </c>
      <c r="AC1276" s="4">
        <v>7</v>
      </c>
      <c r="AD1276" s="4">
        <v>27</v>
      </c>
      <c r="AE1276" s="4">
        <v>41</v>
      </c>
      <c r="AF1276" s="4">
        <v>9</v>
      </c>
      <c r="AG1276" s="4">
        <v>14</v>
      </c>
      <c r="AH1276" s="4">
        <v>4</v>
      </c>
      <c r="AI1276" s="4">
        <v>9</v>
      </c>
      <c r="AJ1276" s="4">
        <v>13</v>
      </c>
      <c r="AK1276" s="4">
        <v>16</v>
      </c>
      <c r="AL1276" s="4">
        <v>3</v>
      </c>
      <c r="AM1276" s="4">
        <v>6</v>
      </c>
      <c r="AN1276" s="4">
        <v>3</v>
      </c>
      <c r="AO1276" s="4">
        <v>3</v>
      </c>
      <c r="AP1276" s="3" t="s">
        <v>58</v>
      </c>
      <c r="AQ1276" s="3" t="s">
        <v>58</v>
      </c>
      <c r="AS1276" s="6" t="str">
        <f>HYPERLINK("https://creighton-primo.hosted.exlibrisgroup.com/primo-explore/search?tab=default_tab&amp;search_scope=EVERYTHING&amp;vid=01CRU&amp;lang=en_US&amp;offset=0&amp;query=any,contains,991003888179702656","Catalog Record")</f>
        <v>Catalog Record</v>
      </c>
      <c r="AT1276" s="6" t="str">
        <f>HYPERLINK("http://www.worldcat.org/oclc/47665460","WorldCat Record")</f>
        <v>WorldCat Record</v>
      </c>
      <c r="AU1276" s="3" t="s">
        <v>16559</v>
      </c>
      <c r="AV1276" s="3" t="s">
        <v>16560</v>
      </c>
      <c r="AW1276" s="3" t="s">
        <v>16561</v>
      </c>
      <c r="AX1276" s="3" t="s">
        <v>16561</v>
      </c>
      <c r="AY1276" s="3" t="s">
        <v>16562</v>
      </c>
      <c r="AZ1276" s="3" t="s">
        <v>74</v>
      </c>
      <c r="BB1276" s="3" t="s">
        <v>16563</v>
      </c>
      <c r="BC1276" s="3" t="s">
        <v>16564</v>
      </c>
      <c r="BD1276" s="3" t="s">
        <v>16565</v>
      </c>
    </row>
    <row r="1277" spans="1:56" ht="45.75" customHeight="1" x14ac:dyDescent="0.25">
      <c r="A1277" s="7" t="s">
        <v>58</v>
      </c>
      <c r="B1277" s="2" t="s">
        <v>16566</v>
      </c>
      <c r="C1277" s="2" t="s">
        <v>16567</v>
      </c>
      <c r="D1277" s="2" t="s">
        <v>16568</v>
      </c>
      <c r="F1277" s="3" t="s">
        <v>58</v>
      </c>
      <c r="G1277" s="3" t="s">
        <v>59</v>
      </c>
      <c r="H1277" s="3" t="s">
        <v>58</v>
      </c>
      <c r="I1277" s="3" t="s">
        <v>58</v>
      </c>
      <c r="J1277" s="3" t="s">
        <v>60</v>
      </c>
      <c r="K1277" s="2" t="s">
        <v>16569</v>
      </c>
      <c r="L1277" s="2" t="s">
        <v>16570</v>
      </c>
      <c r="M1277" s="3" t="s">
        <v>1058</v>
      </c>
      <c r="N1277" s="2" t="s">
        <v>64</v>
      </c>
      <c r="O1277" s="3" t="s">
        <v>65</v>
      </c>
      <c r="P1277" s="3" t="s">
        <v>84</v>
      </c>
      <c r="R1277" s="3" t="s">
        <v>67</v>
      </c>
      <c r="S1277" s="4">
        <v>25</v>
      </c>
      <c r="T1277" s="4">
        <v>25</v>
      </c>
      <c r="U1277" s="5" t="s">
        <v>16518</v>
      </c>
      <c r="V1277" s="5" t="s">
        <v>16518</v>
      </c>
      <c r="W1277" s="5" t="s">
        <v>16571</v>
      </c>
      <c r="X1277" s="5" t="s">
        <v>16571</v>
      </c>
      <c r="Y1277" s="4">
        <v>253</v>
      </c>
      <c r="Z1277" s="4">
        <v>225</v>
      </c>
      <c r="AA1277" s="4">
        <v>496</v>
      </c>
      <c r="AB1277" s="4">
        <v>1</v>
      </c>
      <c r="AC1277" s="4">
        <v>3</v>
      </c>
      <c r="AD1277" s="4">
        <v>9</v>
      </c>
      <c r="AE1277" s="4">
        <v>18</v>
      </c>
      <c r="AF1277" s="4">
        <v>2</v>
      </c>
      <c r="AG1277" s="4">
        <v>7</v>
      </c>
      <c r="AH1277" s="4">
        <v>1</v>
      </c>
      <c r="AI1277" s="4">
        <v>1</v>
      </c>
      <c r="AJ1277" s="4">
        <v>8</v>
      </c>
      <c r="AK1277" s="4">
        <v>12</v>
      </c>
      <c r="AL1277" s="4">
        <v>0</v>
      </c>
      <c r="AM1277" s="4">
        <v>2</v>
      </c>
      <c r="AN1277" s="4">
        <v>0</v>
      </c>
      <c r="AO1277" s="4">
        <v>0</v>
      </c>
      <c r="AP1277" s="3" t="s">
        <v>58</v>
      </c>
      <c r="AQ1277" s="3" t="s">
        <v>58</v>
      </c>
      <c r="AS1277" s="6" t="str">
        <f>HYPERLINK("https://creighton-primo.hosted.exlibrisgroup.com/primo-explore/search?tab=default_tab&amp;search_scope=EVERYTHING&amp;vid=01CRU&amp;lang=en_US&amp;offset=0&amp;query=any,contains,991001263729702656","Catalog Record")</f>
        <v>Catalog Record</v>
      </c>
      <c r="AT1277" s="6" t="str">
        <f>HYPERLINK("http://www.worldcat.org/oclc/17783861","WorldCat Record")</f>
        <v>WorldCat Record</v>
      </c>
      <c r="AU1277" s="3" t="s">
        <v>16572</v>
      </c>
      <c r="AV1277" s="3" t="s">
        <v>16573</v>
      </c>
      <c r="AW1277" s="3" t="s">
        <v>16574</v>
      </c>
      <c r="AX1277" s="3" t="s">
        <v>16574</v>
      </c>
      <c r="AY1277" s="3" t="s">
        <v>16575</v>
      </c>
      <c r="AZ1277" s="3" t="s">
        <v>74</v>
      </c>
      <c r="BB1277" s="3" t="s">
        <v>16576</v>
      </c>
      <c r="BC1277" s="3" t="s">
        <v>16577</v>
      </c>
      <c r="BD1277" s="3" t="s">
        <v>16578</v>
      </c>
    </row>
    <row r="1278" spans="1:56" ht="45.75" customHeight="1" x14ac:dyDescent="0.25">
      <c r="A1278" s="7" t="s">
        <v>58</v>
      </c>
      <c r="B1278" s="2" t="s">
        <v>16579</v>
      </c>
      <c r="C1278" s="2" t="s">
        <v>16580</v>
      </c>
      <c r="D1278" s="2" t="s">
        <v>16581</v>
      </c>
      <c r="F1278" s="3" t="s">
        <v>58</v>
      </c>
      <c r="G1278" s="3" t="s">
        <v>59</v>
      </c>
      <c r="H1278" s="3" t="s">
        <v>58</v>
      </c>
      <c r="I1278" s="3" t="s">
        <v>58</v>
      </c>
      <c r="J1278" s="3" t="s">
        <v>60</v>
      </c>
      <c r="K1278" s="2" t="s">
        <v>16582</v>
      </c>
      <c r="L1278" s="2" t="s">
        <v>16583</v>
      </c>
      <c r="M1278" s="3" t="s">
        <v>100</v>
      </c>
      <c r="O1278" s="3" t="s">
        <v>65</v>
      </c>
      <c r="P1278" s="3" t="s">
        <v>132</v>
      </c>
      <c r="R1278" s="3" t="s">
        <v>67</v>
      </c>
      <c r="S1278" s="4">
        <v>6</v>
      </c>
      <c r="T1278" s="4">
        <v>6</v>
      </c>
      <c r="U1278" s="5" t="s">
        <v>16584</v>
      </c>
      <c r="V1278" s="5" t="s">
        <v>16584</v>
      </c>
      <c r="W1278" s="5" t="s">
        <v>16585</v>
      </c>
      <c r="X1278" s="5" t="s">
        <v>16585</v>
      </c>
      <c r="Y1278" s="4">
        <v>438</v>
      </c>
      <c r="Z1278" s="4">
        <v>371</v>
      </c>
      <c r="AA1278" s="4">
        <v>373</v>
      </c>
      <c r="AB1278" s="4">
        <v>3</v>
      </c>
      <c r="AC1278" s="4">
        <v>3</v>
      </c>
      <c r="AD1278" s="4">
        <v>17</v>
      </c>
      <c r="AE1278" s="4">
        <v>17</v>
      </c>
      <c r="AF1278" s="4">
        <v>6</v>
      </c>
      <c r="AG1278" s="4">
        <v>6</v>
      </c>
      <c r="AH1278" s="4">
        <v>3</v>
      </c>
      <c r="AI1278" s="4">
        <v>3</v>
      </c>
      <c r="AJ1278" s="4">
        <v>4</v>
      </c>
      <c r="AK1278" s="4">
        <v>4</v>
      </c>
      <c r="AL1278" s="4">
        <v>1</v>
      </c>
      <c r="AM1278" s="4">
        <v>1</v>
      </c>
      <c r="AN1278" s="4">
        <v>5</v>
      </c>
      <c r="AO1278" s="4">
        <v>5</v>
      </c>
      <c r="AP1278" s="3" t="s">
        <v>58</v>
      </c>
      <c r="AQ1278" s="3" t="s">
        <v>87</v>
      </c>
      <c r="AR1278" s="6" t="str">
        <f>HYPERLINK("http://catalog.hathitrust.org/Record/004403041","HathiTrust Record")</f>
        <v>HathiTrust Record</v>
      </c>
      <c r="AS1278" s="6" t="str">
        <f>HYPERLINK("https://creighton-primo.hosted.exlibrisgroup.com/primo-explore/search?tab=default_tab&amp;search_scope=EVERYTHING&amp;vid=01CRU&amp;lang=en_US&amp;offset=0&amp;query=any,contains,991003785049702656","Catalog Record")</f>
        <v>Catalog Record</v>
      </c>
      <c r="AT1278" s="6" t="str">
        <f>HYPERLINK("http://www.worldcat.org/oclc/1500323","WorldCat Record")</f>
        <v>WorldCat Record</v>
      </c>
      <c r="AU1278" s="3" t="s">
        <v>16586</v>
      </c>
      <c r="AV1278" s="3" t="s">
        <v>16587</v>
      </c>
      <c r="AW1278" s="3" t="s">
        <v>16588</v>
      </c>
      <c r="AX1278" s="3" t="s">
        <v>16588</v>
      </c>
      <c r="AY1278" s="3" t="s">
        <v>16589</v>
      </c>
      <c r="AZ1278" s="3" t="s">
        <v>74</v>
      </c>
      <c r="BB1278" s="3" t="s">
        <v>16590</v>
      </c>
      <c r="BC1278" s="3" t="s">
        <v>16591</v>
      </c>
      <c r="BD1278" s="3" t="s">
        <v>16592</v>
      </c>
    </row>
    <row r="1279" spans="1:56" ht="45.75" customHeight="1" x14ac:dyDescent="0.25">
      <c r="A1279" s="7" t="s">
        <v>58</v>
      </c>
      <c r="B1279" s="2" t="s">
        <v>16593</v>
      </c>
      <c r="C1279" s="2" t="s">
        <v>16594</v>
      </c>
      <c r="D1279" s="2" t="s">
        <v>16595</v>
      </c>
      <c r="F1279" s="3" t="s">
        <v>58</v>
      </c>
      <c r="G1279" s="3" t="s">
        <v>59</v>
      </c>
      <c r="H1279" s="3" t="s">
        <v>87</v>
      </c>
      <c r="I1279" s="3" t="s">
        <v>58</v>
      </c>
      <c r="J1279" s="3" t="s">
        <v>60</v>
      </c>
      <c r="K1279" s="2" t="s">
        <v>16596</v>
      </c>
      <c r="L1279" s="2" t="s">
        <v>16597</v>
      </c>
      <c r="M1279" s="3" t="s">
        <v>1419</v>
      </c>
      <c r="O1279" s="3" t="s">
        <v>65</v>
      </c>
      <c r="P1279" s="3" t="s">
        <v>84</v>
      </c>
      <c r="R1279" s="3" t="s">
        <v>67</v>
      </c>
      <c r="S1279" s="4">
        <v>7</v>
      </c>
      <c r="T1279" s="4">
        <v>10</v>
      </c>
      <c r="U1279" s="5" t="s">
        <v>13332</v>
      </c>
      <c r="V1279" s="5" t="s">
        <v>13332</v>
      </c>
      <c r="W1279" s="5" t="s">
        <v>16598</v>
      </c>
      <c r="X1279" s="5" t="s">
        <v>16598</v>
      </c>
      <c r="Y1279" s="4">
        <v>735</v>
      </c>
      <c r="Z1279" s="4">
        <v>611</v>
      </c>
      <c r="AA1279" s="4">
        <v>618</v>
      </c>
      <c r="AB1279" s="4">
        <v>7</v>
      </c>
      <c r="AC1279" s="4">
        <v>7</v>
      </c>
      <c r="AD1279" s="4">
        <v>27</v>
      </c>
      <c r="AE1279" s="4">
        <v>27</v>
      </c>
      <c r="AF1279" s="4">
        <v>10</v>
      </c>
      <c r="AG1279" s="4">
        <v>10</v>
      </c>
      <c r="AH1279" s="4">
        <v>8</v>
      </c>
      <c r="AI1279" s="4">
        <v>8</v>
      </c>
      <c r="AJ1279" s="4">
        <v>13</v>
      </c>
      <c r="AK1279" s="4">
        <v>13</v>
      </c>
      <c r="AL1279" s="4">
        <v>4</v>
      </c>
      <c r="AM1279" s="4">
        <v>4</v>
      </c>
      <c r="AN1279" s="4">
        <v>0</v>
      </c>
      <c r="AO1279" s="4">
        <v>0</v>
      </c>
      <c r="AP1279" s="3" t="s">
        <v>58</v>
      </c>
      <c r="AQ1279" s="3" t="s">
        <v>58</v>
      </c>
      <c r="AS1279" s="6" t="str">
        <f>HYPERLINK("https://creighton-primo.hosted.exlibrisgroup.com/primo-explore/search?tab=default_tab&amp;search_scope=EVERYTHING&amp;vid=01CRU&amp;lang=en_US&amp;offset=0&amp;query=any,contains,991001767039702656","Catalog Record")</f>
        <v>Catalog Record</v>
      </c>
      <c r="AT1279" s="6" t="str">
        <f>HYPERLINK("http://www.worldcat.org/oclc/2818394","WorldCat Record")</f>
        <v>WorldCat Record</v>
      </c>
      <c r="AU1279" s="3" t="s">
        <v>16599</v>
      </c>
      <c r="AV1279" s="3" t="s">
        <v>16600</v>
      </c>
      <c r="AW1279" s="3" t="s">
        <v>16601</v>
      </c>
      <c r="AX1279" s="3" t="s">
        <v>16601</v>
      </c>
      <c r="AY1279" s="3" t="s">
        <v>16602</v>
      </c>
      <c r="AZ1279" s="3" t="s">
        <v>74</v>
      </c>
      <c r="BB1279" s="3" t="s">
        <v>16603</v>
      </c>
      <c r="BC1279" s="3" t="s">
        <v>16604</v>
      </c>
      <c r="BD1279" s="3" t="s">
        <v>16605</v>
      </c>
    </row>
    <row r="1280" spans="1:56" ht="45.75" customHeight="1" x14ac:dyDescent="0.25">
      <c r="A1280" s="7" t="s">
        <v>58</v>
      </c>
      <c r="B1280" s="2" t="s">
        <v>16606</v>
      </c>
      <c r="C1280" s="2" t="s">
        <v>16607</v>
      </c>
      <c r="D1280" s="2" t="s">
        <v>16608</v>
      </c>
      <c r="F1280" s="3" t="s">
        <v>58</v>
      </c>
      <c r="G1280" s="3" t="s">
        <v>59</v>
      </c>
      <c r="H1280" s="3" t="s">
        <v>58</v>
      </c>
      <c r="I1280" s="3" t="s">
        <v>58</v>
      </c>
      <c r="J1280" s="3" t="s">
        <v>60</v>
      </c>
      <c r="K1280" s="2" t="s">
        <v>16609</v>
      </c>
      <c r="L1280" s="2" t="s">
        <v>16610</v>
      </c>
      <c r="M1280" s="3" t="s">
        <v>867</v>
      </c>
      <c r="O1280" s="3" t="s">
        <v>65</v>
      </c>
      <c r="P1280" s="3" t="s">
        <v>190</v>
      </c>
      <c r="R1280" s="3" t="s">
        <v>67</v>
      </c>
      <c r="S1280" s="4">
        <v>17</v>
      </c>
      <c r="T1280" s="4">
        <v>17</v>
      </c>
      <c r="U1280" s="5" t="s">
        <v>15985</v>
      </c>
      <c r="V1280" s="5" t="s">
        <v>15985</v>
      </c>
      <c r="W1280" s="5" t="s">
        <v>16611</v>
      </c>
      <c r="X1280" s="5" t="s">
        <v>16611</v>
      </c>
      <c r="Y1280" s="4">
        <v>229</v>
      </c>
      <c r="Z1280" s="4">
        <v>202</v>
      </c>
      <c r="AA1280" s="4">
        <v>204</v>
      </c>
      <c r="AB1280" s="4">
        <v>3</v>
      </c>
      <c r="AC1280" s="4">
        <v>3</v>
      </c>
      <c r="AD1280" s="4">
        <v>9</v>
      </c>
      <c r="AE1280" s="4">
        <v>9</v>
      </c>
      <c r="AF1280" s="4">
        <v>2</v>
      </c>
      <c r="AG1280" s="4">
        <v>2</v>
      </c>
      <c r="AH1280" s="4">
        <v>2</v>
      </c>
      <c r="AI1280" s="4">
        <v>2</v>
      </c>
      <c r="AJ1280" s="4">
        <v>5</v>
      </c>
      <c r="AK1280" s="4">
        <v>5</v>
      </c>
      <c r="AL1280" s="4">
        <v>2</v>
      </c>
      <c r="AM1280" s="4">
        <v>2</v>
      </c>
      <c r="AN1280" s="4">
        <v>0</v>
      </c>
      <c r="AO1280" s="4">
        <v>0</v>
      </c>
      <c r="AP1280" s="3" t="s">
        <v>58</v>
      </c>
      <c r="AQ1280" s="3" t="s">
        <v>87</v>
      </c>
      <c r="AR1280" s="6" t="str">
        <f>HYPERLINK("http://catalog.hathitrust.org/Record/002566508","HathiTrust Record")</f>
        <v>HathiTrust Record</v>
      </c>
      <c r="AS1280" s="6" t="str">
        <f>HYPERLINK("https://creighton-primo.hosted.exlibrisgroup.com/primo-explore/search?tab=default_tab&amp;search_scope=EVERYTHING&amp;vid=01CRU&amp;lang=en_US&amp;offset=0&amp;query=any,contains,991001945979702656","Catalog Record")</f>
        <v>Catalog Record</v>
      </c>
      <c r="AT1280" s="6" t="str">
        <f>HYPERLINK("http://www.worldcat.org/oclc/24590252","WorldCat Record")</f>
        <v>WorldCat Record</v>
      </c>
      <c r="AU1280" s="3" t="s">
        <v>16612</v>
      </c>
      <c r="AV1280" s="3" t="s">
        <v>16613</v>
      </c>
      <c r="AW1280" s="3" t="s">
        <v>16614</v>
      </c>
      <c r="AX1280" s="3" t="s">
        <v>16614</v>
      </c>
      <c r="AY1280" s="3" t="s">
        <v>16615</v>
      </c>
      <c r="AZ1280" s="3" t="s">
        <v>74</v>
      </c>
      <c r="BB1280" s="3" t="s">
        <v>16616</v>
      </c>
      <c r="BC1280" s="3" t="s">
        <v>16617</v>
      </c>
      <c r="BD1280" s="3" t="s">
        <v>16618</v>
      </c>
    </row>
    <row r="1281" spans="1:56" ht="45.75" customHeight="1" x14ac:dyDescent="0.25">
      <c r="A1281" s="7" t="s">
        <v>58</v>
      </c>
      <c r="B1281" s="2" t="s">
        <v>16619</v>
      </c>
      <c r="C1281" s="2" t="s">
        <v>16620</v>
      </c>
      <c r="D1281" s="2" t="s">
        <v>16621</v>
      </c>
      <c r="F1281" s="3" t="s">
        <v>58</v>
      </c>
      <c r="G1281" s="3" t="s">
        <v>59</v>
      </c>
      <c r="H1281" s="3" t="s">
        <v>58</v>
      </c>
      <c r="I1281" s="3" t="s">
        <v>58</v>
      </c>
      <c r="J1281" s="3" t="s">
        <v>60</v>
      </c>
      <c r="K1281" s="2" t="s">
        <v>16622</v>
      </c>
      <c r="L1281" s="2" t="s">
        <v>16623</v>
      </c>
      <c r="M1281" s="3" t="s">
        <v>1032</v>
      </c>
      <c r="O1281" s="3" t="s">
        <v>65</v>
      </c>
      <c r="P1281" s="3" t="s">
        <v>84</v>
      </c>
      <c r="R1281" s="3" t="s">
        <v>67</v>
      </c>
      <c r="S1281" s="4">
        <v>7</v>
      </c>
      <c r="T1281" s="4">
        <v>7</v>
      </c>
      <c r="U1281" s="5" t="s">
        <v>12600</v>
      </c>
      <c r="V1281" s="5" t="s">
        <v>12600</v>
      </c>
      <c r="W1281" s="5" t="s">
        <v>16624</v>
      </c>
      <c r="X1281" s="5" t="s">
        <v>16624</v>
      </c>
      <c r="Y1281" s="4">
        <v>1035</v>
      </c>
      <c r="Z1281" s="4">
        <v>1009</v>
      </c>
      <c r="AA1281" s="4">
        <v>1120</v>
      </c>
      <c r="AB1281" s="4">
        <v>15</v>
      </c>
      <c r="AC1281" s="4">
        <v>15</v>
      </c>
      <c r="AD1281" s="4">
        <v>28</v>
      </c>
      <c r="AE1281" s="4">
        <v>29</v>
      </c>
      <c r="AF1281" s="4">
        <v>9</v>
      </c>
      <c r="AG1281" s="4">
        <v>10</v>
      </c>
      <c r="AH1281" s="4">
        <v>5</v>
      </c>
      <c r="AI1281" s="4">
        <v>5</v>
      </c>
      <c r="AJ1281" s="4">
        <v>12</v>
      </c>
      <c r="AK1281" s="4">
        <v>12</v>
      </c>
      <c r="AL1281" s="4">
        <v>9</v>
      </c>
      <c r="AM1281" s="4">
        <v>9</v>
      </c>
      <c r="AN1281" s="4">
        <v>0</v>
      </c>
      <c r="AO1281" s="4">
        <v>0</v>
      </c>
      <c r="AP1281" s="3" t="s">
        <v>58</v>
      </c>
      <c r="AQ1281" s="3" t="s">
        <v>58</v>
      </c>
      <c r="AS1281" s="6" t="str">
        <f>HYPERLINK("https://creighton-primo.hosted.exlibrisgroup.com/primo-explore/search?tab=default_tab&amp;search_scope=EVERYTHING&amp;vid=01CRU&amp;lang=en_US&amp;offset=0&amp;query=any,contains,991002751159702656","Catalog Record")</f>
        <v>Catalog Record</v>
      </c>
      <c r="AT1281" s="6" t="str">
        <f>HYPERLINK("http://www.worldcat.org/oclc/36103961","WorldCat Record")</f>
        <v>WorldCat Record</v>
      </c>
      <c r="AU1281" s="3" t="s">
        <v>16625</v>
      </c>
      <c r="AV1281" s="3" t="s">
        <v>16626</v>
      </c>
      <c r="AW1281" s="3" t="s">
        <v>16627</v>
      </c>
      <c r="AX1281" s="3" t="s">
        <v>16627</v>
      </c>
      <c r="AY1281" s="3" t="s">
        <v>16628</v>
      </c>
      <c r="AZ1281" s="3" t="s">
        <v>74</v>
      </c>
      <c r="BB1281" s="3" t="s">
        <v>16629</v>
      </c>
      <c r="BC1281" s="3" t="s">
        <v>16630</v>
      </c>
      <c r="BD1281" s="3" t="s">
        <v>16631</v>
      </c>
    </row>
    <row r="1282" spans="1:56" ht="45.75" customHeight="1" x14ac:dyDescent="0.25">
      <c r="A1282" s="7" t="s">
        <v>58</v>
      </c>
      <c r="B1282" s="2" t="s">
        <v>16632</v>
      </c>
      <c r="C1282" s="2" t="s">
        <v>16633</v>
      </c>
      <c r="D1282" s="2" t="s">
        <v>16634</v>
      </c>
      <c r="F1282" s="3" t="s">
        <v>58</v>
      </c>
      <c r="G1282" s="3" t="s">
        <v>59</v>
      </c>
      <c r="H1282" s="3" t="s">
        <v>58</v>
      </c>
      <c r="I1282" s="3" t="s">
        <v>58</v>
      </c>
      <c r="J1282" s="3" t="s">
        <v>60</v>
      </c>
      <c r="K1282" s="2" t="s">
        <v>16635</v>
      </c>
      <c r="L1282" s="2" t="s">
        <v>16636</v>
      </c>
      <c r="M1282" s="3" t="s">
        <v>1338</v>
      </c>
      <c r="O1282" s="3" t="s">
        <v>65</v>
      </c>
      <c r="P1282" s="3" t="s">
        <v>84</v>
      </c>
      <c r="R1282" s="3" t="s">
        <v>67</v>
      </c>
      <c r="S1282" s="4">
        <v>11</v>
      </c>
      <c r="T1282" s="4">
        <v>11</v>
      </c>
      <c r="U1282" s="5" t="s">
        <v>16637</v>
      </c>
      <c r="V1282" s="5" t="s">
        <v>16637</v>
      </c>
      <c r="W1282" s="5" t="s">
        <v>2274</v>
      </c>
      <c r="X1282" s="5" t="s">
        <v>2274</v>
      </c>
      <c r="Y1282" s="4">
        <v>413</v>
      </c>
      <c r="Z1282" s="4">
        <v>357</v>
      </c>
      <c r="AA1282" s="4">
        <v>390</v>
      </c>
      <c r="AB1282" s="4">
        <v>7</v>
      </c>
      <c r="AC1282" s="4">
        <v>7</v>
      </c>
      <c r="AD1282" s="4">
        <v>14</v>
      </c>
      <c r="AE1282" s="4">
        <v>19</v>
      </c>
      <c r="AF1282" s="4">
        <v>2</v>
      </c>
      <c r="AG1282" s="4">
        <v>3</v>
      </c>
      <c r="AH1282" s="4">
        <v>2</v>
      </c>
      <c r="AI1282" s="4">
        <v>2</v>
      </c>
      <c r="AJ1282" s="4">
        <v>3</v>
      </c>
      <c r="AK1282" s="4">
        <v>3</v>
      </c>
      <c r="AL1282" s="4">
        <v>5</v>
      </c>
      <c r="AM1282" s="4">
        <v>5</v>
      </c>
      <c r="AN1282" s="4">
        <v>2</v>
      </c>
      <c r="AO1282" s="4">
        <v>6</v>
      </c>
      <c r="AP1282" s="3" t="s">
        <v>87</v>
      </c>
      <c r="AQ1282" s="3" t="s">
        <v>58</v>
      </c>
      <c r="AR1282" s="6" t="str">
        <f>HYPERLINK("http://catalog.hathitrust.org/Record/001119982","HathiTrust Record")</f>
        <v>HathiTrust Record</v>
      </c>
      <c r="AS1282" s="6" t="str">
        <f>HYPERLINK("https://creighton-primo.hosted.exlibrisgroup.com/primo-explore/search?tab=default_tab&amp;search_scope=EVERYTHING&amp;vid=01CRU&amp;lang=en_US&amp;offset=0&amp;query=any,contains,991002072639702656","Catalog Record")</f>
        <v>Catalog Record</v>
      </c>
      <c r="AT1282" s="6" t="str">
        <f>HYPERLINK("http://www.worldcat.org/oclc/263673","WorldCat Record")</f>
        <v>WorldCat Record</v>
      </c>
      <c r="AU1282" s="3" t="s">
        <v>16638</v>
      </c>
      <c r="AV1282" s="3" t="s">
        <v>16639</v>
      </c>
      <c r="AW1282" s="3" t="s">
        <v>16640</v>
      </c>
      <c r="AX1282" s="3" t="s">
        <v>16640</v>
      </c>
      <c r="AY1282" s="3" t="s">
        <v>16641</v>
      </c>
      <c r="AZ1282" s="3" t="s">
        <v>74</v>
      </c>
      <c r="BC1282" s="3" t="s">
        <v>16642</v>
      </c>
      <c r="BD1282" s="3" t="s">
        <v>16643</v>
      </c>
    </row>
    <row r="1283" spans="1:56" ht="45.75" customHeight="1" x14ac:dyDescent="0.25">
      <c r="A1283" s="7" t="s">
        <v>58</v>
      </c>
      <c r="B1283" s="2" t="s">
        <v>16644</v>
      </c>
      <c r="C1283" s="2" t="s">
        <v>16645</v>
      </c>
      <c r="D1283" s="2" t="s">
        <v>16646</v>
      </c>
      <c r="F1283" s="3" t="s">
        <v>58</v>
      </c>
      <c r="G1283" s="3" t="s">
        <v>59</v>
      </c>
      <c r="H1283" s="3" t="s">
        <v>58</v>
      </c>
      <c r="I1283" s="3" t="s">
        <v>58</v>
      </c>
      <c r="J1283" s="3" t="s">
        <v>60</v>
      </c>
      <c r="K1283" s="2" t="s">
        <v>16647</v>
      </c>
      <c r="L1283" s="2" t="s">
        <v>16648</v>
      </c>
      <c r="M1283" s="3" t="s">
        <v>1662</v>
      </c>
      <c r="O1283" s="3" t="s">
        <v>65</v>
      </c>
      <c r="P1283" s="3" t="s">
        <v>190</v>
      </c>
      <c r="R1283" s="3" t="s">
        <v>67</v>
      </c>
      <c r="S1283" s="4">
        <v>2</v>
      </c>
      <c r="T1283" s="4">
        <v>2</v>
      </c>
      <c r="U1283" s="5" t="s">
        <v>16649</v>
      </c>
      <c r="V1283" s="5" t="s">
        <v>16649</v>
      </c>
      <c r="W1283" s="5" t="s">
        <v>9192</v>
      </c>
      <c r="X1283" s="5" t="s">
        <v>9192</v>
      </c>
      <c r="Y1283" s="4">
        <v>295</v>
      </c>
      <c r="Z1283" s="4">
        <v>261</v>
      </c>
      <c r="AA1283" s="4">
        <v>262</v>
      </c>
      <c r="AB1283" s="4">
        <v>4</v>
      </c>
      <c r="AC1283" s="4">
        <v>4</v>
      </c>
      <c r="AD1283" s="4">
        <v>16</v>
      </c>
      <c r="AE1283" s="4">
        <v>16</v>
      </c>
      <c r="AF1283" s="4">
        <v>2</v>
      </c>
      <c r="AG1283" s="4">
        <v>2</v>
      </c>
      <c r="AH1283" s="4">
        <v>4</v>
      </c>
      <c r="AI1283" s="4">
        <v>4</v>
      </c>
      <c r="AJ1283" s="4">
        <v>5</v>
      </c>
      <c r="AK1283" s="4">
        <v>5</v>
      </c>
      <c r="AL1283" s="4">
        <v>2</v>
      </c>
      <c r="AM1283" s="4">
        <v>2</v>
      </c>
      <c r="AN1283" s="4">
        <v>6</v>
      </c>
      <c r="AO1283" s="4">
        <v>6</v>
      </c>
      <c r="AP1283" s="3" t="s">
        <v>58</v>
      </c>
      <c r="AQ1283" s="3" t="s">
        <v>87</v>
      </c>
      <c r="AR1283" s="6" t="str">
        <f>HYPERLINK("http://catalog.hathitrust.org/Record/007478287","HathiTrust Record")</f>
        <v>HathiTrust Record</v>
      </c>
      <c r="AS1283" s="6" t="str">
        <f>HYPERLINK("https://creighton-primo.hosted.exlibrisgroup.com/primo-explore/search?tab=default_tab&amp;search_scope=EVERYTHING&amp;vid=01CRU&amp;lang=en_US&amp;offset=0&amp;query=any,contains,991002084399702656","Catalog Record")</f>
        <v>Catalog Record</v>
      </c>
      <c r="AT1283" s="6" t="str">
        <f>HYPERLINK("http://www.worldcat.org/oclc/265049","WorldCat Record")</f>
        <v>WorldCat Record</v>
      </c>
      <c r="AU1283" s="3" t="s">
        <v>16650</v>
      </c>
      <c r="AV1283" s="3" t="s">
        <v>16651</v>
      </c>
      <c r="AW1283" s="3" t="s">
        <v>16652</v>
      </c>
      <c r="AX1283" s="3" t="s">
        <v>16652</v>
      </c>
      <c r="AY1283" s="3" t="s">
        <v>16653</v>
      </c>
      <c r="AZ1283" s="3" t="s">
        <v>74</v>
      </c>
      <c r="BC1283" s="3" t="s">
        <v>16654</v>
      </c>
      <c r="BD1283" s="3" t="s">
        <v>16655</v>
      </c>
    </row>
    <row r="1284" spans="1:56" ht="45.75" customHeight="1" x14ac:dyDescent="0.25">
      <c r="A1284" s="7" t="s">
        <v>58</v>
      </c>
      <c r="B1284" s="2" t="s">
        <v>16656</v>
      </c>
      <c r="C1284" s="2" t="s">
        <v>16657</v>
      </c>
      <c r="D1284" s="2" t="s">
        <v>16658</v>
      </c>
      <c r="F1284" s="3" t="s">
        <v>58</v>
      </c>
      <c r="G1284" s="3" t="s">
        <v>59</v>
      </c>
      <c r="H1284" s="3" t="s">
        <v>58</v>
      </c>
      <c r="I1284" s="3" t="s">
        <v>58</v>
      </c>
      <c r="J1284" s="3" t="s">
        <v>60</v>
      </c>
      <c r="K1284" s="2" t="s">
        <v>16659</v>
      </c>
      <c r="L1284" s="2" t="s">
        <v>16660</v>
      </c>
      <c r="M1284" s="3" t="s">
        <v>923</v>
      </c>
      <c r="O1284" s="3" t="s">
        <v>65</v>
      </c>
      <c r="P1284" s="3" t="s">
        <v>84</v>
      </c>
      <c r="R1284" s="3" t="s">
        <v>67</v>
      </c>
      <c r="S1284" s="4">
        <v>10</v>
      </c>
      <c r="T1284" s="4">
        <v>10</v>
      </c>
      <c r="U1284" s="5" t="s">
        <v>16649</v>
      </c>
      <c r="V1284" s="5" t="s">
        <v>16649</v>
      </c>
      <c r="W1284" s="5" t="s">
        <v>5371</v>
      </c>
      <c r="X1284" s="5" t="s">
        <v>5371</v>
      </c>
      <c r="Y1284" s="4">
        <v>614</v>
      </c>
      <c r="Z1284" s="4">
        <v>523</v>
      </c>
      <c r="AA1284" s="4">
        <v>566</v>
      </c>
      <c r="AB1284" s="4">
        <v>5</v>
      </c>
      <c r="AC1284" s="4">
        <v>5</v>
      </c>
      <c r="AD1284" s="4">
        <v>29</v>
      </c>
      <c r="AE1284" s="4">
        <v>30</v>
      </c>
      <c r="AF1284" s="4">
        <v>9</v>
      </c>
      <c r="AG1284" s="4">
        <v>9</v>
      </c>
      <c r="AH1284" s="4">
        <v>5</v>
      </c>
      <c r="AI1284" s="4">
        <v>5</v>
      </c>
      <c r="AJ1284" s="4">
        <v>13</v>
      </c>
      <c r="AK1284" s="4">
        <v>14</v>
      </c>
      <c r="AL1284" s="4">
        <v>3</v>
      </c>
      <c r="AM1284" s="4">
        <v>3</v>
      </c>
      <c r="AN1284" s="4">
        <v>5</v>
      </c>
      <c r="AO1284" s="4">
        <v>5</v>
      </c>
      <c r="AP1284" s="3" t="s">
        <v>58</v>
      </c>
      <c r="AQ1284" s="3" t="s">
        <v>87</v>
      </c>
      <c r="AR1284" s="6" t="str">
        <f>HYPERLINK("http://catalog.hathitrust.org/Record/000269780","HathiTrust Record")</f>
        <v>HathiTrust Record</v>
      </c>
      <c r="AS1284" s="6" t="str">
        <f>HYPERLINK("https://creighton-primo.hosted.exlibrisgroup.com/primo-explore/search?tab=default_tab&amp;search_scope=EVERYTHING&amp;vid=01CRU&amp;lang=en_US&amp;offset=0&amp;query=any,contains,991000024819702656","Catalog Record")</f>
        <v>Catalog Record</v>
      </c>
      <c r="AT1284" s="6" t="str">
        <f>HYPERLINK("http://www.worldcat.org/oclc/8588091","WorldCat Record")</f>
        <v>WorldCat Record</v>
      </c>
      <c r="AU1284" s="3" t="s">
        <v>16661</v>
      </c>
      <c r="AV1284" s="3" t="s">
        <v>16662</v>
      </c>
      <c r="AW1284" s="3" t="s">
        <v>16663</v>
      </c>
      <c r="AX1284" s="3" t="s">
        <v>16663</v>
      </c>
      <c r="AY1284" s="3" t="s">
        <v>16664</v>
      </c>
      <c r="AZ1284" s="3" t="s">
        <v>74</v>
      </c>
      <c r="BB1284" s="3" t="s">
        <v>16665</v>
      </c>
      <c r="BC1284" s="3" t="s">
        <v>16666</v>
      </c>
      <c r="BD1284" s="3" t="s">
        <v>16667</v>
      </c>
    </row>
    <row r="1285" spans="1:56" ht="45.75" customHeight="1" x14ac:dyDescent="0.25">
      <c r="A1285" s="7" t="s">
        <v>58</v>
      </c>
      <c r="B1285" s="2" t="s">
        <v>16668</v>
      </c>
      <c r="C1285" s="2" t="s">
        <v>16669</v>
      </c>
      <c r="D1285" s="2" t="s">
        <v>16670</v>
      </c>
      <c r="F1285" s="3" t="s">
        <v>58</v>
      </c>
      <c r="G1285" s="3" t="s">
        <v>59</v>
      </c>
      <c r="H1285" s="3" t="s">
        <v>58</v>
      </c>
      <c r="I1285" s="3" t="s">
        <v>58</v>
      </c>
      <c r="J1285" s="3" t="s">
        <v>60</v>
      </c>
      <c r="K1285" s="2" t="s">
        <v>16671</v>
      </c>
      <c r="L1285" s="2" t="s">
        <v>1045</v>
      </c>
      <c r="M1285" s="3" t="s">
        <v>713</v>
      </c>
      <c r="O1285" s="3" t="s">
        <v>65</v>
      </c>
      <c r="P1285" s="3" t="s">
        <v>148</v>
      </c>
      <c r="R1285" s="3" t="s">
        <v>67</v>
      </c>
      <c r="S1285" s="4">
        <v>11</v>
      </c>
      <c r="T1285" s="4">
        <v>11</v>
      </c>
      <c r="U1285" s="5" t="s">
        <v>16649</v>
      </c>
      <c r="V1285" s="5" t="s">
        <v>16649</v>
      </c>
      <c r="W1285" s="5" t="s">
        <v>11348</v>
      </c>
      <c r="X1285" s="5" t="s">
        <v>11348</v>
      </c>
      <c r="Y1285" s="4">
        <v>377</v>
      </c>
      <c r="Z1285" s="4">
        <v>315</v>
      </c>
      <c r="AA1285" s="4">
        <v>316</v>
      </c>
      <c r="AB1285" s="4">
        <v>3</v>
      </c>
      <c r="AC1285" s="4">
        <v>3</v>
      </c>
      <c r="AD1285" s="4">
        <v>16</v>
      </c>
      <c r="AE1285" s="4">
        <v>16</v>
      </c>
      <c r="AF1285" s="4">
        <v>5</v>
      </c>
      <c r="AG1285" s="4">
        <v>5</v>
      </c>
      <c r="AH1285" s="4">
        <v>4</v>
      </c>
      <c r="AI1285" s="4">
        <v>4</v>
      </c>
      <c r="AJ1285" s="4">
        <v>5</v>
      </c>
      <c r="AK1285" s="4">
        <v>5</v>
      </c>
      <c r="AL1285" s="4">
        <v>2</v>
      </c>
      <c r="AM1285" s="4">
        <v>2</v>
      </c>
      <c r="AN1285" s="4">
        <v>3</v>
      </c>
      <c r="AO1285" s="4">
        <v>3</v>
      </c>
      <c r="AP1285" s="3" t="s">
        <v>58</v>
      </c>
      <c r="AQ1285" s="3" t="s">
        <v>58</v>
      </c>
      <c r="AS1285" s="6" t="str">
        <f>HYPERLINK("https://creighton-primo.hosted.exlibrisgroup.com/primo-explore/search?tab=default_tab&amp;search_scope=EVERYTHING&amp;vid=01CRU&amp;lang=en_US&amp;offset=0&amp;query=any,contains,991005132599702656","Catalog Record")</f>
        <v>Catalog Record</v>
      </c>
      <c r="AT1285" s="6" t="str">
        <f>HYPERLINK("http://www.worldcat.org/oclc/7573664","WorldCat Record")</f>
        <v>WorldCat Record</v>
      </c>
      <c r="AU1285" s="3" t="s">
        <v>16672</v>
      </c>
      <c r="AV1285" s="3" t="s">
        <v>16673</v>
      </c>
      <c r="AW1285" s="3" t="s">
        <v>16674</v>
      </c>
      <c r="AX1285" s="3" t="s">
        <v>16674</v>
      </c>
      <c r="AY1285" s="3" t="s">
        <v>16675</v>
      </c>
      <c r="AZ1285" s="3" t="s">
        <v>74</v>
      </c>
      <c r="BB1285" s="3" t="s">
        <v>16676</v>
      </c>
      <c r="BC1285" s="3" t="s">
        <v>16677</v>
      </c>
      <c r="BD1285" s="3" t="s">
        <v>16678</v>
      </c>
    </row>
    <row r="1286" spans="1:56" ht="45.75" customHeight="1" x14ac:dyDescent="0.25">
      <c r="A1286" s="7" t="s">
        <v>58</v>
      </c>
      <c r="B1286" s="2" t="s">
        <v>16679</v>
      </c>
      <c r="C1286" s="2" t="s">
        <v>16680</v>
      </c>
      <c r="D1286" s="2" t="s">
        <v>16681</v>
      </c>
      <c r="F1286" s="3" t="s">
        <v>58</v>
      </c>
      <c r="G1286" s="3" t="s">
        <v>59</v>
      </c>
      <c r="H1286" s="3" t="s">
        <v>58</v>
      </c>
      <c r="I1286" s="3" t="s">
        <v>58</v>
      </c>
      <c r="J1286" s="3" t="s">
        <v>60</v>
      </c>
      <c r="K1286" s="2" t="s">
        <v>16682</v>
      </c>
      <c r="L1286" s="2" t="s">
        <v>16683</v>
      </c>
      <c r="M1286" s="3" t="s">
        <v>290</v>
      </c>
      <c r="N1286" s="2" t="s">
        <v>543</v>
      </c>
      <c r="O1286" s="3" t="s">
        <v>65</v>
      </c>
      <c r="P1286" s="3" t="s">
        <v>84</v>
      </c>
      <c r="R1286" s="3" t="s">
        <v>67</v>
      </c>
      <c r="S1286" s="4">
        <v>4</v>
      </c>
      <c r="T1286" s="4">
        <v>4</v>
      </c>
      <c r="U1286" s="5" t="s">
        <v>12600</v>
      </c>
      <c r="V1286" s="5" t="s">
        <v>12600</v>
      </c>
      <c r="W1286" s="5" t="s">
        <v>16684</v>
      </c>
      <c r="X1286" s="5" t="s">
        <v>16684</v>
      </c>
      <c r="Y1286" s="4">
        <v>1093</v>
      </c>
      <c r="Z1286" s="4">
        <v>1067</v>
      </c>
      <c r="AA1286" s="4">
        <v>1361</v>
      </c>
      <c r="AB1286" s="4">
        <v>9</v>
      </c>
      <c r="AC1286" s="4">
        <v>15</v>
      </c>
      <c r="AD1286" s="4">
        <v>34</v>
      </c>
      <c r="AE1286" s="4">
        <v>49</v>
      </c>
      <c r="AF1286" s="4">
        <v>10</v>
      </c>
      <c r="AG1286" s="4">
        <v>14</v>
      </c>
      <c r="AH1286" s="4">
        <v>4</v>
      </c>
      <c r="AI1286" s="4">
        <v>6</v>
      </c>
      <c r="AJ1286" s="4">
        <v>9</v>
      </c>
      <c r="AK1286" s="4">
        <v>14</v>
      </c>
      <c r="AL1286" s="4">
        <v>7</v>
      </c>
      <c r="AM1286" s="4">
        <v>11</v>
      </c>
      <c r="AN1286" s="4">
        <v>9</v>
      </c>
      <c r="AO1286" s="4">
        <v>10</v>
      </c>
      <c r="AP1286" s="3" t="s">
        <v>58</v>
      </c>
      <c r="AQ1286" s="3" t="s">
        <v>58</v>
      </c>
      <c r="AS1286" s="6" t="str">
        <f>HYPERLINK("https://creighton-primo.hosted.exlibrisgroup.com/primo-explore/search?tab=default_tab&amp;search_scope=EVERYTHING&amp;vid=01CRU&amp;lang=en_US&amp;offset=0&amp;query=any,contains,991003591189702656","Catalog Record")</f>
        <v>Catalog Record</v>
      </c>
      <c r="AT1286" s="6" t="str">
        <f>HYPERLINK("http://www.worldcat.org/oclc/44548986","WorldCat Record")</f>
        <v>WorldCat Record</v>
      </c>
      <c r="AU1286" s="3" t="s">
        <v>16685</v>
      </c>
      <c r="AV1286" s="3" t="s">
        <v>16686</v>
      </c>
      <c r="AW1286" s="3" t="s">
        <v>16687</v>
      </c>
      <c r="AX1286" s="3" t="s">
        <v>16687</v>
      </c>
      <c r="AY1286" s="3" t="s">
        <v>16688</v>
      </c>
      <c r="AZ1286" s="3" t="s">
        <v>74</v>
      </c>
      <c r="BB1286" s="3" t="s">
        <v>16689</v>
      </c>
      <c r="BC1286" s="3" t="s">
        <v>16690</v>
      </c>
      <c r="BD1286" s="3" t="s">
        <v>16691</v>
      </c>
    </row>
    <row r="1287" spans="1:56" ht="45.75" customHeight="1" x14ac:dyDescent="0.25">
      <c r="A1287" s="7" t="s">
        <v>58</v>
      </c>
      <c r="B1287" s="2" t="s">
        <v>16692</v>
      </c>
      <c r="C1287" s="2" t="s">
        <v>16693</v>
      </c>
      <c r="D1287" s="2" t="s">
        <v>16694</v>
      </c>
      <c r="F1287" s="3" t="s">
        <v>58</v>
      </c>
      <c r="G1287" s="3" t="s">
        <v>59</v>
      </c>
      <c r="H1287" s="3" t="s">
        <v>58</v>
      </c>
      <c r="I1287" s="3" t="s">
        <v>58</v>
      </c>
      <c r="J1287" s="3" t="s">
        <v>60</v>
      </c>
      <c r="K1287" s="2" t="s">
        <v>16695</v>
      </c>
      <c r="L1287" s="2" t="s">
        <v>16696</v>
      </c>
      <c r="M1287" s="3" t="s">
        <v>1058</v>
      </c>
      <c r="O1287" s="3" t="s">
        <v>65</v>
      </c>
      <c r="P1287" s="3" t="s">
        <v>84</v>
      </c>
      <c r="R1287" s="3" t="s">
        <v>67</v>
      </c>
      <c r="S1287" s="4">
        <v>4</v>
      </c>
      <c r="T1287" s="4">
        <v>4</v>
      </c>
      <c r="U1287" s="5" t="s">
        <v>12454</v>
      </c>
      <c r="V1287" s="5" t="s">
        <v>12454</v>
      </c>
      <c r="W1287" s="5" t="s">
        <v>1758</v>
      </c>
      <c r="X1287" s="5" t="s">
        <v>1758</v>
      </c>
      <c r="Y1287" s="4">
        <v>657</v>
      </c>
      <c r="Z1287" s="4">
        <v>645</v>
      </c>
      <c r="AA1287" s="4">
        <v>935</v>
      </c>
      <c r="AB1287" s="4">
        <v>11</v>
      </c>
      <c r="AC1287" s="4">
        <v>12</v>
      </c>
      <c r="AD1287" s="4">
        <v>24</v>
      </c>
      <c r="AE1287" s="4">
        <v>29</v>
      </c>
      <c r="AF1287" s="4">
        <v>6</v>
      </c>
      <c r="AG1287" s="4">
        <v>8</v>
      </c>
      <c r="AH1287" s="4">
        <v>2</v>
      </c>
      <c r="AI1287" s="4">
        <v>3</v>
      </c>
      <c r="AJ1287" s="4">
        <v>11</v>
      </c>
      <c r="AK1287" s="4">
        <v>14</v>
      </c>
      <c r="AL1287" s="4">
        <v>9</v>
      </c>
      <c r="AM1287" s="4">
        <v>9</v>
      </c>
      <c r="AN1287" s="4">
        <v>0</v>
      </c>
      <c r="AO1287" s="4">
        <v>0</v>
      </c>
      <c r="AP1287" s="3" t="s">
        <v>58</v>
      </c>
      <c r="AQ1287" s="3" t="s">
        <v>58</v>
      </c>
      <c r="AS1287" s="6" t="str">
        <f>HYPERLINK("https://creighton-primo.hosted.exlibrisgroup.com/primo-explore/search?tab=default_tab&amp;search_scope=EVERYTHING&amp;vid=01CRU&amp;lang=en_US&amp;offset=0&amp;query=any,contains,991001352879702656","Catalog Record")</f>
        <v>Catalog Record</v>
      </c>
      <c r="AT1287" s="6" t="str">
        <f>HYPERLINK("http://www.worldcat.org/oclc/18455432","WorldCat Record")</f>
        <v>WorldCat Record</v>
      </c>
      <c r="AU1287" s="3" t="s">
        <v>16697</v>
      </c>
      <c r="AV1287" s="3" t="s">
        <v>16698</v>
      </c>
      <c r="AW1287" s="3" t="s">
        <v>16699</v>
      </c>
      <c r="AX1287" s="3" t="s">
        <v>16699</v>
      </c>
      <c r="AY1287" s="3" t="s">
        <v>16700</v>
      </c>
      <c r="AZ1287" s="3" t="s">
        <v>74</v>
      </c>
      <c r="BC1287" s="3" t="s">
        <v>16701</v>
      </c>
      <c r="BD1287" s="3" t="s">
        <v>16702</v>
      </c>
    </row>
    <row r="1288" spans="1:56" ht="45.75" customHeight="1" x14ac:dyDescent="0.25">
      <c r="A1288" s="7" t="s">
        <v>58</v>
      </c>
      <c r="B1288" s="2" t="s">
        <v>16703</v>
      </c>
      <c r="C1288" s="2" t="s">
        <v>16704</v>
      </c>
      <c r="D1288" s="2" t="s">
        <v>16705</v>
      </c>
      <c r="F1288" s="3" t="s">
        <v>58</v>
      </c>
      <c r="G1288" s="3" t="s">
        <v>59</v>
      </c>
      <c r="H1288" s="3" t="s">
        <v>58</v>
      </c>
      <c r="I1288" s="3" t="s">
        <v>58</v>
      </c>
      <c r="J1288" s="3" t="s">
        <v>60</v>
      </c>
      <c r="K1288" s="2" t="s">
        <v>16706</v>
      </c>
      <c r="L1288" s="2" t="s">
        <v>16707</v>
      </c>
      <c r="M1288" s="3" t="s">
        <v>335</v>
      </c>
      <c r="O1288" s="3" t="s">
        <v>65</v>
      </c>
      <c r="P1288" s="3" t="s">
        <v>175</v>
      </c>
      <c r="R1288" s="3" t="s">
        <v>67</v>
      </c>
      <c r="S1288" s="4">
        <v>1</v>
      </c>
      <c r="T1288" s="4">
        <v>1</v>
      </c>
      <c r="U1288" s="5" t="s">
        <v>4015</v>
      </c>
      <c r="V1288" s="5" t="s">
        <v>4015</v>
      </c>
      <c r="W1288" s="5" t="s">
        <v>4015</v>
      </c>
      <c r="X1288" s="5" t="s">
        <v>4015</v>
      </c>
      <c r="Y1288" s="4">
        <v>320</v>
      </c>
      <c r="Z1288" s="4">
        <v>253</v>
      </c>
      <c r="AA1288" s="4">
        <v>789</v>
      </c>
      <c r="AB1288" s="4">
        <v>2</v>
      </c>
      <c r="AC1288" s="4">
        <v>14</v>
      </c>
      <c r="AD1288" s="4">
        <v>9</v>
      </c>
      <c r="AE1288" s="4">
        <v>21</v>
      </c>
      <c r="AF1288" s="4">
        <v>3</v>
      </c>
      <c r="AG1288" s="4">
        <v>7</v>
      </c>
      <c r="AH1288" s="4">
        <v>3</v>
      </c>
      <c r="AI1288" s="4">
        <v>4</v>
      </c>
      <c r="AJ1288" s="4">
        <v>6</v>
      </c>
      <c r="AK1288" s="4">
        <v>8</v>
      </c>
      <c r="AL1288" s="4">
        <v>1</v>
      </c>
      <c r="AM1288" s="4">
        <v>9</v>
      </c>
      <c r="AN1288" s="4">
        <v>0</v>
      </c>
      <c r="AO1288" s="4">
        <v>0</v>
      </c>
      <c r="AP1288" s="3" t="s">
        <v>58</v>
      </c>
      <c r="AQ1288" s="3" t="s">
        <v>87</v>
      </c>
      <c r="AR1288" s="6" t="str">
        <f>HYPERLINK("http://catalog.hathitrust.org/Record/007385230","HathiTrust Record")</f>
        <v>HathiTrust Record</v>
      </c>
      <c r="AS1288" s="6" t="str">
        <f>HYPERLINK("https://creighton-primo.hosted.exlibrisgroup.com/primo-explore/search?tab=default_tab&amp;search_scope=EVERYTHING&amp;vid=01CRU&amp;lang=en_US&amp;offset=0&amp;query=any,contains,991000213679702656","Catalog Record")</f>
        <v>Catalog Record</v>
      </c>
      <c r="AT1288" s="6" t="str">
        <f>HYPERLINK("http://www.worldcat.org/oclc/432408598","WorldCat Record")</f>
        <v>WorldCat Record</v>
      </c>
      <c r="AU1288" s="3" t="s">
        <v>16708</v>
      </c>
      <c r="AV1288" s="3" t="s">
        <v>16709</v>
      </c>
      <c r="AW1288" s="3" t="s">
        <v>16710</v>
      </c>
      <c r="AX1288" s="3" t="s">
        <v>16710</v>
      </c>
      <c r="AY1288" s="3" t="s">
        <v>16711</v>
      </c>
      <c r="AZ1288" s="3" t="s">
        <v>74</v>
      </c>
      <c r="BB1288" s="3" t="s">
        <v>16712</v>
      </c>
      <c r="BC1288" s="3" t="s">
        <v>16713</v>
      </c>
      <c r="BD1288" s="3" t="s">
        <v>16714</v>
      </c>
    </row>
    <row r="1289" spans="1:56" ht="45.75" customHeight="1" x14ac:dyDescent="0.25">
      <c r="A1289" s="7" t="s">
        <v>58</v>
      </c>
      <c r="B1289" s="2" t="s">
        <v>16715</v>
      </c>
      <c r="C1289" s="2" t="s">
        <v>16716</v>
      </c>
      <c r="D1289" s="2" t="s">
        <v>16717</v>
      </c>
      <c r="F1289" s="3" t="s">
        <v>58</v>
      </c>
      <c r="G1289" s="3" t="s">
        <v>59</v>
      </c>
      <c r="H1289" s="3" t="s">
        <v>58</v>
      </c>
      <c r="I1289" s="3" t="s">
        <v>58</v>
      </c>
      <c r="J1289" s="3" t="s">
        <v>60</v>
      </c>
      <c r="K1289" s="2" t="s">
        <v>16718</v>
      </c>
      <c r="L1289" s="2" t="s">
        <v>16719</v>
      </c>
      <c r="M1289" s="3" t="s">
        <v>116</v>
      </c>
      <c r="N1289" s="2" t="s">
        <v>16720</v>
      </c>
      <c r="O1289" s="3" t="s">
        <v>65</v>
      </c>
      <c r="P1289" s="3" t="s">
        <v>190</v>
      </c>
      <c r="R1289" s="3" t="s">
        <v>67</v>
      </c>
      <c r="S1289" s="4">
        <v>5</v>
      </c>
      <c r="T1289" s="4">
        <v>5</v>
      </c>
      <c r="U1289" s="5" t="s">
        <v>16721</v>
      </c>
      <c r="V1289" s="5" t="s">
        <v>16721</v>
      </c>
      <c r="W1289" s="5" t="s">
        <v>16722</v>
      </c>
      <c r="X1289" s="5" t="s">
        <v>16722</v>
      </c>
      <c r="Y1289" s="4">
        <v>134</v>
      </c>
      <c r="Z1289" s="4">
        <v>108</v>
      </c>
      <c r="AA1289" s="4">
        <v>109</v>
      </c>
      <c r="AB1289" s="4">
        <v>1</v>
      </c>
      <c r="AC1289" s="4">
        <v>1</v>
      </c>
      <c r="AD1289" s="4">
        <v>4</v>
      </c>
      <c r="AE1289" s="4">
        <v>4</v>
      </c>
      <c r="AF1289" s="4">
        <v>2</v>
      </c>
      <c r="AG1289" s="4">
        <v>2</v>
      </c>
      <c r="AH1289" s="4">
        <v>2</v>
      </c>
      <c r="AI1289" s="4">
        <v>2</v>
      </c>
      <c r="AJ1289" s="4">
        <v>2</v>
      </c>
      <c r="AK1289" s="4">
        <v>2</v>
      </c>
      <c r="AL1289" s="4">
        <v>0</v>
      </c>
      <c r="AM1289" s="4">
        <v>0</v>
      </c>
      <c r="AN1289" s="4">
        <v>0</v>
      </c>
      <c r="AO1289" s="4">
        <v>0</v>
      </c>
      <c r="AP1289" s="3" t="s">
        <v>58</v>
      </c>
      <c r="AQ1289" s="3" t="s">
        <v>58</v>
      </c>
      <c r="AS1289" s="6" t="str">
        <f>HYPERLINK("https://creighton-primo.hosted.exlibrisgroup.com/primo-explore/search?tab=default_tab&amp;search_scope=EVERYTHING&amp;vid=01CRU&amp;lang=en_US&amp;offset=0&amp;query=any,contains,991002929759702656","Catalog Record")</f>
        <v>Catalog Record</v>
      </c>
      <c r="AT1289" s="6" t="str">
        <f>HYPERLINK("http://www.worldcat.org/oclc/38948345","WorldCat Record")</f>
        <v>WorldCat Record</v>
      </c>
      <c r="AU1289" s="3" t="s">
        <v>16723</v>
      </c>
      <c r="AV1289" s="3" t="s">
        <v>16724</v>
      </c>
      <c r="AW1289" s="3" t="s">
        <v>16725</v>
      </c>
      <c r="AX1289" s="3" t="s">
        <v>16725</v>
      </c>
      <c r="AY1289" s="3" t="s">
        <v>16726</v>
      </c>
      <c r="AZ1289" s="3" t="s">
        <v>74</v>
      </c>
      <c r="BB1289" s="3" t="s">
        <v>16727</v>
      </c>
      <c r="BC1289" s="3" t="s">
        <v>16728</v>
      </c>
      <c r="BD1289" s="3" t="s">
        <v>16729</v>
      </c>
    </row>
    <row r="1290" spans="1:56" ht="45.75" customHeight="1" x14ac:dyDescent="0.25">
      <c r="A1290" s="7" t="s">
        <v>58</v>
      </c>
      <c r="B1290" s="2" t="s">
        <v>16730</v>
      </c>
      <c r="C1290" s="2" t="s">
        <v>16731</v>
      </c>
      <c r="D1290" s="2" t="s">
        <v>16732</v>
      </c>
      <c r="F1290" s="3" t="s">
        <v>58</v>
      </c>
      <c r="G1290" s="3" t="s">
        <v>59</v>
      </c>
      <c r="H1290" s="3" t="s">
        <v>58</v>
      </c>
      <c r="I1290" s="3" t="s">
        <v>58</v>
      </c>
      <c r="J1290" s="3" t="s">
        <v>60</v>
      </c>
      <c r="K1290" s="2" t="s">
        <v>16733</v>
      </c>
      <c r="L1290" s="2" t="s">
        <v>16734</v>
      </c>
      <c r="M1290" s="3" t="s">
        <v>220</v>
      </c>
      <c r="O1290" s="3" t="s">
        <v>65</v>
      </c>
      <c r="P1290" s="3" t="s">
        <v>132</v>
      </c>
      <c r="R1290" s="3" t="s">
        <v>67</v>
      </c>
      <c r="S1290" s="4">
        <v>6</v>
      </c>
      <c r="T1290" s="4">
        <v>6</v>
      </c>
      <c r="U1290" s="5" t="s">
        <v>134</v>
      </c>
      <c r="V1290" s="5" t="s">
        <v>134</v>
      </c>
      <c r="W1290" s="5" t="s">
        <v>3101</v>
      </c>
      <c r="X1290" s="5" t="s">
        <v>3101</v>
      </c>
      <c r="Y1290" s="4">
        <v>344</v>
      </c>
      <c r="Z1290" s="4">
        <v>278</v>
      </c>
      <c r="AA1290" s="4">
        <v>279</v>
      </c>
      <c r="AB1290" s="4">
        <v>2</v>
      </c>
      <c r="AC1290" s="4">
        <v>2</v>
      </c>
      <c r="AD1290" s="4">
        <v>16</v>
      </c>
      <c r="AE1290" s="4">
        <v>16</v>
      </c>
      <c r="AF1290" s="4">
        <v>5</v>
      </c>
      <c r="AG1290" s="4">
        <v>5</v>
      </c>
      <c r="AH1290" s="4">
        <v>4</v>
      </c>
      <c r="AI1290" s="4">
        <v>4</v>
      </c>
      <c r="AJ1290" s="4">
        <v>12</v>
      </c>
      <c r="AK1290" s="4">
        <v>12</v>
      </c>
      <c r="AL1290" s="4">
        <v>1</v>
      </c>
      <c r="AM1290" s="4">
        <v>1</v>
      </c>
      <c r="AN1290" s="4">
        <v>0</v>
      </c>
      <c r="AO1290" s="4">
        <v>0</v>
      </c>
      <c r="AP1290" s="3" t="s">
        <v>58</v>
      </c>
      <c r="AQ1290" s="3" t="s">
        <v>58</v>
      </c>
      <c r="AS1290" s="6" t="str">
        <f>HYPERLINK("https://creighton-primo.hosted.exlibrisgroup.com/primo-explore/search?tab=default_tab&amp;search_scope=EVERYTHING&amp;vid=01CRU&amp;lang=en_US&amp;offset=0&amp;query=any,contains,991003239999702656","Catalog Record")</f>
        <v>Catalog Record</v>
      </c>
      <c r="AT1290" s="6" t="str">
        <f>HYPERLINK("http://www.worldcat.org/oclc/40305572","WorldCat Record")</f>
        <v>WorldCat Record</v>
      </c>
      <c r="AU1290" s="3" t="s">
        <v>16735</v>
      </c>
      <c r="AV1290" s="3" t="s">
        <v>16736</v>
      </c>
      <c r="AW1290" s="3" t="s">
        <v>16737</v>
      </c>
      <c r="AX1290" s="3" t="s">
        <v>16737</v>
      </c>
      <c r="AY1290" s="3" t="s">
        <v>16738</v>
      </c>
      <c r="AZ1290" s="3" t="s">
        <v>74</v>
      </c>
      <c r="BB1290" s="3" t="s">
        <v>16739</v>
      </c>
      <c r="BC1290" s="3" t="s">
        <v>16740</v>
      </c>
      <c r="BD1290" s="3" t="s">
        <v>16741</v>
      </c>
    </row>
    <row r="1291" spans="1:56" ht="45.75" customHeight="1" x14ac:dyDescent="0.25">
      <c r="A1291" s="7" t="s">
        <v>58</v>
      </c>
      <c r="B1291" s="2" t="s">
        <v>16742</v>
      </c>
      <c r="C1291" s="2" t="s">
        <v>16743</v>
      </c>
      <c r="D1291" s="2" t="s">
        <v>16744</v>
      </c>
      <c r="F1291" s="3" t="s">
        <v>58</v>
      </c>
      <c r="G1291" s="3" t="s">
        <v>59</v>
      </c>
      <c r="H1291" s="3" t="s">
        <v>87</v>
      </c>
      <c r="I1291" s="3" t="s">
        <v>58</v>
      </c>
      <c r="J1291" s="3" t="s">
        <v>60</v>
      </c>
      <c r="K1291" s="2" t="s">
        <v>16745</v>
      </c>
      <c r="L1291" s="2" t="s">
        <v>16746</v>
      </c>
      <c r="M1291" s="3" t="s">
        <v>923</v>
      </c>
      <c r="O1291" s="3" t="s">
        <v>65</v>
      </c>
      <c r="P1291" s="3" t="s">
        <v>1811</v>
      </c>
      <c r="R1291" s="3" t="s">
        <v>67</v>
      </c>
      <c r="S1291" s="4">
        <v>12</v>
      </c>
      <c r="T1291" s="4">
        <v>12</v>
      </c>
      <c r="U1291" s="5" t="s">
        <v>6452</v>
      </c>
      <c r="V1291" s="5" t="s">
        <v>6452</v>
      </c>
      <c r="W1291" s="5" t="s">
        <v>12431</v>
      </c>
      <c r="X1291" s="5" t="s">
        <v>12431</v>
      </c>
      <c r="Y1291" s="4">
        <v>360</v>
      </c>
      <c r="Z1291" s="4">
        <v>290</v>
      </c>
      <c r="AA1291" s="4">
        <v>292</v>
      </c>
      <c r="AB1291" s="4">
        <v>4</v>
      </c>
      <c r="AC1291" s="4">
        <v>4</v>
      </c>
      <c r="AD1291" s="4">
        <v>9</v>
      </c>
      <c r="AE1291" s="4">
        <v>9</v>
      </c>
      <c r="AF1291" s="4">
        <v>3</v>
      </c>
      <c r="AG1291" s="4">
        <v>3</v>
      </c>
      <c r="AH1291" s="4">
        <v>3</v>
      </c>
      <c r="AI1291" s="4">
        <v>3</v>
      </c>
      <c r="AJ1291" s="4">
        <v>6</v>
      </c>
      <c r="AK1291" s="4">
        <v>6</v>
      </c>
      <c r="AL1291" s="4">
        <v>1</v>
      </c>
      <c r="AM1291" s="4">
        <v>1</v>
      </c>
      <c r="AN1291" s="4">
        <v>0</v>
      </c>
      <c r="AO1291" s="4">
        <v>0</v>
      </c>
      <c r="AP1291" s="3" t="s">
        <v>58</v>
      </c>
      <c r="AQ1291" s="3" t="s">
        <v>87</v>
      </c>
      <c r="AR1291" s="6" t="str">
        <f>HYPERLINK("http://catalog.hathitrust.org/Record/000101444","HathiTrust Record")</f>
        <v>HathiTrust Record</v>
      </c>
      <c r="AS1291" s="6" t="str">
        <f>HYPERLINK("https://creighton-primo.hosted.exlibrisgroup.com/primo-explore/search?tab=default_tab&amp;search_scope=EVERYTHING&amp;vid=01CRU&amp;lang=en_US&amp;offset=0&amp;query=any,contains,991005181159702656","Catalog Record")</f>
        <v>Catalog Record</v>
      </c>
      <c r="AT1291" s="6" t="str">
        <f>HYPERLINK("http://www.worldcat.org/oclc/7946089","WorldCat Record")</f>
        <v>WorldCat Record</v>
      </c>
      <c r="AU1291" s="3" t="s">
        <v>16747</v>
      </c>
      <c r="AV1291" s="3" t="s">
        <v>16748</v>
      </c>
      <c r="AW1291" s="3" t="s">
        <v>16749</v>
      </c>
      <c r="AX1291" s="3" t="s">
        <v>16749</v>
      </c>
      <c r="AY1291" s="3" t="s">
        <v>16750</v>
      </c>
      <c r="AZ1291" s="3" t="s">
        <v>74</v>
      </c>
      <c r="BB1291" s="3" t="s">
        <v>16751</v>
      </c>
      <c r="BC1291" s="3" t="s">
        <v>16752</v>
      </c>
      <c r="BD1291" s="3" t="s">
        <v>16753</v>
      </c>
    </row>
    <row r="1292" spans="1:56" ht="45.75" customHeight="1" x14ac:dyDescent="0.25">
      <c r="A1292" s="7" t="s">
        <v>58</v>
      </c>
      <c r="B1292" s="2" t="s">
        <v>16754</v>
      </c>
      <c r="C1292" s="2" t="s">
        <v>16755</v>
      </c>
      <c r="D1292" s="2" t="s">
        <v>16756</v>
      </c>
      <c r="F1292" s="3" t="s">
        <v>58</v>
      </c>
      <c r="G1292" s="3" t="s">
        <v>59</v>
      </c>
      <c r="H1292" s="3" t="s">
        <v>58</v>
      </c>
      <c r="I1292" s="3" t="s">
        <v>58</v>
      </c>
      <c r="J1292" s="3" t="s">
        <v>60</v>
      </c>
      <c r="L1292" s="2" t="s">
        <v>16757</v>
      </c>
      <c r="M1292" s="3" t="s">
        <v>83</v>
      </c>
      <c r="O1292" s="3" t="s">
        <v>65</v>
      </c>
      <c r="P1292" s="3" t="s">
        <v>14921</v>
      </c>
      <c r="R1292" s="3" t="s">
        <v>67</v>
      </c>
      <c r="S1292" s="4">
        <v>6</v>
      </c>
      <c r="T1292" s="4">
        <v>6</v>
      </c>
      <c r="U1292" s="5" t="s">
        <v>6308</v>
      </c>
      <c r="V1292" s="5" t="s">
        <v>6308</v>
      </c>
      <c r="W1292" s="5" t="s">
        <v>1758</v>
      </c>
      <c r="X1292" s="5" t="s">
        <v>1758</v>
      </c>
      <c r="Y1292" s="4">
        <v>345</v>
      </c>
      <c r="Z1292" s="4">
        <v>289</v>
      </c>
      <c r="AA1292" s="4">
        <v>311</v>
      </c>
      <c r="AB1292" s="4">
        <v>6</v>
      </c>
      <c r="AC1292" s="4">
        <v>6</v>
      </c>
      <c r="AD1292" s="4">
        <v>16</v>
      </c>
      <c r="AE1292" s="4">
        <v>17</v>
      </c>
      <c r="AF1292" s="4">
        <v>4</v>
      </c>
      <c r="AG1292" s="4">
        <v>5</v>
      </c>
      <c r="AH1292" s="4">
        <v>2</v>
      </c>
      <c r="AI1292" s="4">
        <v>2</v>
      </c>
      <c r="AJ1292" s="4">
        <v>7</v>
      </c>
      <c r="AK1292" s="4">
        <v>7</v>
      </c>
      <c r="AL1292" s="4">
        <v>5</v>
      </c>
      <c r="AM1292" s="4">
        <v>5</v>
      </c>
      <c r="AN1292" s="4">
        <v>0</v>
      </c>
      <c r="AO1292" s="4">
        <v>0</v>
      </c>
      <c r="AP1292" s="3" t="s">
        <v>58</v>
      </c>
      <c r="AQ1292" s="3" t="s">
        <v>87</v>
      </c>
      <c r="AR1292" s="6" t="str">
        <f>HYPERLINK("http://catalog.hathitrust.org/Record/000806654","HathiTrust Record")</f>
        <v>HathiTrust Record</v>
      </c>
      <c r="AS1292" s="6" t="str">
        <f>HYPERLINK("https://creighton-primo.hosted.exlibrisgroup.com/primo-explore/search?tab=default_tab&amp;search_scope=EVERYTHING&amp;vid=01CRU&amp;lang=en_US&amp;offset=0&amp;query=any,contains,991000651089702656","Catalog Record")</f>
        <v>Catalog Record</v>
      </c>
      <c r="AT1292" s="6" t="str">
        <f>HYPERLINK("http://www.worldcat.org/oclc/12163034","WorldCat Record")</f>
        <v>WorldCat Record</v>
      </c>
      <c r="AU1292" s="3" t="s">
        <v>16758</v>
      </c>
      <c r="AV1292" s="3" t="s">
        <v>16759</v>
      </c>
      <c r="AW1292" s="3" t="s">
        <v>16760</v>
      </c>
      <c r="AX1292" s="3" t="s">
        <v>16760</v>
      </c>
      <c r="AY1292" s="3" t="s">
        <v>16761</v>
      </c>
      <c r="AZ1292" s="3" t="s">
        <v>74</v>
      </c>
      <c r="BB1292" s="3" t="s">
        <v>16762</v>
      </c>
      <c r="BC1292" s="3" t="s">
        <v>16763</v>
      </c>
      <c r="BD1292" s="3" t="s">
        <v>16764</v>
      </c>
    </row>
    <row r="1293" spans="1:56" ht="45.75" customHeight="1" x14ac:dyDescent="0.25">
      <c r="A1293" s="7" t="s">
        <v>58</v>
      </c>
      <c r="B1293" s="2" t="s">
        <v>16765</v>
      </c>
      <c r="C1293" s="2" t="s">
        <v>16766</v>
      </c>
      <c r="D1293" s="2" t="s">
        <v>16767</v>
      </c>
      <c r="F1293" s="3" t="s">
        <v>58</v>
      </c>
      <c r="G1293" s="3" t="s">
        <v>59</v>
      </c>
      <c r="H1293" s="3" t="s">
        <v>58</v>
      </c>
      <c r="I1293" s="3" t="s">
        <v>58</v>
      </c>
      <c r="J1293" s="3" t="s">
        <v>60</v>
      </c>
      <c r="K1293" s="2" t="s">
        <v>16768</v>
      </c>
      <c r="L1293" s="2" t="s">
        <v>16769</v>
      </c>
      <c r="M1293" s="3" t="s">
        <v>3358</v>
      </c>
      <c r="O1293" s="3" t="s">
        <v>65</v>
      </c>
      <c r="P1293" s="3" t="s">
        <v>84</v>
      </c>
      <c r="R1293" s="3" t="s">
        <v>67</v>
      </c>
      <c r="S1293" s="4">
        <v>1</v>
      </c>
      <c r="T1293" s="4">
        <v>1</v>
      </c>
      <c r="U1293" s="5" t="s">
        <v>5200</v>
      </c>
      <c r="V1293" s="5" t="s">
        <v>5200</v>
      </c>
      <c r="W1293" s="5" t="s">
        <v>16770</v>
      </c>
      <c r="X1293" s="5" t="s">
        <v>16770</v>
      </c>
      <c r="Y1293" s="4">
        <v>538</v>
      </c>
      <c r="Z1293" s="4">
        <v>426</v>
      </c>
      <c r="AA1293" s="4">
        <v>433</v>
      </c>
      <c r="AB1293" s="4">
        <v>5</v>
      </c>
      <c r="AC1293" s="4">
        <v>5</v>
      </c>
      <c r="AD1293" s="4">
        <v>14</v>
      </c>
      <c r="AE1293" s="4">
        <v>14</v>
      </c>
      <c r="AF1293" s="4">
        <v>4</v>
      </c>
      <c r="AG1293" s="4">
        <v>4</v>
      </c>
      <c r="AH1293" s="4">
        <v>5</v>
      </c>
      <c r="AI1293" s="4">
        <v>5</v>
      </c>
      <c r="AJ1293" s="4">
        <v>5</v>
      </c>
      <c r="AK1293" s="4">
        <v>5</v>
      </c>
      <c r="AL1293" s="4">
        <v>3</v>
      </c>
      <c r="AM1293" s="4">
        <v>3</v>
      </c>
      <c r="AN1293" s="4">
        <v>0</v>
      </c>
      <c r="AO1293" s="4">
        <v>0</v>
      </c>
      <c r="AP1293" s="3" t="s">
        <v>58</v>
      </c>
      <c r="AQ1293" s="3" t="s">
        <v>87</v>
      </c>
      <c r="AR1293" s="6" t="str">
        <f>HYPERLINK("http://catalog.hathitrust.org/Record/001132795","HathiTrust Record")</f>
        <v>HathiTrust Record</v>
      </c>
      <c r="AS1293" s="6" t="str">
        <f>HYPERLINK("https://creighton-primo.hosted.exlibrisgroup.com/primo-explore/search?tab=default_tab&amp;search_scope=EVERYTHING&amp;vid=01CRU&amp;lang=en_US&amp;offset=0&amp;query=any,contains,991002272219702656","Catalog Record")</f>
        <v>Catalog Record</v>
      </c>
      <c r="AT1293" s="6" t="str">
        <f>HYPERLINK("http://www.worldcat.org/oclc/308658","WorldCat Record")</f>
        <v>WorldCat Record</v>
      </c>
      <c r="AU1293" s="3" t="s">
        <v>16771</v>
      </c>
      <c r="AV1293" s="3" t="s">
        <v>16772</v>
      </c>
      <c r="AW1293" s="3" t="s">
        <v>16773</v>
      </c>
      <c r="AX1293" s="3" t="s">
        <v>16773</v>
      </c>
      <c r="AY1293" s="3" t="s">
        <v>16774</v>
      </c>
      <c r="AZ1293" s="3" t="s">
        <v>74</v>
      </c>
      <c r="BB1293" s="3" t="s">
        <v>16775</v>
      </c>
      <c r="BC1293" s="3" t="s">
        <v>16776</v>
      </c>
      <c r="BD1293" s="3" t="s">
        <v>16777</v>
      </c>
    </row>
    <row r="1294" spans="1:56" ht="45.75" customHeight="1" x14ac:dyDescent="0.25">
      <c r="A1294" s="7" t="s">
        <v>58</v>
      </c>
      <c r="B1294" s="2" t="s">
        <v>16778</v>
      </c>
      <c r="C1294" s="2" t="s">
        <v>16779</v>
      </c>
      <c r="D1294" s="2" t="s">
        <v>16780</v>
      </c>
      <c r="F1294" s="3" t="s">
        <v>58</v>
      </c>
      <c r="G1294" s="3" t="s">
        <v>59</v>
      </c>
      <c r="H1294" s="3" t="s">
        <v>58</v>
      </c>
      <c r="I1294" s="3" t="s">
        <v>58</v>
      </c>
      <c r="J1294" s="3" t="s">
        <v>60</v>
      </c>
      <c r="K1294" s="2" t="s">
        <v>16781</v>
      </c>
      <c r="L1294" s="2" t="s">
        <v>16782</v>
      </c>
      <c r="M1294" s="3" t="s">
        <v>1254</v>
      </c>
      <c r="O1294" s="3" t="s">
        <v>65</v>
      </c>
      <c r="P1294" s="3" t="s">
        <v>16783</v>
      </c>
      <c r="Q1294" s="2" t="s">
        <v>16784</v>
      </c>
      <c r="R1294" s="3" t="s">
        <v>67</v>
      </c>
      <c r="S1294" s="4">
        <v>4</v>
      </c>
      <c r="T1294" s="4">
        <v>4</v>
      </c>
      <c r="U1294" s="5" t="s">
        <v>6308</v>
      </c>
      <c r="V1294" s="5" t="s">
        <v>6308</v>
      </c>
      <c r="W1294" s="5" t="s">
        <v>16785</v>
      </c>
      <c r="X1294" s="5" t="s">
        <v>16785</v>
      </c>
      <c r="Y1294" s="4">
        <v>205</v>
      </c>
      <c r="Z1294" s="4">
        <v>102</v>
      </c>
      <c r="AA1294" s="4">
        <v>151</v>
      </c>
      <c r="AB1294" s="4">
        <v>2</v>
      </c>
      <c r="AC1294" s="4">
        <v>2</v>
      </c>
      <c r="AD1294" s="4">
        <v>3</v>
      </c>
      <c r="AE1294" s="4">
        <v>3</v>
      </c>
      <c r="AF1294" s="4">
        <v>2</v>
      </c>
      <c r="AG1294" s="4">
        <v>2</v>
      </c>
      <c r="AH1294" s="4">
        <v>0</v>
      </c>
      <c r="AI1294" s="4">
        <v>0</v>
      </c>
      <c r="AJ1294" s="4">
        <v>1</v>
      </c>
      <c r="AK1294" s="4">
        <v>1</v>
      </c>
      <c r="AL1294" s="4">
        <v>1</v>
      </c>
      <c r="AM1294" s="4">
        <v>1</v>
      </c>
      <c r="AN1294" s="4">
        <v>0</v>
      </c>
      <c r="AO1294" s="4">
        <v>0</v>
      </c>
      <c r="AP1294" s="3" t="s">
        <v>58</v>
      </c>
      <c r="AQ1294" s="3" t="s">
        <v>58</v>
      </c>
      <c r="AS1294" s="6" t="str">
        <f>HYPERLINK("https://creighton-primo.hosted.exlibrisgroup.com/primo-explore/search?tab=default_tab&amp;search_scope=EVERYTHING&amp;vid=01CRU&amp;lang=en_US&amp;offset=0&amp;query=any,contains,991000401669702656","Catalog Record")</f>
        <v>Catalog Record</v>
      </c>
      <c r="AT1294" s="6" t="str">
        <f>HYPERLINK("http://www.worldcat.org/oclc/12549902","WorldCat Record")</f>
        <v>WorldCat Record</v>
      </c>
      <c r="AU1294" s="3" t="s">
        <v>16786</v>
      </c>
      <c r="AV1294" s="3" t="s">
        <v>16787</v>
      </c>
      <c r="AW1294" s="3" t="s">
        <v>16788</v>
      </c>
      <c r="AX1294" s="3" t="s">
        <v>16788</v>
      </c>
      <c r="AY1294" s="3" t="s">
        <v>16789</v>
      </c>
      <c r="AZ1294" s="3" t="s">
        <v>74</v>
      </c>
      <c r="BB1294" s="3" t="s">
        <v>16790</v>
      </c>
      <c r="BC1294" s="3" t="s">
        <v>16791</v>
      </c>
      <c r="BD1294" s="3" t="s">
        <v>16792</v>
      </c>
    </row>
    <row r="1295" spans="1:56" ht="45.75" customHeight="1" x14ac:dyDescent="0.25">
      <c r="A1295" s="7" t="s">
        <v>58</v>
      </c>
      <c r="B1295" s="2" t="s">
        <v>16793</v>
      </c>
      <c r="C1295" s="2" t="s">
        <v>16794</v>
      </c>
      <c r="D1295" s="2" t="s">
        <v>16795</v>
      </c>
      <c r="F1295" s="3" t="s">
        <v>58</v>
      </c>
      <c r="G1295" s="3" t="s">
        <v>59</v>
      </c>
      <c r="H1295" s="3" t="s">
        <v>58</v>
      </c>
      <c r="I1295" s="3" t="s">
        <v>58</v>
      </c>
      <c r="J1295" s="3" t="s">
        <v>60</v>
      </c>
      <c r="K1295" s="2" t="s">
        <v>16796</v>
      </c>
      <c r="L1295" s="2" t="s">
        <v>16797</v>
      </c>
      <c r="M1295" s="3" t="s">
        <v>263</v>
      </c>
      <c r="O1295" s="3" t="s">
        <v>65</v>
      </c>
      <c r="P1295" s="3" t="s">
        <v>84</v>
      </c>
      <c r="R1295" s="3" t="s">
        <v>67</v>
      </c>
      <c r="S1295" s="4">
        <v>8</v>
      </c>
      <c r="T1295" s="4">
        <v>8</v>
      </c>
      <c r="U1295" s="5" t="s">
        <v>16798</v>
      </c>
      <c r="V1295" s="5" t="s">
        <v>16798</v>
      </c>
      <c r="W1295" s="5" t="s">
        <v>16799</v>
      </c>
      <c r="X1295" s="5" t="s">
        <v>16799</v>
      </c>
      <c r="Y1295" s="4">
        <v>486</v>
      </c>
      <c r="Z1295" s="4">
        <v>413</v>
      </c>
      <c r="AA1295" s="4">
        <v>606</v>
      </c>
      <c r="AB1295" s="4">
        <v>4</v>
      </c>
      <c r="AC1295" s="4">
        <v>4</v>
      </c>
      <c r="AD1295" s="4">
        <v>17</v>
      </c>
      <c r="AE1295" s="4">
        <v>19</v>
      </c>
      <c r="AF1295" s="4">
        <v>5</v>
      </c>
      <c r="AG1295" s="4">
        <v>7</v>
      </c>
      <c r="AH1295" s="4">
        <v>6</v>
      </c>
      <c r="AI1295" s="4">
        <v>7</v>
      </c>
      <c r="AJ1295" s="4">
        <v>8</v>
      </c>
      <c r="AK1295" s="4">
        <v>8</v>
      </c>
      <c r="AL1295" s="4">
        <v>3</v>
      </c>
      <c r="AM1295" s="4">
        <v>3</v>
      </c>
      <c r="AN1295" s="4">
        <v>0</v>
      </c>
      <c r="AO1295" s="4">
        <v>0</v>
      </c>
      <c r="AP1295" s="3" t="s">
        <v>58</v>
      </c>
      <c r="AQ1295" s="3" t="s">
        <v>58</v>
      </c>
      <c r="AS1295" s="6" t="str">
        <f>HYPERLINK("https://creighton-primo.hosted.exlibrisgroup.com/primo-explore/search?tab=default_tab&amp;search_scope=EVERYTHING&amp;vid=01CRU&amp;lang=en_US&amp;offset=0&amp;query=any,contains,991002549929702656","Catalog Record")</f>
        <v>Catalog Record</v>
      </c>
      <c r="AT1295" s="6" t="str">
        <f>HYPERLINK("http://www.worldcat.org/oclc/33132046","WorldCat Record")</f>
        <v>WorldCat Record</v>
      </c>
      <c r="AU1295" s="3" t="s">
        <v>16800</v>
      </c>
      <c r="AV1295" s="3" t="s">
        <v>16801</v>
      </c>
      <c r="AW1295" s="3" t="s">
        <v>16802</v>
      </c>
      <c r="AX1295" s="3" t="s">
        <v>16802</v>
      </c>
      <c r="AY1295" s="3" t="s">
        <v>16803</v>
      </c>
      <c r="AZ1295" s="3" t="s">
        <v>74</v>
      </c>
      <c r="BB1295" s="3" t="s">
        <v>16804</v>
      </c>
      <c r="BC1295" s="3" t="s">
        <v>16805</v>
      </c>
      <c r="BD1295" s="3" t="s">
        <v>16806</v>
      </c>
    </row>
    <row r="1296" spans="1:56" ht="45.75" customHeight="1" x14ac:dyDescent="0.25">
      <c r="A1296" s="7" t="s">
        <v>58</v>
      </c>
      <c r="B1296" s="2" t="s">
        <v>16807</v>
      </c>
      <c r="C1296" s="2" t="s">
        <v>16808</v>
      </c>
      <c r="D1296" s="2" t="s">
        <v>16809</v>
      </c>
      <c r="F1296" s="3" t="s">
        <v>58</v>
      </c>
      <c r="G1296" s="3" t="s">
        <v>59</v>
      </c>
      <c r="H1296" s="3" t="s">
        <v>58</v>
      </c>
      <c r="I1296" s="3" t="s">
        <v>58</v>
      </c>
      <c r="J1296" s="3" t="s">
        <v>60</v>
      </c>
      <c r="K1296" s="2" t="s">
        <v>16810</v>
      </c>
      <c r="L1296" s="2" t="s">
        <v>16811</v>
      </c>
      <c r="M1296" s="3" t="s">
        <v>248</v>
      </c>
      <c r="N1296" s="2" t="s">
        <v>390</v>
      </c>
      <c r="O1296" s="3" t="s">
        <v>65</v>
      </c>
      <c r="P1296" s="3" t="s">
        <v>84</v>
      </c>
      <c r="R1296" s="3" t="s">
        <v>67</v>
      </c>
      <c r="S1296" s="4">
        <v>1</v>
      </c>
      <c r="T1296" s="4">
        <v>1</v>
      </c>
      <c r="U1296" s="5" t="s">
        <v>16812</v>
      </c>
      <c r="V1296" s="5" t="s">
        <v>16812</v>
      </c>
      <c r="W1296" s="5" t="s">
        <v>16812</v>
      </c>
      <c r="X1296" s="5" t="s">
        <v>16812</v>
      </c>
      <c r="Y1296" s="4">
        <v>431</v>
      </c>
      <c r="Z1296" s="4">
        <v>336</v>
      </c>
      <c r="AA1296" s="4">
        <v>1209</v>
      </c>
      <c r="AB1296" s="4">
        <v>1</v>
      </c>
      <c r="AC1296" s="4">
        <v>10</v>
      </c>
      <c r="AD1296" s="4">
        <v>12</v>
      </c>
      <c r="AE1296" s="4">
        <v>50</v>
      </c>
      <c r="AF1296" s="4">
        <v>6</v>
      </c>
      <c r="AG1296" s="4">
        <v>22</v>
      </c>
      <c r="AH1296" s="4">
        <v>2</v>
      </c>
      <c r="AI1296" s="4">
        <v>8</v>
      </c>
      <c r="AJ1296" s="4">
        <v>8</v>
      </c>
      <c r="AK1296" s="4">
        <v>20</v>
      </c>
      <c r="AL1296" s="4">
        <v>0</v>
      </c>
      <c r="AM1296" s="4">
        <v>9</v>
      </c>
      <c r="AN1296" s="4">
        <v>0</v>
      </c>
      <c r="AO1296" s="4">
        <v>1</v>
      </c>
      <c r="AP1296" s="3" t="s">
        <v>58</v>
      </c>
      <c r="AQ1296" s="3" t="s">
        <v>58</v>
      </c>
      <c r="AS1296" s="6" t="str">
        <f>HYPERLINK("https://creighton-primo.hosted.exlibrisgroup.com/primo-explore/search?tab=default_tab&amp;search_scope=EVERYTHING&amp;vid=01CRU&amp;lang=en_US&amp;offset=0&amp;query=any,contains,991005074009702656","Catalog Record")</f>
        <v>Catalog Record</v>
      </c>
      <c r="AT1296" s="6" t="str">
        <f>HYPERLINK("http://www.worldcat.org/oclc/73502359","WorldCat Record")</f>
        <v>WorldCat Record</v>
      </c>
      <c r="AU1296" s="3" t="s">
        <v>16813</v>
      </c>
      <c r="AV1296" s="3" t="s">
        <v>16814</v>
      </c>
      <c r="AW1296" s="3" t="s">
        <v>16815</v>
      </c>
      <c r="AX1296" s="3" t="s">
        <v>16815</v>
      </c>
      <c r="AY1296" s="3" t="s">
        <v>16816</v>
      </c>
      <c r="AZ1296" s="3" t="s">
        <v>74</v>
      </c>
      <c r="BB1296" s="3" t="s">
        <v>16817</v>
      </c>
      <c r="BC1296" s="3" t="s">
        <v>16818</v>
      </c>
      <c r="BD1296" s="3" t="s">
        <v>16819</v>
      </c>
    </row>
    <row r="1297" spans="1:56" ht="45.75" customHeight="1" x14ac:dyDescent="0.25">
      <c r="A1297" s="7" t="s">
        <v>58</v>
      </c>
      <c r="B1297" s="2" t="s">
        <v>16820</v>
      </c>
      <c r="C1297" s="2" t="s">
        <v>16821</v>
      </c>
      <c r="D1297" s="2" t="s">
        <v>16822</v>
      </c>
      <c r="F1297" s="3" t="s">
        <v>58</v>
      </c>
      <c r="G1297" s="3" t="s">
        <v>59</v>
      </c>
      <c r="H1297" s="3" t="s">
        <v>58</v>
      </c>
      <c r="I1297" s="3" t="s">
        <v>58</v>
      </c>
      <c r="J1297" s="3" t="s">
        <v>60</v>
      </c>
      <c r="K1297" s="2" t="s">
        <v>16823</v>
      </c>
      <c r="L1297" s="2" t="s">
        <v>13815</v>
      </c>
      <c r="M1297" s="3" t="s">
        <v>923</v>
      </c>
      <c r="O1297" s="3" t="s">
        <v>65</v>
      </c>
      <c r="P1297" s="3" t="s">
        <v>66</v>
      </c>
      <c r="R1297" s="3" t="s">
        <v>67</v>
      </c>
      <c r="S1297" s="4">
        <v>10</v>
      </c>
      <c r="T1297" s="4">
        <v>10</v>
      </c>
      <c r="U1297" s="5" t="s">
        <v>473</v>
      </c>
      <c r="V1297" s="5" t="s">
        <v>473</v>
      </c>
      <c r="W1297" s="5" t="s">
        <v>11348</v>
      </c>
      <c r="X1297" s="5" t="s">
        <v>11348</v>
      </c>
      <c r="Y1297" s="4">
        <v>259</v>
      </c>
      <c r="Z1297" s="4">
        <v>234</v>
      </c>
      <c r="AA1297" s="4">
        <v>235</v>
      </c>
      <c r="AB1297" s="4">
        <v>2</v>
      </c>
      <c r="AC1297" s="4">
        <v>2</v>
      </c>
      <c r="AD1297" s="4">
        <v>15</v>
      </c>
      <c r="AE1297" s="4">
        <v>15</v>
      </c>
      <c r="AF1297" s="4">
        <v>5</v>
      </c>
      <c r="AG1297" s="4">
        <v>5</v>
      </c>
      <c r="AH1297" s="4">
        <v>3</v>
      </c>
      <c r="AI1297" s="4">
        <v>3</v>
      </c>
      <c r="AJ1297" s="4">
        <v>5</v>
      </c>
      <c r="AK1297" s="4">
        <v>5</v>
      </c>
      <c r="AL1297" s="4">
        <v>1</v>
      </c>
      <c r="AM1297" s="4">
        <v>1</v>
      </c>
      <c r="AN1297" s="4">
        <v>4</v>
      </c>
      <c r="AO1297" s="4">
        <v>4</v>
      </c>
      <c r="AP1297" s="3" t="s">
        <v>58</v>
      </c>
      <c r="AQ1297" s="3" t="s">
        <v>58</v>
      </c>
      <c r="AS1297" s="6" t="str">
        <f>HYPERLINK("https://creighton-primo.hosted.exlibrisgroup.com/primo-explore/search?tab=default_tab&amp;search_scope=EVERYTHING&amp;vid=01CRU&amp;lang=en_US&amp;offset=0&amp;query=any,contains,991005203069702656","Catalog Record")</f>
        <v>Catalog Record</v>
      </c>
      <c r="AT1297" s="6" t="str">
        <f>HYPERLINK("http://www.worldcat.org/oclc/8109408","WorldCat Record")</f>
        <v>WorldCat Record</v>
      </c>
      <c r="AU1297" s="3" t="s">
        <v>16824</v>
      </c>
      <c r="AV1297" s="3" t="s">
        <v>16825</v>
      </c>
      <c r="AW1297" s="3" t="s">
        <v>16826</v>
      </c>
      <c r="AX1297" s="3" t="s">
        <v>16826</v>
      </c>
      <c r="AY1297" s="3" t="s">
        <v>16827</v>
      </c>
      <c r="AZ1297" s="3" t="s">
        <v>74</v>
      </c>
      <c r="BB1297" s="3" t="s">
        <v>16828</v>
      </c>
      <c r="BC1297" s="3" t="s">
        <v>16829</v>
      </c>
      <c r="BD1297" s="3" t="s">
        <v>16830</v>
      </c>
    </row>
    <row r="1298" spans="1:56" ht="45.75" customHeight="1" x14ac:dyDescent="0.25">
      <c r="A1298" s="7" t="s">
        <v>58</v>
      </c>
      <c r="B1298" s="2" t="s">
        <v>16831</v>
      </c>
      <c r="C1298" s="2" t="s">
        <v>16832</v>
      </c>
      <c r="D1298" s="2" t="s">
        <v>16833</v>
      </c>
      <c r="F1298" s="3" t="s">
        <v>58</v>
      </c>
      <c r="G1298" s="3" t="s">
        <v>59</v>
      </c>
      <c r="H1298" s="3" t="s">
        <v>58</v>
      </c>
      <c r="I1298" s="3" t="s">
        <v>58</v>
      </c>
      <c r="J1298" s="3" t="s">
        <v>60</v>
      </c>
      <c r="L1298" s="2" t="s">
        <v>16834</v>
      </c>
      <c r="M1298" s="3" t="s">
        <v>573</v>
      </c>
      <c r="O1298" s="3" t="s">
        <v>65</v>
      </c>
      <c r="P1298" s="3" t="s">
        <v>66</v>
      </c>
      <c r="R1298" s="3" t="s">
        <v>67</v>
      </c>
      <c r="S1298" s="4">
        <v>4</v>
      </c>
      <c r="T1298" s="4">
        <v>4</v>
      </c>
      <c r="U1298" s="5" t="s">
        <v>473</v>
      </c>
      <c r="V1298" s="5" t="s">
        <v>473</v>
      </c>
      <c r="W1298" s="5" t="s">
        <v>16835</v>
      </c>
      <c r="X1298" s="5" t="s">
        <v>16835</v>
      </c>
      <c r="Y1298" s="4">
        <v>848</v>
      </c>
      <c r="Z1298" s="4">
        <v>784</v>
      </c>
      <c r="AA1298" s="4">
        <v>784</v>
      </c>
      <c r="AB1298" s="4">
        <v>7</v>
      </c>
      <c r="AC1298" s="4">
        <v>7</v>
      </c>
      <c r="AD1298" s="4">
        <v>33</v>
      </c>
      <c r="AE1298" s="4">
        <v>33</v>
      </c>
      <c r="AF1298" s="4">
        <v>14</v>
      </c>
      <c r="AG1298" s="4">
        <v>14</v>
      </c>
      <c r="AH1298" s="4">
        <v>7</v>
      </c>
      <c r="AI1298" s="4">
        <v>7</v>
      </c>
      <c r="AJ1298" s="4">
        <v>12</v>
      </c>
      <c r="AK1298" s="4">
        <v>12</v>
      </c>
      <c r="AL1298" s="4">
        <v>6</v>
      </c>
      <c r="AM1298" s="4">
        <v>6</v>
      </c>
      <c r="AN1298" s="4">
        <v>1</v>
      </c>
      <c r="AO1298" s="4">
        <v>1</v>
      </c>
      <c r="AP1298" s="3" t="s">
        <v>58</v>
      </c>
      <c r="AQ1298" s="3" t="s">
        <v>58</v>
      </c>
      <c r="AS1298" s="6" t="str">
        <f>HYPERLINK("https://creighton-primo.hosted.exlibrisgroup.com/primo-explore/search?tab=default_tab&amp;search_scope=EVERYTHING&amp;vid=01CRU&amp;lang=en_US&amp;offset=0&amp;query=any,contains,991004511949702656","Catalog Record")</f>
        <v>Catalog Record</v>
      </c>
      <c r="AT1298" s="6" t="str">
        <f>HYPERLINK("http://www.worldcat.org/oclc/52765783","WorldCat Record")</f>
        <v>WorldCat Record</v>
      </c>
      <c r="AU1298" s="3" t="s">
        <v>16836</v>
      </c>
      <c r="AV1298" s="3" t="s">
        <v>16837</v>
      </c>
      <c r="AW1298" s="3" t="s">
        <v>16838</v>
      </c>
      <c r="AX1298" s="3" t="s">
        <v>16838</v>
      </c>
      <c r="AY1298" s="3" t="s">
        <v>16839</v>
      </c>
      <c r="AZ1298" s="3" t="s">
        <v>74</v>
      </c>
      <c r="BB1298" s="3" t="s">
        <v>16840</v>
      </c>
      <c r="BC1298" s="3" t="s">
        <v>16841</v>
      </c>
      <c r="BD1298" s="3" t="s">
        <v>16842</v>
      </c>
    </row>
    <row r="1299" spans="1:56" ht="45.75" customHeight="1" x14ac:dyDescent="0.25">
      <c r="A1299" s="7" t="s">
        <v>58</v>
      </c>
      <c r="B1299" s="2" t="s">
        <v>16843</v>
      </c>
      <c r="C1299" s="2" t="s">
        <v>16844</v>
      </c>
      <c r="D1299" s="2" t="s">
        <v>16845</v>
      </c>
      <c r="F1299" s="3" t="s">
        <v>58</v>
      </c>
      <c r="G1299" s="3" t="s">
        <v>59</v>
      </c>
      <c r="H1299" s="3" t="s">
        <v>58</v>
      </c>
      <c r="I1299" s="3" t="s">
        <v>58</v>
      </c>
      <c r="J1299" s="3" t="s">
        <v>60</v>
      </c>
      <c r="K1299" s="2" t="s">
        <v>16846</v>
      </c>
      <c r="L1299" s="2" t="s">
        <v>16847</v>
      </c>
      <c r="M1299" s="3" t="s">
        <v>83</v>
      </c>
      <c r="O1299" s="3" t="s">
        <v>65</v>
      </c>
      <c r="P1299" s="3" t="s">
        <v>175</v>
      </c>
      <c r="Q1299" s="2" t="s">
        <v>16848</v>
      </c>
      <c r="R1299" s="3" t="s">
        <v>67</v>
      </c>
      <c r="S1299" s="4">
        <v>6</v>
      </c>
      <c r="T1299" s="4">
        <v>6</v>
      </c>
      <c r="U1299" s="5" t="s">
        <v>16849</v>
      </c>
      <c r="V1299" s="5" t="s">
        <v>16849</v>
      </c>
      <c r="W1299" s="5" t="s">
        <v>4776</v>
      </c>
      <c r="X1299" s="5" t="s">
        <v>4776</v>
      </c>
      <c r="Y1299" s="4">
        <v>172</v>
      </c>
      <c r="Z1299" s="4">
        <v>93</v>
      </c>
      <c r="AA1299" s="4">
        <v>94</v>
      </c>
      <c r="AB1299" s="4">
        <v>2</v>
      </c>
      <c r="AC1299" s="4">
        <v>2</v>
      </c>
      <c r="AD1299" s="4">
        <v>1</v>
      </c>
      <c r="AE1299" s="4">
        <v>1</v>
      </c>
      <c r="AF1299" s="4">
        <v>0</v>
      </c>
      <c r="AG1299" s="4">
        <v>0</v>
      </c>
      <c r="AH1299" s="4">
        <v>0</v>
      </c>
      <c r="AI1299" s="4">
        <v>0</v>
      </c>
      <c r="AJ1299" s="4">
        <v>0</v>
      </c>
      <c r="AK1299" s="4">
        <v>0</v>
      </c>
      <c r="AL1299" s="4">
        <v>1</v>
      </c>
      <c r="AM1299" s="4">
        <v>1</v>
      </c>
      <c r="AN1299" s="4">
        <v>0</v>
      </c>
      <c r="AO1299" s="4">
        <v>0</v>
      </c>
      <c r="AP1299" s="3" t="s">
        <v>58</v>
      </c>
      <c r="AQ1299" s="3" t="s">
        <v>87</v>
      </c>
      <c r="AR1299" s="6" t="str">
        <f>HYPERLINK("http://catalog.hathitrust.org/Record/000825412","HathiTrust Record")</f>
        <v>HathiTrust Record</v>
      </c>
      <c r="AS1299" s="6" t="str">
        <f>HYPERLINK("https://creighton-primo.hosted.exlibrisgroup.com/primo-explore/search?tab=default_tab&amp;search_scope=EVERYTHING&amp;vid=01CRU&amp;lang=en_US&amp;offset=0&amp;query=any,contains,991000845969702656","Catalog Record")</f>
        <v>Catalog Record</v>
      </c>
      <c r="AT1299" s="6" t="str">
        <f>HYPERLINK("http://www.worldcat.org/oclc/13560320","WorldCat Record")</f>
        <v>WorldCat Record</v>
      </c>
      <c r="AU1299" s="3" t="s">
        <v>16850</v>
      </c>
      <c r="AV1299" s="3" t="s">
        <v>16851</v>
      </c>
      <c r="AW1299" s="3" t="s">
        <v>16852</v>
      </c>
      <c r="AX1299" s="3" t="s">
        <v>16852</v>
      </c>
      <c r="AY1299" s="3" t="s">
        <v>16853</v>
      </c>
      <c r="AZ1299" s="3" t="s">
        <v>74</v>
      </c>
      <c r="BB1299" s="3" t="s">
        <v>16854</v>
      </c>
      <c r="BC1299" s="3" t="s">
        <v>16855</v>
      </c>
      <c r="BD1299" s="3" t="s">
        <v>16856</v>
      </c>
    </row>
    <row r="1300" spans="1:56" ht="45.75" customHeight="1" x14ac:dyDescent="0.25">
      <c r="A1300" s="7" t="s">
        <v>58</v>
      </c>
      <c r="B1300" s="2" t="s">
        <v>16857</v>
      </c>
      <c r="C1300" s="2" t="s">
        <v>16858</v>
      </c>
      <c r="D1300" s="2" t="s">
        <v>16859</v>
      </c>
      <c r="F1300" s="3" t="s">
        <v>58</v>
      </c>
      <c r="G1300" s="3" t="s">
        <v>59</v>
      </c>
      <c r="H1300" s="3" t="s">
        <v>58</v>
      </c>
      <c r="I1300" s="3" t="s">
        <v>58</v>
      </c>
      <c r="J1300" s="3" t="s">
        <v>60</v>
      </c>
      <c r="L1300" s="2" t="s">
        <v>16860</v>
      </c>
      <c r="M1300" s="3" t="s">
        <v>937</v>
      </c>
      <c r="O1300" s="3" t="s">
        <v>65</v>
      </c>
      <c r="P1300" s="3" t="s">
        <v>1811</v>
      </c>
      <c r="R1300" s="3" t="s">
        <v>67</v>
      </c>
      <c r="S1300" s="4">
        <v>2</v>
      </c>
      <c r="T1300" s="4">
        <v>2</v>
      </c>
      <c r="U1300" s="5" t="s">
        <v>16861</v>
      </c>
      <c r="V1300" s="5" t="s">
        <v>16861</v>
      </c>
      <c r="W1300" s="5" t="s">
        <v>5038</v>
      </c>
      <c r="X1300" s="5" t="s">
        <v>5038</v>
      </c>
      <c r="Y1300" s="4">
        <v>283</v>
      </c>
      <c r="Z1300" s="4">
        <v>224</v>
      </c>
      <c r="AA1300" s="4">
        <v>226</v>
      </c>
      <c r="AB1300" s="4">
        <v>3</v>
      </c>
      <c r="AC1300" s="4">
        <v>3</v>
      </c>
      <c r="AD1300" s="4">
        <v>8</v>
      </c>
      <c r="AE1300" s="4">
        <v>8</v>
      </c>
      <c r="AF1300" s="4">
        <v>2</v>
      </c>
      <c r="AG1300" s="4">
        <v>2</v>
      </c>
      <c r="AH1300" s="4">
        <v>2</v>
      </c>
      <c r="AI1300" s="4">
        <v>2</v>
      </c>
      <c r="AJ1300" s="4">
        <v>4</v>
      </c>
      <c r="AK1300" s="4">
        <v>4</v>
      </c>
      <c r="AL1300" s="4">
        <v>2</v>
      </c>
      <c r="AM1300" s="4">
        <v>2</v>
      </c>
      <c r="AN1300" s="4">
        <v>0</v>
      </c>
      <c r="AO1300" s="4">
        <v>0</v>
      </c>
      <c r="AP1300" s="3" t="s">
        <v>58</v>
      </c>
      <c r="AQ1300" s="3" t="s">
        <v>87</v>
      </c>
      <c r="AR1300" s="6" t="str">
        <f>HYPERLINK("http://catalog.hathitrust.org/Record/007840284","HathiTrust Record")</f>
        <v>HathiTrust Record</v>
      </c>
      <c r="AS1300" s="6" t="str">
        <f>HYPERLINK("https://creighton-primo.hosted.exlibrisgroup.com/primo-explore/search?tab=default_tab&amp;search_scope=EVERYTHING&amp;vid=01CRU&amp;lang=en_US&amp;offset=0&amp;query=any,contains,991004265389702656","Catalog Record")</f>
        <v>Catalog Record</v>
      </c>
      <c r="AT1300" s="6" t="str">
        <f>HYPERLINK("http://www.worldcat.org/oclc/2862724","WorldCat Record")</f>
        <v>WorldCat Record</v>
      </c>
      <c r="AU1300" s="3" t="s">
        <v>16862</v>
      </c>
      <c r="AV1300" s="3" t="s">
        <v>16863</v>
      </c>
      <c r="AW1300" s="3" t="s">
        <v>16864</v>
      </c>
      <c r="AX1300" s="3" t="s">
        <v>16864</v>
      </c>
      <c r="AY1300" s="3" t="s">
        <v>16865</v>
      </c>
      <c r="AZ1300" s="3" t="s">
        <v>74</v>
      </c>
      <c r="BB1300" s="3" t="s">
        <v>16866</v>
      </c>
      <c r="BC1300" s="3" t="s">
        <v>16867</v>
      </c>
      <c r="BD1300" s="3" t="s">
        <v>16868</v>
      </c>
    </row>
    <row r="1301" spans="1:56" ht="45.75" customHeight="1" x14ac:dyDescent="0.25">
      <c r="A1301" s="7" t="s">
        <v>58</v>
      </c>
      <c r="B1301" s="2" t="s">
        <v>16869</v>
      </c>
      <c r="C1301" s="2" t="s">
        <v>16870</v>
      </c>
      <c r="D1301" s="2" t="s">
        <v>16871</v>
      </c>
      <c r="F1301" s="3" t="s">
        <v>58</v>
      </c>
      <c r="G1301" s="3" t="s">
        <v>59</v>
      </c>
      <c r="H1301" s="3" t="s">
        <v>58</v>
      </c>
      <c r="I1301" s="3" t="s">
        <v>58</v>
      </c>
      <c r="J1301" s="3" t="s">
        <v>60</v>
      </c>
      <c r="K1301" s="2" t="s">
        <v>16872</v>
      </c>
      <c r="L1301" s="2" t="s">
        <v>16873</v>
      </c>
      <c r="M1301" s="3" t="s">
        <v>131</v>
      </c>
      <c r="O1301" s="3" t="s">
        <v>65</v>
      </c>
      <c r="P1301" s="3" t="s">
        <v>84</v>
      </c>
      <c r="R1301" s="3" t="s">
        <v>67</v>
      </c>
      <c r="S1301" s="4">
        <v>1</v>
      </c>
      <c r="T1301" s="4">
        <v>1</v>
      </c>
      <c r="U1301" s="5" t="s">
        <v>16874</v>
      </c>
      <c r="V1301" s="5" t="s">
        <v>16874</v>
      </c>
      <c r="W1301" s="5" t="s">
        <v>16874</v>
      </c>
      <c r="X1301" s="5" t="s">
        <v>16874</v>
      </c>
      <c r="Y1301" s="4">
        <v>358</v>
      </c>
      <c r="Z1301" s="4">
        <v>294</v>
      </c>
      <c r="AA1301" s="4">
        <v>957</v>
      </c>
      <c r="AB1301" s="4">
        <v>5</v>
      </c>
      <c r="AC1301" s="4">
        <v>21</v>
      </c>
      <c r="AD1301" s="4">
        <v>3</v>
      </c>
      <c r="AE1301" s="4">
        <v>23</v>
      </c>
      <c r="AF1301" s="4">
        <v>1</v>
      </c>
      <c r="AG1301" s="4">
        <v>6</v>
      </c>
      <c r="AH1301" s="4">
        <v>1</v>
      </c>
      <c r="AI1301" s="4">
        <v>4</v>
      </c>
      <c r="AJ1301" s="4">
        <v>1</v>
      </c>
      <c r="AK1301" s="4">
        <v>7</v>
      </c>
      <c r="AL1301" s="4">
        <v>1</v>
      </c>
      <c r="AM1301" s="4">
        <v>10</v>
      </c>
      <c r="AN1301" s="4">
        <v>0</v>
      </c>
      <c r="AO1301" s="4">
        <v>0</v>
      </c>
      <c r="AP1301" s="3" t="s">
        <v>58</v>
      </c>
      <c r="AQ1301" s="3" t="s">
        <v>58</v>
      </c>
      <c r="AS1301" s="6" t="str">
        <f>HYPERLINK("https://creighton-primo.hosted.exlibrisgroup.com/primo-explore/search?tab=default_tab&amp;search_scope=EVERYTHING&amp;vid=01CRU&amp;lang=en_US&amp;offset=0&amp;query=any,contains,991004769879702656","Catalog Record")</f>
        <v>Catalog Record</v>
      </c>
      <c r="AT1301" s="6" t="str">
        <f>HYPERLINK("http://www.worldcat.org/oclc/62302313","WorldCat Record")</f>
        <v>WorldCat Record</v>
      </c>
      <c r="AU1301" s="3" t="s">
        <v>16875</v>
      </c>
      <c r="AV1301" s="3" t="s">
        <v>16876</v>
      </c>
      <c r="AW1301" s="3" t="s">
        <v>16877</v>
      </c>
      <c r="AX1301" s="3" t="s">
        <v>16877</v>
      </c>
      <c r="AY1301" s="3" t="s">
        <v>16878</v>
      </c>
      <c r="AZ1301" s="3" t="s">
        <v>74</v>
      </c>
      <c r="BB1301" s="3" t="s">
        <v>16879</v>
      </c>
      <c r="BC1301" s="3" t="s">
        <v>16880</v>
      </c>
      <c r="BD1301" s="3" t="s">
        <v>16881</v>
      </c>
    </row>
    <row r="1302" spans="1:56" ht="45.75" customHeight="1" x14ac:dyDescent="0.25">
      <c r="A1302" s="7" t="s">
        <v>58</v>
      </c>
      <c r="B1302" s="2" t="s">
        <v>16882</v>
      </c>
      <c r="C1302" s="2" t="s">
        <v>16883</v>
      </c>
      <c r="D1302" s="2" t="s">
        <v>16884</v>
      </c>
      <c r="F1302" s="3" t="s">
        <v>58</v>
      </c>
      <c r="G1302" s="3" t="s">
        <v>59</v>
      </c>
      <c r="H1302" s="3" t="s">
        <v>58</v>
      </c>
      <c r="I1302" s="3" t="s">
        <v>58</v>
      </c>
      <c r="J1302" s="3" t="s">
        <v>60</v>
      </c>
      <c r="K1302" s="2" t="s">
        <v>16885</v>
      </c>
      <c r="L1302" s="2" t="s">
        <v>2337</v>
      </c>
      <c r="M1302" s="3" t="s">
        <v>1623</v>
      </c>
      <c r="O1302" s="3" t="s">
        <v>65</v>
      </c>
      <c r="P1302" s="3" t="s">
        <v>190</v>
      </c>
      <c r="R1302" s="3" t="s">
        <v>67</v>
      </c>
      <c r="S1302" s="4">
        <v>2</v>
      </c>
      <c r="T1302" s="4">
        <v>2</v>
      </c>
      <c r="U1302" s="5" t="s">
        <v>16886</v>
      </c>
      <c r="V1302" s="5" t="s">
        <v>16886</v>
      </c>
      <c r="W1302" s="5" t="s">
        <v>5038</v>
      </c>
      <c r="X1302" s="5" t="s">
        <v>5038</v>
      </c>
      <c r="Y1302" s="4">
        <v>275</v>
      </c>
      <c r="Z1302" s="4">
        <v>244</v>
      </c>
      <c r="AA1302" s="4">
        <v>251</v>
      </c>
      <c r="AB1302" s="4">
        <v>4</v>
      </c>
      <c r="AC1302" s="4">
        <v>4</v>
      </c>
      <c r="AD1302" s="4">
        <v>9</v>
      </c>
      <c r="AE1302" s="4">
        <v>9</v>
      </c>
      <c r="AF1302" s="4">
        <v>0</v>
      </c>
      <c r="AG1302" s="4">
        <v>0</v>
      </c>
      <c r="AH1302" s="4">
        <v>2</v>
      </c>
      <c r="AI1302" s="4">
        <v>2</v>
      </c>
      <c r="AJ1302" s="4">
        <v>5</v>
      </c>
      <c r="AK1302" s="4">
        <v>5</v>
      </c>
      <c r="AL1302" s="4">
        <v>3</v>
      </c>
      <c r="AM1302" s="4">
        <v>3</v>
      </c>
      <c r="AN1302" s="4">
        <v>0</v>
      </c>
      <c r="AO1302" s="4">
        <v>0</v>
      </c>
      <c r="AP1302" s="3" t="s">
        <v>58</v>
      </c>
      <c r="AQ1302" s="3" t="s">
        <v>87</v>
      </c>
      <c r="AR1302" s="6" t="str">
        <f>HYPERLINK("http://catalog.hathitrust.org/Record/001132812","HathiTrust Record")</f>
        <v>HathiTrust Record</v>
      </c>
      <c r="AS1302" s="6" t="str">
        <f>HYPERLINK("https://creighton-primo.hosted.exlibrisgroup.com/primo-explore/search?tab=default_tab&amp;search_scope=EVERYTHING&amp;vid=01CRU&amp;lang=en_US&amp;offset=0&amp;query=any,contains,991002078479702656","Catalog Record")</f>
        <v>Catalog Record</v>
      </c>
      <c r="AT1302" s="6" t="str">
        <f>HYPERLINK("http://www.worldcat.org/oclc/264111","WorldCat Record")</f>
        <v>WorldCat Record</v>
      </c>
      <c r="AU1302" s="3" t="s">
        <v>16887</v>
      </c>
      <c r="AV1302" s="3" t="s">
        <v>16888</v>
      </c>
      <c r="AW1302" s="3" t="s">
        <v>16889</v>
      </c>
      <c r="AX1302" s="3" t="s">
        <v>16889</v>
      </c>
      <c r="AY1302" s="3" t="s">
        <v>16890</v>
      </c>
      <c r="AZ1302" s="3" t="s">
        <v>74</v>
      </c>
      <c r="BC1302" s="3" t="s">
        <v>16891</v>
      </c>
      <c r="BD1302" s="3" t="s">
        <v>16892</v>
      </c>
    </row>
    <row r="1303" spans="1:56" ht="45.75" customHeight="1" x14ac:dyDescent="0.25">
      <c r="A1303" s="7" t="s">
        <v>58</v>
      </c>
      <c r="B1303" s="2" t="s">
        <v>16893</v>
      </c>
      <c r="C1303" s="2" t="s">
        <v>16894</v>
      </c>
      <c r="D1303" s="2" t="s">
        <v>16895</v>
      </c>
      <c r="F1303" s="3" t="s">
        <v>58</v>
      </c>
      <c r="G1303" s="3" t="s">
        <v>59</v>
      </c>
      <c r="H1303" s="3" t="s">
        <v>58</v>
      </c>
      <c r="I1303" s="3" t="s">
        <v>58</v>
      </c>
      <c r="J1303" s="3" t="s">
        <v>60</v>
      </c>
      <c r="K1303" s="2" t="s">
        <v>16896</v>
      </c>
      <c r="L1303" s="2" t="s">
        <v>16897</v>
      </c>
      <c r="M1303" s="3" t="s">
        <v>263</v>
      </c>
      <c r="N1303" s="2" t="s">
        <v>543</v>
      </c>
      <c r="O1303" s="3" t="s">
        <v>65</v>
      </c>
      <c r="P1303" s="3" t="s">
        <v>84</v>
      </c>
      <c r="R1303" s="3" t="s">
        <v>67</v>
      </c>
      <c r="S1303" s="4">
        <v>4</v>
      </c>
      <c r="T1303" s="4">
        <v>4</v>
      </c>
      <c r="U1303" s="5" t="s">
        <v>16898</v>
      </c>
      <c r="V1303" s="5" t="s">
        <v>16898</v>
      </c>
      <c r="W1303" s="5" t="s">
        <v>12085</v>
      </c>
      <c r="X1303" s="5" t="s">
        <v>12085</v>
      </c>
      <c r="Y1303" s="4">
        <v>817</v>
      </c>
      <c r="Z1303" s="4">
        <v>754</v>
      </c>
      <c r="AA1303" s="4">
        <v>805</v>
      </c>
      <c r="AB1303" s="4">
        <v>5</v>
      </c>
      <c r="AC1303" s="4">
        <v>5</v>
      </c>
      <c r="AD1303" s="4">
        <v>21</v>
      </c>
      <c r="AE1303" s="4">
        <v>22</v>
      </c>
      <c r="AF1303" s="4">
        <v>5</v>
      </c>
      <c r="AG1303" s="4">
        <v>6</v>
      </c>
      <c r="AH1303" s="4">
        <v>7</v>
      </c>
      <c r="AI1303" s="4">
        <v>7</v>
      </c>
      <c r="AJ1303" s="4">
        <v>12</v>
      </c>
      <c r="AK1303" s="4">
        <v>12</v>
      </c>
      <c r="AL1303" s="4">
        <v>4</v>
      </c>
      <c r="AM1303" s="4">
        <v>4</v>
      </c>
      <c r="AN1303" s="4">
        <v>0</v>
      </c>
      <c r="AO1303" s="4">
        <v>0</v>
      </c>
      <c r="AP1303" s="3" t="s">
        <v>58</v>
      </c>
      <c r="AQ1303" s="3" t="s">
        <v>58</v>
      </c>
      <c r="AS1303" s="6" t="str">
        <f>HYPERLINK("https://creighton-primo.hosted.exlibrisgroup.com/primo-explore/search?tab=default_tab&amp;search_scope=EVERYTHING&amp;vid=01CRU&amp;lang=en_US&amp;offset=0&amp;query=any,contains,991002654629702656","Catalog Record")</f>
        <v>Catalog Record</v>
      </c>
      <c r="AT1303" s="6" t="str">
        <f>HYPERLINK("http://www.worldcat.org/oclc/34705050","WorldCat Record")</f>
        <v>WorldCat Record</v>
      </c>
      <c r="AU1303" s="3" t="s">
        <v>16899</v>
      </c>
      <c r="AV1303" s="3" t="s">
        <v>16900</v>
      </c>
      <c r="AW1303" s="3" t="s">
        <v>16901</v>
      </c>
      <c r="AX1303" s="3" t="s">
        <v>16901</v>
      </c>
      <c r="AY1303" s="3" t="s">
        <v>16902</v>
      </c>
      <c r="AZ1303" s="3" t="s">
        <v>74</v>
      </c>
      <c r="BB1303" s="3" t="s">
        <v>16903</v>
      </c>
      <c r="BC1303" s="3" t="s">
        <v>16904</v>
      </c>
      <c r="BD1303" s="3" t="s">
        <v>16905</v>
      </c>
    </row>
    <row r="1304" spans="1:56" ht="45.75" customHeight="1" x14ac:dyDescent="0.25">
      <c r="A1304" s="7" t="s">
        <v>58</v>
      </c>
      <c r="B1304" s="2" t="s">
        <v>16906</v>
      </c>
      <c r="C1304" s="2" t="s">
        <v>16907</v>
      </c>
      <c r="D1304" s="2" t="s">
        <v>16908</v>
      </c>
      <c r="F1304" s="3" t="s">
        <v>58</v>
      </c>
      <c r="G1304" s="3" t="s">
        <v>59</v>
      </c>
      <c r="H1304" s="3" t="s">
        <v>58</v>
      </c>
      <c r="I1304" s="3" t="s">
        <v>87</v>
      </c>
      <c r="J1304" s="3" t="s">
        <v>60</v>
      </c>
      <c r="K1304" s="2" t="s">
        <v>16909</v>
      </c>
      <c r="L1304" s="2" t="s">
        <v>16910</v>
      </c>
      <c r="M1304" s="3" t="s">
        <v>1674</v>
      </c>
      <c r="O1304" s="3" t="s">
        <v>65</v>
      </c>
      <c r="P1304" s="3" t="s">
        <v>84</v>
      </c>
      <c r="R1304" s="3" t="s">
        <v>67</v>
      </c>
      <c r="S1304" s="4">
        <v>2</v>
      </c>
      <c r="T1304" s="4">
        <v>2</v>
      </c>
      <c r="U1304" s="5" t="s">
        <v>5410</v>
      </c>
      <c r="V1304" s="5" t="s">
        <v>5410</v>
      </c>
      <c r="W1304" s="5" t="s">
        <v>9192</v>
      </c>
      <c r="X1304" s="5" t="s">
        <v>9192</v>
      </c>
      <c r="Y1304" s="4">
        <v>223</v>
      </c>
      <c r="Z1304" s="4">
        <v>197</v>
      </c>
      <c r="AA1304" s="4">
        <v>743</v>
      </c>
      <c r="AB1304" s="4">
        <v>2</v>
      </c>
      <c r="AC1304" s="4">
        <v>6</v>
      </c>
      <c r="AD1304" s="4">
        <v>8</v>
      </c>
      <c r="AE1304" s="4">
        <v>45</v>
      </c>
      <c r="AF1304" s="4">
        <v>1</v>
      </c>
      <c r="AG1304" s="4">
        <v>10</v>
      </c>
      <c r="AH1304" s="4">
        <v>4</v>
      </c>
      <c r="AI1304" s="4">
        <v>8</v>
      </c>
      <c r="AJ1304" s="4">
        <v>3</v>
      </c>
      <c r="AK1304" s="4">
        <v>12</v>
      </c>
      <c r="AL1304" s="4">
        <v>1</v>
      </c>
      <c r="AM1304" s="4">
        <v>3</v>
      </c>
      <c r="AN1304" s="4">
        <v>0</v>
      </c>
      <c r="AO1304" s="4">
        <v>17</v>
      </c>
      <c r="AP1304" s="3" t="s">
        <v>58</v>
      </c>
      <c r="AQ1304" s="3" t="s">
        <v>87</v>
      </c>
      <c r="AR1304" s="6" t="str">
        <f>HYPERLINK("http://catalog.hathitrust.org/Record/004403090","HathiTrust Record")</f>
        <v>HathiTrust Record</v>
      </c>
      <c r="AS1304" s="6" t="str">
        <f>HYPERLINK("https://creighton-primo.hosted.exlibrisgroup.com/primo-explore/search?tab=default_tab&amp;search_scope=EVERYTHING&amp;vid=01CRU&amp;lang=en_US&amp;offset=0&amp;query=any,contains,991001227949702656","Catalog Record")</f>
        <v>Catalog Record</v>
      </c>
      <c r="AT1304" s="6" t="str">
        <f>HYPERLINK("http://www.worldcat.org/oclc/200860","WorldCat Record")</f>
        <v>WorldCat Record</v>
      </c>
      <c r="AU1304" s="3" t="s">
        <v>16911</v>
      </c>
      <c r="AV1304" s="3" t="s">
        <v>16912</v>
      </c>
      <c r="AW1304" s="3" t="s">
        <v>16913</v>
      </c>
      <c r="AX1304" s="3" t="s">
        <v>16913</v>
      </c>
      <c r="AY1304" s="3" t="s">
        <v>16914</v>
      </c>
      <c r="AZ1304" s="3" t="s">
        <v>74</v>
      </c>
      <c r="BC1304" s="3" t="s">
        <v>16915</v>
      </c>
      <c r="BD1304" s="3" t="s">
        <v>16916</v>
      </c>
    </row>
    <row r="1305" spans="1:56" ht="45.75" customHeight="1" x14ac:dyDescent="0.25">
      <c r="A1305" s="7" t="s">
        <v>58</v>
      </c>
      <c r="B1305" s="2" t="s">
        <v>16917</v>
      </c>
      <c r="C1305" s="2" t="s">
        <v>16918</v>
      </c>
      <c r="D1305" s="2" t="s">
        <v>16919</v>
      </c>
      <c r="F1305" s="3" t="s">
        <v>58</v>
      </c>
      <c r="G1305" s="3" t="s">
        <v>59</v>
      </c>
      <c r="H1305" s="3" t="s">
        <v>58</v>
      </c>
      <c r="I1305" s="3" t="s">
        <v>58</v>
      </c>
      <c r="J1305" s="3" t="s">
        <v>60</v>
      </c>
      <c r="K1305" s="2" t="s">
        <v>16920</v>
      </c>
      <c r="L1305" s="2" t="s">
        <v>16921</v>
      </c>
      <c r="M1305" s="3" t="s">
        <v>867</v>
      </c>
      <c r="O1305" s="3" t="s">
        <v>65</v>
      </c>
      <c r="P1305" s="3" t="s">
        <v>66</v>
      </c>
      <c r="R1305" s="3" t="s">
        <v>67</v>
      </c>
      <c r="S1305" s="4">
        <v>2</v>
      </c>
      <c r="T1305" s="4">
        <v>2</v>
      </c>
      <c r="U1305" s="5" t="s">
        <v>16922</v>
      </c>
      <c r="V1305" s="5" t="s">
        <v>16922</v>
      </c>
      <c r="W1305" s="5" t="s">
        <v>5200</v>
      </c>
      <c r="X1305" s="5" t="s">
        <v>5200</v>
      </c>
      <c r="Y1305" s="4">
        <v>288</v>
      </c>
      <c r="Z1305" s="4">
        <v>265</v>
      </c>
      <c r="AA1305" s="4">
        <v>541</v>
      </c>
      <c r="AB1305" s="4">
        <v>2</v>
      </c>
      <c r="AC1305" s="4">
        <v>5</v>
      </c>
      <c r="AD1305" s="4">
        <v>7</v>
      </c>
      <c r="AE1305" s="4">
        <v>20</v>
      </c>
      <c r="AF1305" s="4">
        <v>2</v>
      </c>
      <c r="AG1305" s="4">
        <v>5</v>
      </c>
      <c r="AH1305" s="4">
        <v>1</v>
      </c>
      <c r="AI1305" s="4">
        <v>4</v>
      </c>
      <c r="AJ1305" s="4">
        <v>5</v>
      </c>
      <c r="AK1305" s="4">
        <v>10</v>
      </c>
      <c r="AL1305" s="4">
        <v>1</v>
      </c>
      <c r="AM1305" s="4">
        <v>4</v>
      </c>
      <c r="AN1305" s="4">
        <v>0</v>
      </c>
      <c r="AO1305" s="4">
        <v>0</v>
      </c>
      <c r="AP1305" s="3" t="s">
        <v>58</v>
      </c>
      <c r="AQ1305" s="3" t="s">
        <v>58</v>
      </c>
      <c r="AS1305" s="6" t="str">
        <f>HYPERLINK("https://creighton-primo.hosted.exlibrisgroup.com/primo-explore/search?tab=default_tab&amp;search_scope=EVERYTHING&amp;vid=01CRU&amp;lang=en_US&amp;offset=0&amp;query=any,contains,991002064939702656","Catalog Record")</f>
        <v>Catalog Record</v>
      </c>
      <c r="AT1305" s="6" t="str">
        <f>HYPERLINK("http://www.worldcat.org/oclc/26401528","WorldCat Record")</f>
        <v>WorldCat Record</v>
      </c>
      <c r="AU1305" s="3" t="s">
        <v>16923</v>
      </c>
      <c r="AV1305" s="3" t="s">
        <v>16924</v>
      </c>
      <c r="AW1305" s="3" t="s">
        <v>16925</v>
      </c>
      <c r="AX1305" s="3" t="s">
        <v>16925</v>
      </c>
      <c r="AY1305" s="3" t="s">
        <v>16926</v>
      </c>
      <c r="AZ1305" s="3" t="s">
        <v>74</v>
      </c>
      <c r="BB1305" s="3" t="s">
        <v>16927</v>
      </c>
      <c r="BC1305" s="3" t="s">
        <v>16928</v>
      </c>
      <c r="BD1305" s="3" t="s">
        <v>16929</v>
      </c>
    </row>
    <row r="1306" spans="1:56" ht="45.75" customHeight="1" x14ac:dyDescent="0.25">
      <c r="A1306" s="7" t="s">
        <v>58</v>
      </c>
      <c r="B1306" s="2" t="s">
        <v>16930</v>
      </c>
      <c r="C1306" s="2" t="s">
        <v>16931</v>
      </c>
      <c r="D1306" s="2" t="s">
        <v>16932</v>
      </c>
      <c r="F1306" s="3" t="s">
        <v>58</v>
      </c>
      <c r="G1306" s="3" t="s">
        <v>59</v>
      </c>
      <c r="H1306" s="3" t="s">
        <v>58</v>
      </c>
      <c r="I1306" s="3" t="s">
        <v>58</v>
      </c>
      <c r="J1306" s="3" t="s">
        <v>60</v>
      </c>
      <c r="K1306" s="2" t="s">
        <v>16933</v>
      </c>
      <c r="L1306" s="2" t="s">
        <v>16934</v>
      </c>
      <c r="M1306" s="3" t="s">
        <v>2324</v>
      </c>
      <c r="O1306" s="3" t="s">
        <v>65</v>
      </c>
      <c r="P1306" s="3" t="s">
        <v>175</v>
      </c>
      <c r="Q1306" s="2" t="s">
        <v>16935</v>
      </c>
      <c r="R1306" s="3" t="s">
        <v>67</v>
      </c>
      <c r="S1306" s="4">
        <v>2</v>
      </c>
      <c r="T1306" s="4">
        <v>2</v>
      </c>
      <c r="U1306" s="5" t="s">
        <v>16849</v>
      </c>
      <c r="V1306" s="5" t="s">
        <v>16849</v>
      </c>
      <c r="W1306" s="5" t="s">
        <v>1240</v>
      </c>
      <c r="X1306" s="5" t="s">
        <v>1240</v>
      </c>
      <c r="Y1306" s="4">
        <v>236</v>
      </c>
      <c r="Z1306" s="4">
        <v>123</v>
      </c>
      <c r="AA1306" s="4">
        <v>130</v>
      </c>
      <c r="AB1306" s="4">
        <v>1</v>
      </c>
      <c r="AC1306" s="4">
        <v>1</v>
      </c>
      <c r="AD1306" s="4">
        <v>2</v>
      </c>
      <c r="AE1306" s="4">
        <v>2</v>
      </c>
      <c r="AF1306" s="4">
        <v>1</v>
      </c>
      <c r="AG1306" s="4">
        <v>1</v>
      </c>
      <c r="AH1306" s="4">
        <v>1</v>
      </c>
      <c r="AI1306" s="4">
        <v>1</v>
      </c>
      <c r="AJ1306" s="4">
        <v>1</v>
      </c>
      <c r="AK1306" s="4">
        <v>1</v>
      </c>
      <c r="AL1306" s="4">
        <v>0</v>
      </c>
      <c r="AM1306" s="4">
        <v>0</v>
      </c>
      <c r="AN1306" s="4">
        <v>0</v>
      </c>
      <c r="AO1306" s="4">
        <v>0</v>
      </c>
      <c r="AP1306" s="3" t="s">
        <v>58</v>
      </c>
      <c r="AQ1306" s="3" t="s">
        <v>87</v>
      </c>
      <c r="AR1306" s="6" t="str">
        <f>HYPERLINK("http://catalog.hathitrust.org/Record/000119339","HathiTrust Record")</f>
        <v>HathiTrust Record</v>
      </c>
      <c r="AS1306" s="6" t="str">
        <f>HYPERLINK("https://creighton-primo.hosted.exlibrisgroup.com/primo-explore/search?tab=default_tab&amp;search_scope=EVERYTHING&amp;vid=01CRU&amp;lang=en_US&amp;offset=0&amp;query=any,contains,991000192219702656","Catalog Record")</f>
        <v>Catalog Record</v>
      </c>
      <c r="AT1306" s="6" t="str">
        <f>HYPERLINK("http://www.worldcat.org/oclc/9413327","WorldCat Record")</f>
        <v>WorldCat Record</v>
      </c>
      <c r="AU1306" s="3" t="s">
        <v>16936</v>
      </c>
      <c r="AV1306" s="3" t="s">
        <v>16937</v>
      </c>
      <c r="AW1306" s="3" t="s">
        <v>16938</v>
      </c>
      <c r="AX1306" s="3" t="s">
        <v>16938</v>
      </c>
      <c r="AY1306" s="3" t="s">
        <v>16939</v>
      </c>
      <c r="AZ1306" s="3" t="s">
        <v>74</v>
      </c>
      <c r="BB1306" s="3" t="s">
        <v>16940</v>
      </c>
      <c r="BC1306" s="3" t="s">
        <v>16941</v>
      </c>
      <c r="BD1306" s="3" t="s">
        <v>16942</v>
      </c>
    </row>
    <row r="1307" spans="1:56" ht="45.75" customHeight="1" x14ac:dyDescent="0.25">
      <c r="A1307" s="7" t="s">
        <v>58</v>
      </c>
      <c r="B1307" s="2" t="s">
        <v>16943</v>
      </c>
      <c r="C1307" s="2" t="s">
        <v>16944</v>
      </c>
      <c r="D1307" s="2" t="s">
        <v>16945</v>
      </c>
      <c r="F1307" s="3" t="s">
        <v>58</v>
      </c>
      <c r="G1307" s="3" t="s">
        <v>59</v>
      </c>
      <c r="H1307" s="3" t="s">
        <v>58</v>
      </c>
      <c r="I1307" s="3" t="s">
        <v>58</v>
      </c>
      <c r="J1307" s="3" t="s">
        <v>60</v>
      </c>
      <c r="K1307" s="2" t="s">
        <v>5964</v>
      </c>
      <c r="L1307" s="2" t="s">
        <v>16946</v>
      </c>
      <c r="M1307" s="3" t="s">
        <v>1500</v>
      </c>
      <c r="O1307" s="3" t="s">
        <v>65</v>
      </c>
      <c r="P1307" s="3" t="s">
        <v>84</v>
      </c>
      <c r="R1307" s="3" t="s">
        <v>67</v>
      </c>
      <c r="S1307" s="4">
        <v>11</v>
      </c>
      <c r="T1307" s="4">
        <v>11</v>
      </c>
      <c r="U1307" s="5" t="s">
        <v>16947</v>
      </c>
      <c r="V1307" s="5" t="s">
        <v>16947</v>
      </c>
      <c r="W1307" s="5" t="s">
        <v>4070</v>
      </c>
      <c r="X1307" s="5" t="s">
        <v>4070</v>
      </c>
      <c r="Y1307" s="4">
        <v>551</v>
      </c>
      <c r="Z1307" s="4">
        <v>467</v>
      </c>
      <c r="AA1307" s="4">
        <v>469</v>
      </c>
      <c r="AB1307" s="4">
        <v>5</v>
      </c>
      <c r="AC1307" s="4">
        <v>5</v>
      </c>
      <c r="AD1307" s="4">
        <v>26</v>
      </c>
      <c r="AE1307" s="4">
        <v>26</v>
      </c>
      <c r="AF1307" s="4">
        <v>8</v>
      </c>
      <c r="AG1307" s="4">
        <v>8</v>
      </c>
      <c r="AH1307" s="4">
        <v>4</v>
      </c>
      <c r="AI1307" s="4">
        <v>4</v>
      </c>
      <c r="AJ1307" s="4">
        <v>9</v>
      </c>
      <c r="AK1307" s="4">
        <v>9</v>
      </c>
      <c r="AL1307" s="4">
        <v>4</v>
      </c>
      <c r="AM1307" s="4">
        <v>4</v>
      </c>
      <c r="AN1307" s="4">
        <v>6</v>
      </c>
      <c r="AO1307" s="4">
        <v>6</v>
      </c>
      <c r="AP1307" s="3" t="s">
        <v>58</v>
      </c>
      <c r="AQ1307" s="3" t="s">
        <v>87</v>
      </c>
      <c r="AR1307" s="6" t="str">
        <f>HYPERLINK("http://catalog.hathitrust.org/Record/000225759","HathiTrust Record")</f>
        <v>HathiTrust Record</v>
      </c>
      <c r="AS1307" s="6" t="str">
        <f>HYPERLINK("https://creighton-primo.hosted.exlibrisgroup.com/primo-explore/search?tab=default_tab&amp;search_scope=EVERYTHING&amp;vid=01CRU&amp;lang=en_US&amp;offset=0&amp;query=any,contains,991004969589702656","Catalog Record")</f>
        <v>Catalog Record</v>
      </c>
      <c r="AT1307" s="6" t="str">
        <f>HYPERLINK("http://www.worldcat.org/oclc/6356395","WorldCat Record")</f>
        <v>WorldCat Record</v>
      </c>
      <c r="AU1307" s="3" t="s">
        <v>16948</v>
      </c>
      <c r="AV1307" s="3" t="s">
        <v>16949</v>
      </c>
      <c r="AW1307" s="3" t="s">
        <v>16950</v>
      </c>
      <c r="AX1307" s="3" t="s">
        <v>16950</v>
      </c>
      <c r="AY1307" s="3" t="s">
        <v>16951</v>
      </c>
      <c r="AZ1307" s="3" t="s">
        <v>74</v>
      </c>
      <c r="BB1307" s="3" t="s">
        <v>16952</v>
      </c>
      <c r="BC1307" s="3" t="s">
        <v>16953</v>
      </c>
      <c r="BD1307" s="3" t="s">
        <v>16954</v>
      </c>
    </row>
    <row r="1308" spans="1:56" ht="45.75" customHeight="1" x14ac:dyDescent="0.25">
      <c r="A1308" s="7" t="s">
        <v>58</v>
      </c>
      <c r="B1308" s="2" t="s">
        <v>16955</v>
      </c>
      <c r="C1308" s="2" t="s">
        <v>16956</v>
      </c>
      <c r="D1308" s="2" t="s">
        <v>16957</v>
      </c>
      <c r="F1308" s="3" t="s">
        <v>58</v>
      </c>
      <c r="G1308" s="3" t="s">
        <v>59</v>
      </c>
      <c r="H1308" s="3" t="s">
        <v>58</v>
      </c>
      <c r="I1308" s="3" t="s">
        <v>58</v>
      </c>
      <c r="J1308" s="3" t="s">
        <v>60</v>
      </c>
      <c r="L1308" s="2" t="s">
        <v>12192</v>
      </c>
      <c r="M1308" s="3" t="s">
        <v>1485</v>
      </c>
      <c r="O1308" s="3" t="s">
        <v>65</v>
      </c>
      <c r="P1308" s="3" t="s">
        <v>148</v>
      </c>
      <c r="R1308" s="3" t="s">
        <v>67</v>
      </c>
      <c r="S1308" s="4">
        <v>4</v>
      </c>
      <c r="T1308" s="4">
        <v>4</v>
      </c>
      <c r="U1308" s="5" t="s">
        <v>16947</v>
      </c>
      <c r="V1308" s="5" t="s">
        <v>16947</v>
      </c>
      <c r="W1308" s="5" t="s">
        <v>9192</v>
      </c>
      <c r="X1308" s="5" t="s">
        <v>9192</v>
      </c>
      <c r="Y1308" s="4">
        <v>343</v>
      </c>
      <c r="Z1308" s="4">
        <v>282</v>
      </c>
      <c r="AA1308" s="4">
        <v>290</v>
      </c>
      <c r="AB1308" s="4">
        <v>3</v>
      </c>
      <c r="AC1308" s="4">
        <v>3</v>
      </c>
      <c r="AD1308" s="4">
        <v>13</v>
      </c>
      <c r="AE1308" s="4">
        <v>13</v>
      </c>
      <c r="AF1308" s="4">
        <v>3</v>
      </c>
      <c r="AG1308" s="4">
        <v>3</v>
      </c>
      <c r="AH1308" s="4">
        <v>3</v>
      </c>
      <c r="AI1308" s="4">
        <v>3</v>
      </c>
      <c r="AJ1308" s="4">
        <v>6</v>
      </c>
      <c r="AK1308" s="4">
        <v>6</v>
      </c>
      <c r="AL1308" s="4">
        <v>1</v>
      </c>
      <c r="AM1308" s="4">
        <v>1</v>
      </c>
      <c r="AN1308" s="4">
        <v>3</v>
      </c>
      <c r="AO1308" s="4">
        <v>3</v>
      </c>
      <c r="AP1308" s="3" t="s">
        <v>58</v>
      </c>
      <c r="AQ1308" s="3" t="s">
        <v>87</v>
      </c>
      <c r="AR1308" s="6" t="str">
        <f>HYPERLINK("http://catalog.hathitrust.org/Record/000700239","HathiTrust Record")</f>
        <v>HathiTrust Record</v>
      </c>
      <c r="AS1308" s="6" t="str">
        <f>HYPERLINK("https://creighton-primo.hosted.exlibrisgroup.com/primo-explore/search?tab=default_tab&amp;search_scope=EVERYTHING&amp;vid=01CRU&amp;lang=en_US&amp;offset=0&amp;query=any,contains,991004041099702656","Catalog Record")</f>
        <v>Catalog Record</v>
      </c>
      <c r="AT1308" s="6" t="str">
        <f>HYPERLINK("http://www.worldcat.org/oclc/2188447","WorldCat Record")</f>
        <v>WorldCat Record</v>
      </c>
      <c r="AU1308" s="3" t="s">
        <v>16958</v>
      </c>
      <c r="AV1308" s="3" t="s">
        <v>16959</v>
      </c>
      <c r="AW1308" s="3" t="s">
        <v>16960</v>
      </c>
      <c r="AX1308" s="3" t="s">
        <v>16960</v>
      </c>
      <c r="AY1308" s="3" t="s">
        <v>16961</v>
      </c>
      <c r="AZ1308" s="3" t="s">
        <v>74</v>
      </c>
      <c r="BB1308" s="3" t="s">
        <v>16962</v>
      </c>
      <c r="BC1308" s="3" t="s">
        <v>16963</v>
      </c>
      <c r="BD1308" s="3" t="s">
        <v>16964</v>
      </c>
    </row>
    <row r="1309" spans="1:56" ht="45.75" customHeight="1" x14ac:dyDescent="0.25">
      <c r="A1309" s="7" t="s">
        <v>58</v>
      </c>
      <c r="B1309" s="2" t="s">
        <v>16965</v>
      </c>
      <c r="C1309" s="2" t="s">
        <v>16966</v>
      </c>
      <c r="D1309" s="2" t="s">
        <v>16967</v>
      </c>
      <c r="F1309" s="3" t="s">
        <v>58</v>
      </c>
      <c r="G1309" s="3" t="s">
        <v>59</v>
      </c>
      <c r="H1309" s="3" t="s">
        <v>58</v>
      </c>
      <c r="I1309" s="3" t="s">
        <v>58</v>
      </c>
      <c r="J1309" s="3" t="s">
        <v>60</v>
      </c>
      <c r="K1309" s="2" t="s">
        <v>16968</v>
      </c>
      <c r="L1309" s="2" t="s">
        <v>16969</v>
      </c>
      <c r="M1309" s="3" t="s">
        <v>937</v>
      </c>
      <c r="O1309" s="3" t="s">
        <v>65</v>
      </c>
      <c r="P1309" s="3" t="s">
        <v>84</v>
      </c>
      <c r="Q1309" s="2" t="s">
        <v>16970</v>
      </c>
      <c r="R1309" s="3" t="s">
        <v>67</v>
      </c>
      <c r="S1309" s="4">
        <v>5</v>
      </c>
      <c r="T1309" s="4">
        <v>5</v>
      </c>
      <c r="U1309" s="5" t="s">
        <v>16947</v>
      </c>
      <c r="V1309" s="5" t="s">
        <v>16947</v>
      </c>
      <c r="W1309" s="5" t="s">
        <v>16585</v>
      </c>
      <c r="X1309" s="5" t="s">
        <v>16585</v>
      </c>
      <c r="Y1309" s="4">
        <v>321</v>
      </c>
      <c r="Z1309" s="4">
        <v>269</v>
      </c>
      <c r="AA1309" s="4">
        <v>275</v>
      </c>
      <c r="AB1309" s="4">
        <v>4</v>
      </c>
      <c r="AC1309" s="4">
        <v>4</v>
      </c>
      <c r="AD1309" s="4">
        <v>14</v>
      </c>
      <c r="AE1309" s="4">
        <v>14</v>
      </c>
      <c r="AF1309" s="4">
        <v>3</v>
      </c>
      <c r="AG1309" s="4">
        <v>3</v>
      </c>
      <c r="AH1309" s="4">
        <v>1</v>
      </c>
      <c r="AI1309" s="4">
        <v>1</v>
      </c>
      <c r="AJ1309" s="4">
        <v>5</v>
      </c>
      <c r="AK1309" s="4">
        <v>5</v>
      </c>
      <c r="AL1309" s="4">
        <v>3</v>
      </c>
      <c r="AM1309" s="4">
        <v>3</v>
      </c>
      <c r="AN1309" s="4">
        <v>4</v>
      </c>
      <c r="AO1309" s="4">
        <v>4</v>
      </c>
      <c r="AP1309" s="3" t="s">
        <v>58</v>
      </c>
      <c r="AQ1309" s="3" t="s">
        <v>58</v>
      </c>
      <c r="AS1309" s="6" t="str">
        <f>HYPERLINK("https://creighton-primo.hosted.exlibrisgroup.com/primo-explore/search?tab=default_tab&amp;search_scope=EVERYTHING&amp;vid=01CRU&amp;lang=en_US&amp;offset=0&amp;query=any,contains,991004362499702656","Catalog Record")</f>
        <v>Catalog Record</v>
      </c>
      <c r="AT1309" s="6" t="str">
        <f>HYPERLINK("http://www.worldcat.org/oclc/3168117","WorldCat Record")</f>
        <v>WorldCat Record</v>
      </c>
      <c r="AU1309" s="3" t="s">
        <v>16971</v>
      </c>
      <c r="AV1309" s="3" t="s">
        <v>16972</v>
      </c>
      <c r="AW1309" s="3" t="s">
        <v>16973</v>
      </c>
      <c r="AX1309" s="3" t="s">
        <v>16973</v>
      </c>
      <c r="AY1309" s="3" t="s">
        <v>16974</v>
      </c>
      <c r="AZ1309" s="3" t="s">
        <v>74</v>
      </c>
      <c r="BB1309" s="3" t="s">
        <v>16975</v>
      </c>
      <c r="BC1309" s="3" t="s">
        <v>16976</v>
      </c>
      <c r="BD1309" s="3" t="s">
        <v>16977</v>
      </c>
    </row>
    <row r="1310" spans="1:56" ht="45.75" customHeight="1" x14ac:dyDescent="0.25">
      <c r="A1310" s="7" t="s">
        <v>58</v>
      </c>
      <c r="B1310" s="2" t="s">
        <v>16978</v>
      </c>
      <c r="C1310" s="2" t="s">
        <v>16979</v>
      </c>
      <c r="D1310" s="2" t="s">
        <v>16980</v>
      </c>
      <c r="F1310" s="3" t="s">
        <v>58</v>
      </c>
      <c r="G1310" s="3" t="s">
        <v>59</v>
      </c>
      <c r="H1310" s="3" t="s">
        <v>58</v>
      </c>
      <c r="I1310" s="3" t="s">
        <v>58</v>
      </c>
      <c r="J1310" s="3" t="s">
        <v>60</v>
      </c>
      <c r="K1310" s="2" t="s">
        <v>16981</v>
      </c>
      <c r="L1310" s="2" t="s">
        <v>16982</v>
      </c>
      <c r="M1310" s="3" t="s">
        <v>1419</v>
      </c>
      <c r="O1310" s="3" t="s">
        <v>65</v>
      </c>
      <c r="P1310" s="3" t="s">
        <v>1811</v>
      </c>
      <c r="R1310" s="3" t="s">
        <v>67</v>
      </c>
      <c r="S1310" s="4">
        <v>7</v>
      </c>
      <c r="T1310" s="4">
        <v>7</v>
      </c>
      <c r="U1310" s="5" t="s">
        <v>16983</v>
      </c>
      <c r="V1310" s="5" t="s">
        <v>16983</v>
      </c>
      <c r="W1310" s="5" t="s">
        <v>4776</v>
      </c>
      <c r="X1310" s="5" t="s">
        <v>4776</v>
      </c>
      <c r="Y1310" s="4">
        <v>337</v>
      </c>
      <c r="Z1310" s="4">
        <v>275</v>
      </c>
      <c r="AA1310" s="4">
        <v>280</v>
      </c>
      <c r="AB1310" s="4">
        <v>2</v>
      </c>
      <c r="AC1310" s="4">
        <v>2</v>
      </c>
      <c r="AD1310" s="4">
        <v>10</v>
      </c>
      <c r="AE1310" s="4">
        <v>10</v>
      </c>
      <c r="AF1310" s="4">
        <v>6</v>
      </c>
      <c r="AG1310" s="4">
        <v>6</v>
      </c>
      <c r="AH1310" s="4">
        <v>0</v>
      </c>
      <c r="AI1310" s="4">
        <v>0</v>
      </c>
      <c r="AJ1310" s="4">
        <v>6</v>
      </c>
      <c r="AK1310" s="4">
        <v>6</v>
      </c>
      <c r="AL1310" s="4">
        <v>1</v>
      </c>
      <c r="AM1310" s="4">
        <v>1</v>
      </c>
      <c r="AN1310" s="4">
        <v>0</v>
      </c>
      <c r="AO1310" s="4">
        <v>0</v>
      </c>
      <c r="AP1310" s="3" t="s">
        <v>58</v>
      </c>
      <c r="AQ1310" s="3" t="s">
        <v>58</v>
      </c>
      <c r="AS1310" s="6" t="str">
        <f>HYPERLINK("https://creighton-primo.hosted.exlibrisgroup.com/primo-explore/search?tab=default_tab&amp;search_scope=EVERYTHING&amp;vid=01CRU&amp;lang=en_US&amp;offset=0&amp;query=any,contains,991004561989702656","Catalog Record")</f>
        <v>Catalog Record</v>
      </c>
      <c r="AT1310" s="6" t="str">
        <f>HYPERLINK("http://www.worldcat.org/oclc/4003556","WorldCat Record")</f>
        <v>WorldCat Record</v>
      </c>
      <c r="AU1310" s="3" t="s">
        <v>16984</v>
      </c>
      <c r="AV1310" s="3" t="s">
        <v>16985</v>
      </c>
      <c r="AW1310" s="3" t="s">
        <v>16986</v>
      </c>
      <c r="AX1310" s="3" t="s">
        <v>16986</v>
      </c>
      <c r="AY1310" s="3" t="s">
        <v>16987</v>
      </c>
      <c r="AZ1310" s="3" t="s">
        <v>74</v>
      </c>
      <c r="BB1310" s="3" t="s">
        <v>16988</v>
      </c>
      <c r="BC1310" s="3" t="s">
        <v>16989</v>
      </c>
      <c r="BD1310" s="3" t="s">
        <v>16990</v>
      </c>
    </row>
    <row r="1311" spans="1:56" ht="45.75" customHeight="1" x14ac:dyDescent="0.25">
      <c r="A1311" s="7" t="s">
        <v>58</v>
      </c>
      <c r="B1311" s="2" t="s">
        <v>16991</v>
      </c>
      <c r="C1311" s="2" t="s">
        <v>16992</v>
      </c>
      <c r="D1311" s="2" t="s">
        <v>16993</v>
      </c>
      <c r="F1311" s="3" t="s">
        <v>58</v>
      </c>
      <c r="G1311" s="3" t="s">
        <v>59</v>
      </c>
      <c r="H1311" s="3" t="s">
        <v>58</v>
      </c>
      <c r="I1311" s="3" t="s">
        <v>58</v>
      </c>
      <c r="J1311" s="3" t="s">
        <v>60</v>
      </c>
      <c r="K1311" s="2" t="s">
        <v>16994</v>
      </c>
      <c r="L1311" s="2" t="s">
        <v>16995</v>
      </c>
      <c r="M1311" s="3" t="s">
        <v>1485</v>
      </c>
      <c r="O1311" s="3" t="s">
        <v>65</v>
      </c>
      <c r="P1311" s="3" t="s">
        <v>190</v>
      </c>
      <c r="R1311" s="3" t="s">
        <v>67</v>
      </c>
      <c r="S1311" s="4">
        <v>3</v>
      </c>
      <c r="T1311" s="4">
        <v>3</v>
      </c>
      <c r="U1311" s="5" t="s">
        <v>16996</v>
      </c>
      <c r="V1311" s="5" t="s">
        <v>16996</v>
      </c>
      <c r="W1311" s="5" t="s">
        <v>9192</v>
      </c>
      <c r="X1311" s="5" t="s">
        <v>9192</v>
      </c>
      <c r="Y1311" s="4">
        <v>670</v>
      </c>
      <c r="Z1311" s="4">
        <v>554</v>
      </c>
      <c r="AA1311" s="4">
        <v>583</v>
      </c>
      <c r="AB1311" s="4">
        <v>9</v>
      </c>
      <c r="AC1311" s="4">
        <v>9</v>
      </c>
      <c r="AD1311" s="4">
        <v>29</v>
      </c>
      <c r="AE1311" s="4">
        <v>31</v>
      </c>
      <c r="AF1311" s="4">
        <v>6</v>
      </c>
      <c r="AG1311" s="4">
        <v>8</v>
      </c>
      <c r="AH1311" s="4">
        <v>9</v>
      </c>
      <c r="AI1311" s="4">
        <v>9</v>
      </c>
      <c r="AJ1311" s="4">
        <v>8</v>
      </c>
      <c r="AK1311" s="4">
        <v>8</v>
      </c>
      <c r="AL1311" s="4">
        <v>6</v>
      </c>
      <c r="AM1311" s="4">
        <v>6</v>
      </c>
      <c r="AN1311" s="4">
        <v>6</v>
      </c>
      <c r="AO1311" s="4">
        <v>6</v>
      </c>
      <c r="AP1311" s="3" t="s">
        <v>58</v>
      </c>
      <c r="AQ1311" s="3" t="s">
        <v>58</v>
      </c>
      <c r="AS1311" s="6" t="str">
        <f>HYPERLINK("https://creighton-primo.hosted.exlibrisgroup.com/primo-explore/search?tab=default_tab&amp;search_scope=EVERYTHING&amp;vid=01CRU&amp;lang=en_US&amp;offset=0&amp;query=any,contains,991003987199702656","Catalog Record")</f>
        <v>Catalog Record</v>
      </c>
      <c r="AT1311" s="6" t="str">
        <f>HYPERLINK("http://www.worldcat.org/oclc/2034742","WorldCat Record")</f>
        <v>WorldCat Record</v>
      </c>
      <c r="AU1311" s="3" t="s">
        <v>16997</v>
      </c>
      <c r="AV1311" s="3" t="s">
        <v>16998</v>
      </c>
      <c r="AW1311" s="3" t="s">
        <v>16999</v>
      </c>
      <c r="AX1311" s="3" t="s">
        <v>16999</v>
      </c>
      <c r="AY1311" s="3" t="s">
        <v>17000</v>
      </c>
      <c r="AZ1311" s="3" t="s">
        <v>74</v>
      </c>
      <c r="BB1311" s="3" t="s">
        <v>17001</v>
      </c>
      <c r="BC1311" s="3" t="s">
        <v>17002</v>
      </c>
      <c r="BD1311" s="3" t="s">
        <v>17003</v>
      </c>
    </row>
    <row r="1312" spans="1:56" ht="45.75" customHeight="1" x14ac:dyDescent="0.25">
      <c r="A1312" s="7" t="s">
        <v>58</v>
      </c>
      <c r="B1312" s="2" t="s">
        <v>17004</v>
      </c>
      <c r="C1312" s="2" t="s">
        <v>17005</v>
      </c>
      <c r="D1312" s="2" t="s">
        <v>17006</v>
      </c>
      <c r="F1312" s="3" t="s">
        <v>58</v>
      </c>
      <c r="G1312" s="3" t="s">
        <v>59</v>
      </c>
      <c r="H1312" s="3" t="s">
        <v>58</v>
      </c>
      <c r="I1312" s="3" t="s">
        <v>58</v>
      </c>
      <c r="J1312" s="3" t="s">
        <v>60</v>
      </c>
      <c r="K1312" s="2" t="s">
        <v>6239</v>
      </c>
      <c r="L1312" s="2" t="s">
        <v>17007</v>
      </c>
      <c r="M1312" s="3" t="s">
        <v>1623</v>
      </c>
      <c r="O1312" s="3" t="s">
        <v>65</v>
      </c>
      <c r="P1312" s="3" t="s">
        <v>190</v>
      </c>
      <c r="R1312" s="3" t="s">
        <v>67</v>
      </c>
      <c r="S1312" s="4">
        <v>1</v>
      </c>
      <c r="T1312" s="4">
        <v>1</v>
      </c>
      <c r="U1312" s="5" t="s">
        <v>17008</v>
      </c>
      <c r="V1312" s="5" t="s">
        <v>17008</v>
      </c>
      <c r="W1312" s="5" t="s">
        <v>5078</v>
      </c>
      <c r="X1312" s="5" t="s">
        <v>5078</v>
      </c>
      <c r="Y1312" s="4">
        <v>372</v>
      </c>
      <c r="Z1312" s="4">
        <v>320</v>
      </c>
      <c r="AA1312" s="4">
        <v>331</v>
      </c>
      <c r="AB1312" s="4">
        <v>4</v>
      </c>
      <c r="AC1312" s="4">
        <v>4</v>
      </c>
      <c r="AD1312" s="4">
        <v>17</v>
      </c>
      <c r="AE1312" s="4">
        <v>18</v>
      </c>
      <c r="AF1312" s="4">
        <v>6</v>
      </c>
      <c r="AG1312" s="4">
        <v>7</v>
      </c>
      <c r="AH1312" s="4">
        <v>3</v>
      </c>
      <c r="AI1312" s="4">
        <v>3</v>
      </c>
      <c r="AJ1312" s="4">
        <v>4</v>
      </c>
      <c r="AK1312" s="4">
        <v>5</v>
      </c>
      <c r="AL1312" s="4">
        <v>3</v>
      </c>
      <c r="AM1312" s="4">
        <v>3</v>
      </c>
      <c r="AN1312" s="4">
        <v>4</v>
      </c>
      <c r="AO1312" s="4">
        <v>4</v>
      </c>
      <c r="AP1312" s="3" t="s">
        <v>58</v>
      </c>
      <c r="AQ1312" s="3" t="s">
        <v>87</v>
      </c>
      <c r="AR1312" s="6" t="str">
        <f>HYPERLINK("http://catalog.hathitrust.org/Record/001135620","HathiTrust Record")</f>
        <v>HathiTrust Record</v>
      </c>
      <c r="AS1312" s="6" t="str">
        <f>HYPERLINK("https://creighton-primo.hosted.exlibrisgroup.com/primo-explore/search?tab=default_tab&amp;search_scope=EVERYTHING&amp;vid=01CRU&amp;lang=en_US&amp;offset=0&amp;query=any,contains,991002096229702656","Catalog Record")</f>
        <v>Catalog Record</v>
      </c>
      <c r="AT1312" s="6" t="str">
        <f>HYPERLINK("http://www.worldcat.org/oclc/265685","WorldCat Record")</f>
        <v>WorldCat Record</v>
      </c>
      <c r="AU1312" s="3" t="s">
        <v>17009</v>
      </c>
      <c r="AV1312" s="3" t="s">
        <v>17010</v>
      </c>
      <c r="AW1312" s="3" t="s">
        <v>17011</v>
      </c>
      <c r="AX1312" s="3" t="s">
        <v>17011</v>
      </c>
      <c r="AY1312" s="3" t="s">
        <v>17012</v>
      </c>
      <c r="AZ1312" s="3" t="s">
        <v>74</v>
      </c>
      <c r="BC1312" s="3" t="s">
        <v>17013</v>
      </c>
      <c r="BD1312" s="3" t="s">
        <v>17014</v>
      </c>
    </row>
    <row r="1313" spans="1:56" ht="45.75" customHeight="1" x14ac:dyDescent="0.25">
      <c r="A1313" s="7" t="s">
        <v>58</v>
      </c>
      <c r="B1313" s="2" t="s">
        <v>17015</v>
      </c>
      <c r="C1313" s="2" t="s">
        <v>17016</v>
      </c>
      <c r="D1313" s="2" t="s">
        <v>17017</v>
      </c>
      <c r="F1313" s="3" t="s">
        <v>58</v>
      </c>
      <c r="G1313" s="3" t="s">
        <v>59</v>
      </c>
      <c r="H1313" s="3" t="s">
        <v>58</v>
      </c>
      <c r="I1313" s="3" t="s">
        <v>58</v>
      </c>
      <c r="J1313" s="3" t="s">
        <v>60</v>
      </c>
      <c r="K1313" s="2" t="s">
        <v>17018</v>
      </c>
      <c r="L1313" s="2" t="s">
        <v>17019</v>
      </c>
      <c r="M1313" s="3" t="s">
        <v>220</v>
      </c>
      <c r="O1313" s="3" t="s">
        <v>65</v>
      </c>
      <c r="P1313" s="3" t="s">
        <v>132</v>
      </c>
      <c r="R1313" s="3" t="s">
        <v>67</v>
      </c>
      <c r="S1313" s="4">
        <v>7</v>
      </c>
      <c r="T1313" s="4">
        <v>7</v>
      </c>
      <c r="U1313" s="5" t="s">
        <v>17020</v>
      </c>
      <c r="V1313" s="5" t="s">
        <v>17020</v>
      </c>
      <c r="W1313" s="5" t="s">
        <v>17021</v>
      </c>
      <c r="X1313" s="5" t="s">
        <v>17021</v>
      </c>
      <c r="Y1313" s="4">
        <v>848</v>
      </c>
      <c r="Z1313" s="4">
        <v>752</v>
      </c>
      <c r="AA1313" s="4">
        <v>760</v>
      </c>
      <c r="AB1313" s="4">
        <v>7</v>
      </c>
      <c r="AC1313" s="4">
        <v>7</v>
      </c>
      <c r="AD1313" s="4">
        <v>36</v>
      </c>
      <c r="AE1313" s="4">
        <v>37</v>
      </c>
      <c r="AF1313" s="4">
        <v>16</v>
      </c>
      <c r="AG1313" s="4">
        <v>16</v>
      </c>
      <c r="AH1313" s="4">
        <v>5</v>
      </c>
      <c r="AI1313" s="4">
        <v>6</v>
      </c>
      <c r="AJ1313" s="4">
        <v>15</v>
      </c>
      <c r="AK1313" s="4">
        <v>15</v>
      </c>
      <c r="AL1313" s="4">
        <v>6</v>
      </c>
      <c r="AM1313" s="4">
        <v>6</v>
      </c>
      <c r="AN1313" s="4">
        <v>1</v>
      </c>
      <c r="AO1313" s="4">
        <v>1</v>
      </c>
      <c r="AP1313" s="3" t="s">
        <v>58</v>
      </c>
      <c r="AQ1313" s="3" t="s">
        <v>58</v>
      </c>
      <c r="AS1313" s="6" t="str">
        <f>HYPERLINK("https://creighton-primo.hosted.exlibrisgroup.com/primo-explore/search?tab=default_tab&amp;search_scope=EVERYTHING&amp;vid=01CRU&amp;lang=en_US&amp;offset=0&amp;query=any,contains,991002945719702656","Catalog Record")</f>
        <v>Catalog Record</v>
      </c>
      <c r="AT1313" s="6" t="str">
        <f>HYPERLINK("http://www.worldcat.org/oclc/39223637","WorldCat Record")</f>
        <v>WorldCat Record</v>
      </c>
      <c r="AU1313" s="3" t="s">
        <v>17022</v>
      </c>
      <c r="AV1313" s="3" t="s">
        <v>17023</v>
      </c>
      <c r="AW1313" s="3" t="s">
        <v>17024</v>
      </c>
      <c r="AX1313" s="3" t="s">
        <v>17024</v>
      </c>
      <c r="AY1313" s="3" t="s">
        <v>17025</v>
      </c>
      <c r="AZ1313" s="3" t="s">
        <v>74</v>
      </c>
      <c r="BB1313" s="3" t="s">
        <v>17026</v>
      </c>
      <c r="BC1313" s="3" t="s">
        <v>17027</v>
      </c>
      <c r="BD1313" s="3" t="s">
        <v>17028</v>
      </c>
    </row>
    <row r="1314" spans="1:56" ht="45.75" customHeight="1" x14ac:dyDescent="0.25">
      <c r="A1314" s="7" t="s">
        <v>58</v>
      </c>
      <c r="B1314" s="2" t="s">
        <v>17029</v>
      </c>
      <c r="C1314" s="2" t="s">
        <v>17030</v>
      </c>
      <c r="D1314" s="2" t="s">
        <v>17031</v>
      </c>
      <c r="F1314" s="3" t="s">
        <v>58</v>
      </c>
      <c r="G1314" s="3" t="s">
        <v>59</v>
      </c>
      <c r="H1314" s="3" t="s">
        <v>58</v>
      </c>
      <c r="I1314" s="3" t="s">
        <v>58</v>
      </c>
      <c r="J1314" s="3" t="s">
        <v>60</v>
      </c>
      <c r="K1314" s="2" t="s">
        <v>17032</v>
      </c>
      <c r="L1314" s="2" t="s">
        <v>17033</v>
      </c>
      <c r="M1314" s="3" t="s">
        <v>189</v>
      </c>
      <c r="O1314" s="3" t="s">
        <v>65</v>
      </c>
      <c r="P1314" s="3" t="s">
        <v>84</v>
      </c>
      <c r="Q1314" s="2" t="s">
        <v>17034</v>
      </c>
      <c r="R1314" s="3" t="s">
        <v>67</v>
      </c>
      <c r="S1314" s="4">
        <v>1</v>
      </c>
      <c r="T1314" s="4">
        <v>1</v>
      </c>
      <c r="U1314" s="5" t="s">
        <v>448</v>
      </c>
      <c r="V1314" s="5" t="s">
        <v>448</v>
      </c>
      <c r="W1314" s="5" t="s">
        <v>448</v>
      </c>
      <c r="X1314" s="5" t="s">
        <v>448</v>
      </c>
      <c r="Y1314" s="4">
        <v>348</v>
      </c>
      <c r="Z1314" s="4">
        <v>298</v>
      </c>
      <c r="AA1314" s="4">
        <v>717</v>
      </c>
      <c r="AB1314" s="4">
        <v>3</v>
      </c>
      <c r="AC1314" s="4">
        <v>6</v>
      </c>
      <c r="AD1314" s="4">
        <v>18</v>
      </c>
      <c r="AE1314" s="4">
        <v>36</v>
      </c>
      <c r="AF1314" s="4">
        <v>9</v>
      </c>
      <c r="AG1314" s="4">
        <v>15</v>
      </c>
      <c r="AH1314" s="4">
        <v>1</v>
      </c>
      <c r="AI1314" s="4">
        <v>6</v>
      </c>
      <c r="AJ1314" s="4">
        <v>11</v>
      </c>
      <c r="AK1314" s="4">
        <v>16</v>
      </c>
      <c r="AL1314" s="4">
        <v>2</v>
      </c>
      <c r="AM1314" s="4">
        <v>5</v>
      </c>
      <c r="AN1314" s="4">
        <v>0</v>
      </c>
      <c r="AO1314" s="4">
        <v>1</v>
      </c>
      <c r="AP1314" s="3" t="s">
        <v>58</v>
      </c>
      <c r="AQ1314" s="3" t="s">
        <v>58</v>
      </c>
      <c r="AS1314" s="6" t="str">
        <f>HYPERLINK("https://creighton-primo.hosted.exlibrisgroup.com/primo-explore/search?tab=default_tab&amp;search_scope=EVERYTHING&amp;vid=01CRU&amp;lang=en_US&amp;offset=0&amp;query=any,contains,991005334639702656","Catalog Record")</f>
        <v>Catalog Record</v>
      </c>
      <c r="AT1314" s="6" t="str">
        <f>HYPERLINK("http://www.worldcat.org/oclc/276816808","WorldCat Record")</f>
        <v>WorldCat Record</v>
      </c>
      <c r="AU1314" s="3" t="s">
        <v>17035</v>
      </c>
      <c r="AV1314" s="3" t="s">
        <v>17036</v>
      </c>
      <c r="AW1314" s="3" t="s">
        <v>17037</v>
      </c>
      <c r="AX1314" s="3" t="s">
        <v>17037</v>
      </c>
      <c r="AY1314" s="3" t="s">
        <v>17038</v>
      </c>
      <c r="AZ1314" s="3" t="s">
        <v>74</v>
      </c>
      <c r="BB1314" s="3" t="s">
        <v>17039</v>
      </c>
      <c r="BC1314" s="3" t="s">
        <v>17040</v>
      </c>
      <c r="BD1314" s="3" t="s">
        <v>17041</v>
      </c>
    </row>
    <row r="1315" spans="1:56" ht="45.75" customHeight="1" x14ac:dyDescent="0.25">
      <c r="A1315" s="7" t="s">
        <v>58</v>
      </c>
      <c r="B1315" s="2" t="s">
        <v>17042</v>
      </c>
      <c r="C1315" s="2" t="s">
        <v>17043</v>
      </c>
      <c r="D1315" s="2" t="s">
        <v>17044</v>
      </c>
      <c r="F1315" s="3" t="s">
        <v>58</v>
      </c>
      <c r="G1315" s="3" t="s">
        <v>59</v>
      </c>
      <c r="H1315" s="3" t="s">
        <v>58</v>
      </c>
      <c r="I1315" s="3" t="s">
        <v>58</v>
      </c>
      <c r="J1315" s="3" t="s">
        <v>60</v>
      </c>
      <c r="L1315" s="2" t="s">
        <v>17045</v>
      </c>
      <c r="M1315" s="3" t="s">
        <v>1209</v>
      </c>
      <c r="O1315" s="3" t="s">
        <v>65</v>
      </c>
      <c r="P1315" s="3" t="s">
        <v>84</v>
      </c>
      <c r="R1315" s="3" t="s">
        <v>67</v>
      </c>
      <c r="S1315" s="4">
        <v>14</v>
      </c>
      <c r="T1315" s="4">
        <v>14</v>
      </c>
      <c r="U1315" s="5" t="s">
        <v>17046</v>
      </c>
      <c r="V1315" s="5" t="s">
        <v>17046</v>
      </c>
      <c r="W1315" s="5" t="s">
        <v>3283</v>
      </c>
      <c r="X1315" s="5" t="s">
        <v>3283</v>
      </c>
      <c r="Y1315" s="4">
        <v>361</v>
      </c>
      <c r="Z1315" s="4">
        <v>268</v>
      </c>
      <c r="AA1315" s="4">
        <v>290</v>
      </c>
      <c r="AB1315" s="4">
        <v>2</v>
      </c>
      <c r="AC1315" s="4">
        <v>2</v>
      </c>
      <c r="AD1315" s="4">
        <v>8</v>
      </c>
      <c r="AE1315" s="4">
        <v>10</v>
      </c>
      <c r="AF1315" s="4">
        <v>2</v>
      </c>
      <c r="AG1315" s="4">
        <v>4</v>
      </c>
      <c r="AH1315" s="4">
        <v>3</v>
      </c>
      <c r="AI1315" s="4">
        <v>3</v>
      </c>
      <c r="AJ1315" s="4">
        <v>5</v>
      </c>
      <c r="AK1315" s="4">
        <v>6</v>
      </c>
      <c r="AL1315" s="4">
        <v>1</v>
      </c>
      <c r="AM1315" s="4">
        <v>1</v>
      </c>
      <c r="AN1315" s="4">
        <v>0</v>
      </c>
      <c r="AO1315" s="4">
        <v>0</v>
      </c>
      <c r="AP1315" s="3" t="s">
        <v>58</v>
      </c>
      <c r="AQ1315" s="3" t="s">
        <v>87</v>
      </c>
      <c r="AR1315" s="6" t="str">
        <f>HYPERLINK("http://catalog.hathitrust.org/Record/000901120","HathiTrust Record")</f>
        <v>HathiTrust Record</v>
      </c>
      <c r="AS1315" s="6" t="str">
        <f>HYPERLINK("https://creighton-primo.hosted.exlibrisgroup.com/primo-explore/search?tab=default_tab&amp;search_scope=EVERYTHING&amp;vid=01CRU&amp;lang=en_US&amp;offset=0&amp;query=any,contains,991001165019702656","Catalog Record")</f>
        <v>Catalog Record</v>
      </c>
      <c r="AT1315" s="6" t="str">
        <f>HYPERLINK("http://www.worldcat.org/oclc/16922669","WorldCat Record")</f>
        <v>WorldCat Record</v>
      </c>
      <c r="AU1315" s="3" t="s">
        <v>17047</v>
      </c>
      <c r="AV1315" s="3" t="s">
        <v>17048</v>
      </c>
      <c r="AW1315" s="3" t="s">
        <v>17049</v>
      </c>
      <c r="AX1315" s="3" t="s">
        <v>17049</v>
      </c>
      <c r="AY1315" s="3" t="s">
        <v>17050</v>
      </c>
      <c r="AZ1315" s="3" t="s">
        <v>74</v>
      </c>
      <c r="BB1315" s="3" t="s">
        <v>17051</v>
      </c>
      <c r="BC1315" s="3" t="s">
        <v>17052</v>
      </c>
      <c r="BD1315" s="3" t="s">
        <v>17053</v>
      </c>
    </row>
    <row r="1316" spans="1:56" ht="45.75" customHeight="1" x14ac:dyDescent="0.25">
      <c r="A1316" s="7" t="s">
        <v>58</v>
      </c>
      <c r="B1316" s="2" t="s">
        <v>17054</v>
      </c>
      <c r="C1316" s="2" t="s">
        <v>17055</v>
      </c>
      <c r="D1316" s="2" t="s">
        <v>17056</v>
      </c>
      <c r="F1316" s="3" t="s">
        <v>58</v>
      </c>
      <c r="G1316" s="3" t="s">
        <v>59</v>
      </c>
      <c r="H1316" s="3" t="s">
        <v>58</v>
      </c>
      <c r="I1316" s="3" t="s">
        <v>58</v>
      </c>
      <c r="J1316" s="3" t="s">
        <v>60</v>
      </c>
      <c r="L1316" s="2" t="s">
        <v>17057</v>
      </c>
      <c r="M1316" s="3" t="s">
        <v>1419</v>
      </c>
      <c r="O1316" s="3" t="s">
        <v>65</v>
      </c>
      <c r="P1316" s="3" t="s">
        <v>84</v>
      </c>
      <c r="Q1316" s="2" t="s">
        <v>17058</v>
      </c>
      <c r="R1316" s="3" t="s">
        <v>67</v>
      </c>
      <c r="S1316" s="4">
        <v>3</v>
      </c>
      <c r="T1316" s="4">
        <v>3</v>
      </c>
      <c r="U1316" s="5" t="s">
        <v>2532</v>
      </c>
      <c r="V1316" s="5" t="s">
        <v>2532</v>
      </c>
      <c r="W1316" s="5" t="s">
        <v>5223</v>
      </c>
      <c r="X1316" s="5" t="s">
        <v>5223</v>
      </c>
      <c r="Y1316" s="4">
        <v>595</v>
      </c>
      <c r="Z1316" s="4">
        <v>531</v>
      </c>
      <c r="AA1316" s="4">
        <v>532</v>
      </c>
      <c r="AB1316" s="4">
        <v>5</v>
      </c>
      <c r="AC1316" s="4">
        <v>5</v>
      </c>
      <c r="AD1316" s="4">
        <v>38</v>
      </c>
      <c r="AE1316" s="4">
        <v>38</v>
      </c>
      <c r="AF1316" s="4">
        <v>9</v>
      </c>
      <c r="AG1316" s="4">
        <v>9</v>
      </c>
      <c r="AH1316" s="4">
        <v>9</v>
      </c>
      <c r="AI1316" s="4">
        <v>9</v>
      </c>
      <c r="AJ1316" s="4">
        <v>10</v>
      </c>
      <c r="AK1316" s="4">
        <v>10</v>
      </c>
      <c r="AL1316" s="4">
        <v>3</v>
      </c>
      <c r="AM1316" s="4">
        <v>3</v>
      </c>
      <c r="AN1316" s="4">
        <v>15</v>
      </c>
      <c r="AO1316" s="4">
        <v>15</v>
      </c>
      <c r="AP1316" s="3" t="s">
        <v>58</v>
      </c>
      <c r="AQ1316" s="3" t="s">
        <v>58</v>
      </c>
      <c r="AS1316" s="6" t="str">
        <f>HYPERLINK("https://creighton-primo.hosted.exlibrisgroup.com/primo-explore/search?tab=default_tab&amp;search_scope=EVERYTHING&amp;vid=01CRU&amp;lang=en_US&amp;offset=0&amp;query=any,contains,991004458299702656","Catalog Record")</f>
        <v>Catalog Record</v>
      </c>
      <c r="AT1316" s="6" t="str">
        <f>HYPERLINK("http://www.worldcat.org/oclc/3540502","WorldCat Record")</f>
        <v>WorldCat Record</v>
      </c>
      <c r="AU1316" s="3" t="s">
        <v>17059</v>
      </c>
      <c r="AV1316" s="3" t="s">
        <v>17060</v>
      </c>
      <c r="AW1316" s="3" t="s">
        <v>17061</v>
      </c>
      <c r="AX1316" s="3" t="s">
        <v>17061</v>
      </c>
      <c r="AY1316" s="3" t="s">
        <v>17062</v>
      </c>
      <c r="AZ1316" s="3" t="s">
        <v>74</v>
      </c>
      <c r="BB1316" s="3" t="s">
        <v>17063</v>
      </c>
      <c r="BC1316" s="3" t="s">
        <v>17064</v>
      </c>
      <c r="BD1316" s="3" t="s">
        <v>17065</v>
      </c>
    </row>
    <row r="1317" spans="1:56" ht="45.75" customHeight="1" x14ac:dyDescent="0.25">
      <c r="A1317" s="7" t="s">
        <v>58</v>
      </c>
      <c r="B1317" s="2" t="s">
        <v>17066</v>
      </c>
      <c r="C1317" s="2" t="s">
        <v>17067</v>
      </c>
      <c r="D1317" s="2" t="s">
        <v>17068</v>
      </c>
      <c r="F1317" s="3" t="s">
        <v>58</v>
      </c>
      <c r="G1317" s="3" t="s">
        <v>59</v>
      </c>
      <c r="H1317" s="3" t="s">
        <v>58</v>
      </c>
      <c r="I1317" s="3" t="s">
        <v>58</v>
      </c>
      <c r="J1317" s="3" t="s">
        <v>60</v>
      </c>
      <c r="K1317" s="2" t="s">
        <v>17069</v>
      </c>
      <c r="L1317" s="2" t="s">
        <v>17070</v>
      </c>
      <c r="M1317" s="3" t="s">
        <v>867</v>
      </c>
      <c r="O1317" s="3" t="s">
        <v>65</v>
      </c>
      <c r="P1317" s="3" t="s">
        <v>132</v>
      </c>
      <c r="Q1317" s="2" t="s">
        <v>17071</v>
      </c>
      <c r="R1317" s="3" t="s">
        <v>67</v>
      </c>
      <c r="S1317" s="4">
        <v>10</v>
      </c>
      <c r="T1317" s="4">
        <v>10</v>
      </c>
      <c r="U1317" s="5" t="s">
        <v>17072</v>
      </c>
      <c r="V1317" s="5" t="s">
        <v>17072</v>
      </c>
      <c r="W1317" s="5" t="s">
        <v>17073</v>
      </c>
      <c r="X1317" s="5" t="s">
        <v>17073</v>
      </c>
      <c r="Y1317" s="4">
        <v>411</v>
      </c>
      <c r="Z1317" s="4">
        <v>320</v>
      </c>
      <c r="AA1317" s="4">
        <v>340</v>
      </c>
      <c r="AB1317" s="4">
        <v>3</v>
      </c>
      <c r="AC1317" s="4">
        <v>3</v>
      </c>
      <c r="AD1317" s="4">
        <v>12</v>
      </c>
      <c r="AE1317" s="4">
        <v>12</v>
      </c>
      <c r="AF1317" s="4">
        <v>3</v>
      </c>
      <c r="AG1317" s="4">
        <v>3</v>
      </c>
      <c r="AH1317" s="4">
        <v>2</v>
      </c>
      <c r="AI1317" s="4">
        <v>2</v>
      </c>
      <c r="AJ1317" s="4">
        <v>7</v>
      </c>
      <c r="AK1317" s="4">
        <v>7</v>
      </c>
      <c r="AL1317" s="4">
        <v>2</v>
      </c>
      <c r="AM1317" s="4">
        <v>2</v>
      </c>
      <c r="AN1317" s="4">
        <v>0</v>
      </c>
      <c r="AO1317" s="4">
        <v>0</v>
      </c>
      <c r="AP1317" s="3" t="s">
        <v>58</v>
      </c>
      <c r="AQ1317" s="3" t="s">
        <v>58</v>
      </c>
      <c r="AS1317" s="6" t="str">
        <f>HYPERLINK("https://creighton-primo.hosted.exlibrisgroup.com/primo-explore/search?tab=default_tab&amp;search_scope=EVERYTHING&amp;vid=01CRU&amp;lang=en_US&amp;offset=0&amp;query=any,contains,991001842499702656","Catalog Record")</f>
        <v>Catalog Record</v>
      </c>
      <c r="AT1317" s="6" t="str">
        <f>HYPERLINK("http://www.worldcat.org/oclc/23143464","WorldCat Record")</f>
        <v>WorldCat Record</v>
      </c>
      <c r="AU1317" s="3" t="s">
        <v>17074</v>
      </c>
      <c r="AV1317" s="3" t="s">
        <v>17075</v>
      </c>
      <c r="AW1317" s="3" t="s">
        <v>17076</v>
      </c>
      <c r="AX1317" s="3" t="s">
        <v>17076</v>
      </c>
      <c r="AY1317" s="3" t="s">
        <v>17077</v>
      </c>
      <c r="AZ1317" s="3" t="s">
        <v>74</v>
      </c>
      <c r="BB1317" s="3" t="s">
        <v>17078</v>
      </c>
      <c r="BC1317" s="3" t="s">
        <v>17079</v>
      </c>
      <c r="BD1317" s="3" t="s">
        <v>17080</v>
      </c>
    </row>
    <row r="1318" spans="1:56" ht="45.75" customHeight="1" x14ac:dyDescent="0.25">
      <c r="A1318" s="7" t="s">
        <v>58</v>
      </c>
      <c r="B1318" s="2" t="s">
        <v>17081</v>
      </c>
      <c r="C1318" s="2" t="s">
        <v>17082</v>
      </c>
      <c r="D1318" s="2" t="s">
        <v>17083</v>
      </c>
      <c r="F1318" s="3" t="s">
        <v>58</v>
      </c>
      <c r="G1318" s="3" t="s">
        <v>59</v>
      </c>
      <c r="H1318" s="3" t="s">
        <v>58</v>
      </c>
      <c r="I1318" s="3" t="s">
        <v>58</v>
      </c>
      <c r="J1318" s="3" t="s">
        <v>60</v>
      </c>
      <c r="K1318" s="2" t="s">
        <v>17084</v>
      </c>
      <c r="L1318" s="2" t="s">
        <v>17085</v>
      </c>
      <c r="M1318" s="3" t="s">
        <v>1367</v>
      </c>
      <c r="O1318" s="3" t="s">
        <v>65</v>
      </c>
      <c r="P1318" s="3" t="s">
        <v>175</v>
      </c>
      <c r="R1318" s="3" t="s">
        <v>67</v>
      </c>
      <c r="S1318" s="4">
        <v>7</v>
      </c>
      <c r="T1318" s="4">
        <v>7</v>
      </c>
      <c r="U1318" s="5" t="s">
        <v>17086</v>
      </c>
      <c r="V1318" s="5" t="s">
        <v>17086</v>
      </c>
      <c r="W1318" s="5" t="s">
        <v>17087</v>
      </c>
      <c r="X1318" s="5" t="s">
        <v>17087</v>
      </c>
      <c r="Y1318" s="4">
        <v>584</v>
      </c>
      <c r="Z1318" s="4">
        <v>425</v>
      </c>
      <c r="AA1318" s="4">
        <v>457</v>
      </c>
      <c r="AB1318" s="4">
        <v>5</v>
      </c>
      <c r="AC1318" s="4">
        <v>5</v>
      </c>
      <c r="AD1318" s="4">
        <v>26</v>
      </c>
      <c r="AE1318" s="4">
        <v>26</v>
      </c>
      <c r="AF1318" s="4">
        <v>11</v>
      </c>
      <c r="AG1318" s="4">
        <v>11</v>
      </c>
      <c r="AH1318" s="4">
        <v>3</v>
      </c>
      <c r="AI1318" s="4">
        <v>3</v>
      </c>
      <c r="AJ1318" s="4">
        <v>9</v>
      </c>
      <c r="AK1318" s="4">
        <v>9</v>
      </c>
      <c r="AL1318" s="4">
        <v>4</v>
      </c>
      <c r="AM1318" s="4">
        <v>4</v>
      </c>
      <c r="AN1318" s="4">
        <v>5</v>
      </c>
      <c r="AO1318" s="4">
        <v>5</v>
      </c>
      <c r="AP1318" s="3" t="s">
        <v>58</v>
      </c>
      <c r="AQ1318" s="3" t="s">
        <v>87</v>
      </c>
      <c r="AR1318" s="6" t="str">
        <f>HYPERLINK("http://catalog.hathitrust.org/Record/001135656","HathiTrust Record")</f>
        <v>HathiTrust Record</v>
      </c>
      <c r="AS1318" s="6" t="str">
        <f>HYPERLINK("https://creighton-primo.hosted.exlibrisgroup.com/primo-explore/search?tab=default_tab&amp;search_scope=EVERYTHING&amp;vid=01CRU&amp;lang=en_US&amp;offset=0&amp;query=any,contains,991002639879702656","Catalog Record")</f>
        <v>Catalog Record</v>
      </c>
      <c r="AT1318" s="6" t="str">
        <f>HYPERLINK("http://www.worldcat.org/oclc/383758","WorldCat Record")</f>
        <v>WorldCat Record</v>
      </c>
      <c r="AU1318" s="3" t="s">
        <v>17088</v>
      </c>
      <c r="AV1318" s="3" t="s">
        <v>17089</v>
      </c>
      <c r="AW1318" s="3" t="s">
        <v>17090</v>
      </c>
      <c r="AX1318" s="3" t="s">
        <v>17090</v>
      </c>
      <c r="AY1318" s="3" t="s">
        <v>17091</v>
      </c>
      <c r="AZ1318" s="3" t="s">
        <v>74</v>
      </c>
      <c r="BC1318" s="3" t="s">
        <v>17092</v>
      </c>
      <c r="BD1318" s="3" t="s">
        <v>17093</v>
      </c>
    </row>
    <row r="1319" spans="1:56" ht="45.75" customHeight="1" x14ac:dyDescent="0.25">
      <c r="A1319" s="7" t="s">
        <v>58</v>
      </c>
      <c r="B1319" s="2" t="s">
        <v>17094</v>
      </c>
      <c r="C1319" s="2" t="s">
        <v>17095</v>
      </c>
      <c r="D1319" s="2" t="s">
        <v>17096</v>
      </c>
      <c r="F1319" s="3" t="s">
        <v>58</v>
      </c>
      <c r="G1319" s="3" t="s">
        <v>59</v>
      </c>
      <c r="H1319" s="3" t="s">
        <v>58</v>
      </c>
      <c r="I1319" s="3" t="s">
        <v>58</v>
      </c>
      <c r="J1319" s="3" t="s">
        <v>60</v>
      </c>
      <c r="K1319" s="2" t="s">
        <v>17097</v>
      </c>
      <c r="L1319" s="2" t="s">
        <v>17098</v>
      </c>
      <c r="M1319" s="3" t="s">
        <v>1638</v>
      </c>
      <c r="O1319" s="3" t="s">
        <v>65</v>
      </c>
      <c r="P1319" s="3" t="s">
        <v>1340</v>
      </c>
      <c r="Q1319" s="2" t="s">
        <v>17099</v>
      </c>
      <c r="R1319" s="3" t="s">
        <v>67</v>
      </c>
      <c r="S1319" s="4">
        <v>1</v>
      </c>
      <c r="T1319" s="4">
        <v>1</v>
      </c>
      <c r="U1319" s="5" t="s">
        <v>17100</v>
      </c>
      <c r="V1319" s="5" t="s">
        <v>17100</v>
      </c>
      <c r="W1319" s="5" t="s">
        <v>17101</v>
      </c>
      <c r="X1319" s="5" t="s">
        <v>17101</v>
      </c>
      <c r="Y1319" s="4">
        <v>881</v>
      </c>
      <c r="Z1319" s="4">
        <v>747</v>
      </c>
      <c r="AA1319" s="4">
        <v>795</v>
      </c>
      <c r="AB1319" s="4">
        <v>11</v>
      </c>
      <c r="AC1319" s="4">
        <v>11</v>
      </c>
      <c r="AD1319" s="4">
        <v>50</v>
      </c>
      <c r="AE1319" s="4">
        <v>55</v>
      </c>
      <c r="AF1319" s="4">
        <v>9</v>
      </c>
      <c r="AG1319" s="4">
        <v>12</v>
      </c>
      <c r="AH1319" s="4">
        <v>9</v>
      </c>
      <c r="AI1319" s="4">
        <v>9</v>
      </c>
      <c r="AJ1319" s="4">
        <v>17</v>
      </c>
      <c r="AK1319" s="4">
        <v>20</v>
      </c>
      <c r="AL1319" s="4">
        <v>8</v>
      </c>
      <c r="AM1319" s="4">
        <v>8</v>
      </c>
      <c r="AN1319" s="4">
        <v>16</v>
      </c>
      <c r="AO1319" s="4">
        <v>16</v>
      </c>
      <c r="AP1319" s="3" t="s">
        <v>58</v>
      </c>
      <c r="AQ1319" s="3" t="s">
        <v>58</v>
      </c>
      <c r="AS1319" s="6" t="str">
        <f>HYPERLINK("https://creighton-primo.hosted.exlibrisgroup.com/primo-explore/search?tab=default_tab&amp;search_scope=EVERYTHING&amp;vid=01CRU&amp;lang=en_US&amp;offset=0&amp;query=any,contains,991004260789702656","Catalog Record")</f>
        <v>Catalog Record</v>
      </c>
      <c r="AT1319" s="6" t="str">
        <f>HYPERLINK("http://www.worldcat.org/oclc/2843840","WorldCat Record")</f>
        <v>WorldCat Record</v>
      </c>
      <c r="AU1319" s="3" t="s">
        <v>17102</v>
      </c>
      <c r="AV1319" s="3" t="s">
        <v>17103</v>
      </c>
      <c r="AW1319" s="3" t="s">
        <v>17104</v>
      </c>
      <c r="AX1319" s="3" t="s">
        <v>17104</v>
      </c>
      <c r="AY1319" s="3" t="s">
        <v>17105</v>
      </c>
      <c r="AZ1319" s="3" t="s">
        <v>74</v>
      </c>
      <c r="BC1319" s="3" t="s">
        <v>17106</v>
      </c>
      <c r="BD1319" s="3" t="s">
        <v>17107</v>
      </c>
    </row>
    <row r="1320" spans="1:56" ht="45.75" customHeight="1" x14ac:dyDescent="0.25">
      <c r="A1320" s="7" t="s">
        <v>58</v>
      </c>
      <c r="B1320" s="2" t="s">
        <v>17108</v>
      </c>
      <c r="C1320" s="2" t="s">
        <v>17109</v>
      </c>
      <c r="D1320" s="2" t="s">
        <v>17110</v>
      </c>
      <c r="F1320" s="3" t="s">
        <v>58</v>
      </c>
      <c r="G1320" s="3" t="s">
        <v>59</v>
      </c>
      <c r="H1320" s="3" t="s">
        <v>58</v>
      </c>
      <c r="I1320" s="3" t="s">
        <v>87</v>
      </c>
      <c r="J1320" s="3" t="s">
        <v>60</v>
      </c>
      <c r="K1320" s="2" t="s">
        <v>17111</v>
      </c>
      <c r="L1320" s="2" t="s">
        <v>17112</v>
      </c>
      <c r="M1320" s="3" t="s">
        <v>1544</v>
      </c>
      <c r="O1320" s="3" t="s">
        <v>65</v>
      </c>
      <c r="P1320" s="3" t="s">
        <v>1224</v>
      </c>
      <c r="Q1320" s="2" t="s">
        <v>17113</v>
      </c>
      <c r="R1320" s="3" t="s">
        <v>67</v>
      </c>
      <c r="S1320" s="4">
        <v>12</v>
      </c>
      <c r="T1320" s="4">
        <v>12</v>
      </c>
      <c r="U1320" s="5" t="s">
        <v>2532</v>
      </c>
      <c r="V1320" s="5" t="s">
        <v>2532</v>
      </c>
      <c r="W1320" s="5" t="s">
        <v>17114</v>
      </c>
      <c r="X1320" s="5" t="s">
        <v>17114</v>
      </c>
      <c r="Y1320" s="4">
        <v>274</v>
      </c>
      <c r="Z1320" s="4">
        <v>255</v>
      </c>
      <c r="AA1320" s="4">
        <v>532</v>
      </c>
      <c r="AB1320" s="4">
        <v>4</v>
      </c>
      <c r="AC1320" s="4">
        <v>8</v>
      </c>
      <c r="AD1320" s="4">
        <v>18</v>
      </c>
      <c r="AE1320" s="4">
        <v>38</v>
      </c>
      <c r="AF1320" s="4">
        <v>2</v>
      </c>
      <c r="AG1320" s="4">
        <v>6</v>
      </c>
      <c r="AH1320" s="4">
        <v>4</v>
      </c>
      <c r="AI1320" s="4">
        <v>5</v>
      </c>
      <c r="AJ1320" s="4">
        <v>7</v>
      </c>
      <c r="AK1320" s="4">
        <v>13</v>
      </c>
      <c r="AL1320" s="4">
        <v>2</v>
      </c>
      <c r="AM1320" s="4">
        <v>5</v>
      </c>
      <c r="AN1320" s="4">
        <v>7</v>
      </c>
      <c r="AO1320" s="4">
        <v>16</v>
      </c>
      <c r="AP1320" s="3" t="s">
        <v>58</v>
      </c>
      <c r="AQ1320" s="3" t="s">
        <v>58</v>
      </c>
      <c r="AS1320" s="6" t="str">
        <f>HYPERLINK("https://creighton-primo.hosted.exlibrisgroup.com/primo-explore/search?tab=default_tab&amp;search_scope=EVERYTHING&amp;vid=01CRU&amp;lang=en_US&amp;offset=0&amp;query=any,contains,991001265789702656","Catalog Record")</f>
        <v>Catalog Record</v>
      </c>
      <c r="AT1320" s="6" t="str">
        <f>HYPERLINK("http://www.worldcat.org/oclc/209797","WorldCat Record")</f>
        <v>WorldCat Record</v>
      </c>
      <c r="AU1320" s="3" t="s">
        <v>17115</v>
      </c>
      <c r="AV1320" s="3" t="s">
        <v>17116</v>
      </c>
      <c r="AW1320" s="3" t="s">
        <v>17117</v>
      </c>
      <c r="AX1320" s="3" t="s">
        <v>17117</v>
      </c>
      <c r="AY1320" s="3" t="s">
        <v>17118</v>
      </c>
      <c r="AZ1320" s="3" t="s">
        <v>74</v>
      </c>
      <c r="BC1320" s="3" t="s">
        <v>17119</v>
      </c>
      <c r="BD1320" s="3" t="s">
        <v>17120</v>
      </c>
    </row>
    <row r="1321" spans="1:56" ht="45.75" customHeight="1" x14ac:dyDescent="0.25">
      <c r="A1321" s="7" t="s">
        <v>58</v>
      </c>
      <c r="B1321" s="2" t="s">
        <v>17121</v>
      </c>
      <c r="C1321" s="2" t="s">
        <v>17122</v>
      </c>
      <c r="D1321" s="2" t="s">
        <v>17123</v>
      </c>
      <c r="F1321" s="3" t="s">
        <v>58</v>
      </c>
      <c r="G1321" s="3" t="s">
        <v>59</v>
      </c>
      <c r="H1321" s="3" t="s">
        <v>58</v>
      </c>
      <c r="I1321" s="3" t="s">
        <v>58</v>
      </c>
      <c r="J1321" s="3" t="s">
        <v>60</v>
      </c>
      <c r="K1321" s="2" t="s">
        <v>17124</v>
      </c>
      <c r="L1321" s="2" t="s">
        <v>17125</v>
      </c>
      <c r="M1321" s="3" t="s">
        <v>4514</v>
      </c>
      <c r="O1321" s="3" t="s">
        <v>65</v>
      </c>
      <c r="P1321" s="3" t="s">
        <v>1340</v>
      </c>
      <c r="R1321" s="3" t="s">
        <v>67</v>
      </c>
      <c r="S1321" s="4">
        <v>3</v>
      </c>
      <c r="T1321" s="4">
        <v>3</v>
      </c>
      <c r="U1321" s="5" t="s">
        <v>5410</v>
      </c>
      <c r="V1321" s="5" t="s">
        <v>5410</v>
      </c>
      <c r="W1321" s="5" t="s">
        <v>12366</v>
      </c>
      <c r="X1321" s="5" t="s">
        <v>12366</v>
      </c>
      <c r="Y1321" s="4">
        <v>281</v>
      </c>
      <c r="Z1321" s="4">
        <v>248</v>
      </c>
      <c r="AA1321" s="4">
        <v>251</v>
      </c>
      <c r="AB1321" s="4">
        <v>2</v>
      </c>
      <c r="AC1321" s="4">
        <v>2</v>
      </c>
      <c r="AD1321" s="4">
        <v>11</v>
      </c>
      <c r="AE1321" s="4">
        <v>11</v>
      </c>
      <c r="AF1321" s="4">
        <v>1</v>
      </c>
      <c r="AG1321" s="4">
        <v>1</v>
      </c>
      <c r="AH1321" s="4">
        <v>3</v>
      </c>
      <c r="AI1321" s="4">
        <v>3</v>
      </c>
      <c r="AJ1321" s="4">
        <v>7</v>
      </c>
      <c r="AK1321" s="4">
        <v>7</v>
      </c>
      <c r="AL1321" s="4">
        <v>1</v>
      </c>
      <c r="AM1321" s="4">
        <v>1</v>
      </c>
      <c r="AN1321" s="4">
        <v>0</v>
      </c>
      <c r="AO1321" s="4">
        <v>0</v>
      </c>
      <c r="AP1321" s="3" t="s">
        <v>58</v>
      </c>
      <c r="AQ1321" s="3" t="s">
        <v>58</v>
      </c>
      <c r="AR1321" s="6" t="str">
        <f>HYPERLINK("http://catalog.hathitrust.org/Record/001135664","HathiTrust Record")</f>
        <v>HathiTrust Record</v>
      </c>
      <c r="AS1321" s="6" t="str">
        <f>HYPERLINK("https://creighton-primo.hosted.exlibrisgroup.com/primo-explore/search?tab=default_tab&amp;search_scope=EVERYTHING&amp;vid=01CRU&amp;lang=en_US&amp;offset=0&amp;query=any,contains,991000951459702656","Catalog Record")</f>
        <v>Catalog Record</v>
      </c>
      <c r="AT1321" s="6" t="str">
        <f>HYPERLINK("http://www.worldcat.org/oclc/14679487","WorldCat Record")</f>
        <v>WorldCat Record</v>
      </c>
      <c r="AU1321" s="3" t="s">
        <v>17126</v>
      </c>
      <c r="AV1321" s="3" t="s">
        <v>17127</v>
      </c>
      <c r="AW1321" s="3" t="s">
        <v>17128</v>
      </c>
      <c r="AX1321" s="3" t="s">
        <v>17128</v>
      </c>
      <c r="AY1321" s="3" t="s">
        <v>17129</v>
      </c>
      <c r="AZ1321" s="3" t="s">
        <v>74</v>
      </c>
      <c r="BC1321" s="3" t="s">
        <v>17130</v>
      </c>
      <c r="BD1321" s="3" t="s">
        <v>17131</v>
      </c>
    </row>
    <row r="1322" spans="1:56" ht="45.75" customHeight="1" x14ac:dyDescent="0.25">
      <c r="A1322" s="7" t="s">
        <v>58</v>
      </c>
      <c r="B1322" s="2" t="s">
        <v>17132</v>
      </c>
      <c r="C1322" s="2" t="s">
        <v>17133</v>
      </c>
      <c r="D1322" s="2" t="s">
        <v>17134</v>
      </c>
      <c r="F1322" s="3" t="s">
        <v>58</v>
      </c>
      <c r="G1322" s="3" t="s">
        <v>59</v>
      </c>
      <c r="H1322" s="3" t="s">
        <v>58</v>
      </c>
      <c r="I1322" s="3" t="s">
        <v>58</v>
      </c>
      <c r="J1322" s="3" t="s">
        <v>60</v>
      </c>
      <c r="L1322" s="2" t="s">
        <v>17135</v>
      </c>
      <c r="M1322" s="3" t="s">
        <v>147</v>
      </c>
      <c r="N1322" s="2" t="s">
        <v>543</v>
      </c>
      <c r="O1322" s="3" t="s">
        <v>65</v>
      </c>
      <c r="P1322" s="3" t="s">
        <v>66</v>
      </c>
      <c r="R1322" s="3" t="s">
        <v>67</v>
      </c>
      <c r="S1322" s="4">
        <v>4</v>
      </c>
      <c r="T1322" s="4">
        <v>4</v>
      </c>
      <c r="U1322" s="5" t="s">
        <v>10569</v>
      </c>
      <c r="V1322" s="5" t="s">
        <v>10569</v>
      </c>
      <c r="W1322" s="5" t="s">
        <v>17136</v>
      </c>
      <c r="X1322" s="5" t="s">
        <v>17136</v>
      </c>
      <c r="Y1322" s="4">
        <v>503</v>
      </c>
      <c r="Z1322" s="4">
        <v>425</v>
      </c>
      <c r="AA1322" s="4">
        <v>492</v>
      </c>
      <c r="AB1322" s="4">
        <v>4</v>
      </c>
      <c r="AC1322" s="4">
        <v>5</v>
      </c>
      <c r="AD1322" s="4">
        <v>20</v>
      </c>
      <c r="AE1322" s="4">
        <v>26</v>
      </c>
      <c r="AF1322" s="4">
        <v>7</v>
      </c>
      <c r="AG1322" s="4">
        <v>9</v>
      </c>
      <c r="AH1322" s="4">
        <v>4</v>
      </c>
      <c r="AI1322" s="4">
        <v>4</v>
      </c>
      <c r="AJ1322" s="4">
        <v>10</v>
      </c>
      <c r="AK1322" s="4">
        <v>13</v>
      </c>
      <c r="AL1322" s="4">
        <v>3</v>
      </c>
      <c r="AM1322" s="4">
        <v>4</v>
      </c>
      <c r="AN1322" s="4">
        <v>1</v>
      </c>
      <c r="AO1322" s="4">
        <v>1</v>
      </c>
      <c r="AP1322" s="3" t="s">
        <v>58</v>
      </c>
      <c r="AQ1322" s="3" t="s">
        <v>58</v>
      </c>
      <c r="AS1322" s="6" t="str">
        <f>HYPERLINK("https://creighton-primo.hosted.exlibrisgroup.com/primo-explore/search?tab=default_tab&amp;search_scope=EVERYTHING&amp;vid=01CRU&amp;lang=en_US&amp;offset=0&amp;query=any,contains,991004352649702656","Catalog Record")</f>
        <v>Catalog Record</v>
      </c>
      <c r="AT1322" s="6" t="str">
        <f>HYPERLINK("http://www.worldcat.org/oclc/51923594","WorldCat Record")</f>
        <v>WorldCat Record</v>
      </c>
      <c r="AU1322" s="3" t="s">
        <v>17137</v>
      </c>
      <c r="AV1322" s="3" t="s">
        <v>17138</v>
      </c>
      <c r="AW1322" s="3" t="s">
        <v>17139</v>
      </c>
      <c r="AX1322" s="3" t="s">
        <v>17139</v>
      </c>
      <c r="AY1322" s="3" t="s">
        <v>17140</v>
      </c>
      <c r="AZ1322" s="3" t="s">
        <v>74</v>
      </c>
      <c r="BB1322" s="3" t="s">
        <v>17141</v>
      </c>
      <c r="BC1322" s="3" t="s">
        <v>17142</v>
      </c>
      <c r="BD1322" s="3" t="s">
        <v>17143</v>
      </c>
    </row>
    <row r="1323" spans="1:56" ht="45.75" customHeight="1" x14ac:dyDescent="0.25">
      <c r="A1323" s="7" t="s">
        <v>58</v>
      </c>
      <c r="B1323" s="2" t="s">
        <v>17144</v>
      </c>
      <c r="C1323" s="2" t="s">
        <v>17145</v>
      </c>
      <c r="D1323" s="2" t="s">
        <v>17146</v>
      </c>
      <c r="F1323" s="3" t="s">
        <v>58</v>
      </c>
      <c r="G1323" s="3" t="s">
        <v>59</v>
      </c>
      <c r="H1323" s="3" t="s">
        <v>58</v>
      </c>
      <c r="I1323" s="3" t="s">
        <v>58</v>
      </c>
      <c r="J1323" s="3" t="s">
        <v>60</v>
      </c>
      <c r="L1323" s="2" t="s">
        <v>17147</v>
      </c>
      <c r="M1323" s="3" t="s">
        <v>63</v>
      </c>
      <c r="O1323" s="3" t="s">
        <v>65</v>
      </c>
      <c r="P1323" s="3" t="s">
        <v>84</v>
      </c>
      <c r="R1323" s="3" t="s">
        <v>67</v>
      </c>
      <c r="S1323" s="4">
        <v>7</v>
      </c>
      <c r="T1323" s="4">
        <v>7</v>
      </c>
      <c r="U1323" s="5" t="s">
        <v>17148</v>
      </c>
      <c r="V1323" s="5" t="s">
        <v>17148</v>
      </c>
      <c r="W1323" s="5" t="s">
        <v>17149</v>
      </c>
      <c r="X1323" s="5" t="s">
        <v>17149</v>
      </c>
      <c r="Y1323" s="4">
        <v>461</v>
      </c>
      <c r="Z1323" s="4">
        <v>398</v>
      </c>
      <c r="AA1323" s="4">
        <v>922</v>
      </c>
      <c r="AB1323" s="4">
        <v>2</v>
      </c>
      <c r="AC1323" s="4">
        <v>17</v>
      </c>
      <c r="AD1323" s="4">
        <v>19</v>
      </c>
      <c r="AE1323" s="4">
        <v>43</v>
      </c>
      <c r="AF1323" s="4">
        <v>10</v>
      </c>
      <c r="AG1323" s="4">
        <v>18</v>
      </c>
      <c r="AH1323" s="4">
        <v>4</v>
      </c>
      <c r="AI1323" s="4">
        <v>8</v>
      </c>
      <c r="AJ1323" s="4">
        <v>11</v>
      </c>
      <c r="AK1323" s="4">
        <v>17</v>
      </c>
      <c r="AL1323" s="4">
        <v>1</v>
      </c>
      <c r="AM1323" s="4">
        <v>9</v>
      </c>
      <c r="AN1323" s="4">
        <v>1</v>
      </c>
      <c r="AO1323" s="4">
        <v>2</v>
      </c>
      <c r="AP1323" s="3" t="s">
        <v>58</v>
      </c>
      <c r="AQ1323" s="3" t="s">
        <v>58</v>
      </c>
      <c r="AS1323" s="6" t="str">
        <f>HYPERLINK("https://creighton-primo.hosted.exlibrisgroup.com/primo-explore/search?tab=default_tab&amp;search_scope=EVERYTHING&amp;vid=01CRU&amp;lang=en_US&amp;offset=0&amp;query=any,contains,991004759639702656","Catalog Record")</f>
        <v>Catalog Record</v>
      </c>
      <c r="AT1323" s="6" t="str">
        <f>HYPERLINK("http://www.worldcat.org/oclc/56793793","WorldCat Record")</f>
        <v>WorldCat Record</v>
      </c>
      <c r="AU1323" s="3" t="s">
        <v>17150</v>
      </c>
      <c r="AV1323" s="3" t="s">
        <v>17151</v>
      </c>
      <c r="AW1323" s="3" t="s">
        <v>17152</v>
      </c>
      <c r="AX1323" s="3" t="s">
        <v>17152</v>
      </c>
      <c r="AY1323" s="3" t="s">
        <v>17153</v>
      </c>
      <c r="AZ1323" s="3" t="s">
        <v>74</v>
      </c>
      <c r="BB1323" s="3" t="s">
        <v>17154</v>
      </c>
      <c r="BC1323" s="3" t="s">
        <v>17155</v>
      </c>
      <c r="BD1323" s="3" t="s">
        <v>17156</v>
      </c>
    </row>
    <row r="1324" spans="1:56" ht="45.75" customHeight="1" x14ac:dyDescent="0.25">
      <c r="A1324" s="7" t="s">
        <v>58</v>
      </c>
      <c r="B1324" s="2" t="s">
        <v>17157</v>
      </c>
      <c r="C1324" s="2" t="s">
        <v>17158</v>
      </c>
      <c r="D1324" s="2" t="s">
        <v>17159</v>
      </c>
      <c r="F1324" s="3" t="s">
        <v>58</v>
      </c>
      <c r="G1324" s="3" t="s">
        <v>59</v>
      </c>
      <c r="H1324" s="3" t="s">
        <v>87</v>
      </c>
      <c r="I1324" s="3" t="s">
        <v>58</v>
      </c>
      <c r="J1324" s="3" t="s">
        <v>60</v>
      </c>
      <c r="K1324" s="2" t="s">
        <v>17160</v>
      </c>
      <c r="L1324" s="2" t="s">
        <v>17161</v>
      </c>
      <c r="M1324" s="3" t="s">
        <v>1674</v>
      </c>
      <c r="N1324" s="2" t="s">
        <v>685</v>
      </c>
      <c r="O1324" s="3" t="s">
        <v>65</v>
      </c>
      <c r="P1324" s="3" t="s">
        <v>190</v>
      </c>
      <c r="R1324" s="3" t="s">
        <v>67</v>
      </c>
      <c r="S1324" s="4">
        <v>3</v>
      </c>
      <c r="T1324" s="4">
        <v>4</v>
      </c>
      <c r="U1324" s="5" t="s">
        <v>5902</v>
      </c>
      <c r="V1324" s="5" t="s">
        <v>5902</v>
      </c>
      <c r="W1324" s="5" t="s">
        <v>17101</v>
      </c>
      <c r="X1324" s="5" t="s">
        <v>17101</v>
      </c>
      <c r="Y1324" s="4">
        <v>819</v>
      </c>
      <c r="Z1324" s="4">
        <v>675</v>
      </c>
      <c r="AA1324" s="4">
        <v>732</v>
      </c>
      <c r="AB1324" s="4">
        <v>9</v>
      </c>
      <c r="AC1324" s="4">
        <v>9</v>
      </c>
      <c r="AD1324" s="4">
        <v>44</v>
      </c>
      <c r="AE1324" s="4">
        <v>46</v>
      </c>
      <c r="AF1324" s="4">
        <v>14</v>
      </c>
      <c r="AG1324" s="4">
        <v>15</v>
      </c>
      <c r="AH1324" s="4">
        <v>9</v>
      </c>
      <c r="AI1324" s="4">
        <v>9</v>
      </c>
      <c r="AJ1324" s="4">
        <v>17</v>
      </c>
      <c r="AK1324" s="4">
        <v>18</v>
      </c>
      <c r="AL1324" s="4">
        <v>6</v>
      </c>
      <c r="AM1324" s="4">
        <v>6</v>
      </c>
      <c r="AN1324" s="4">
        <v>8</v>
      </c>
      <c r="AO1324" s="4">
        <v>8</v>
      </c>
      <c r="AP1324" s="3" t="s">
        <v>58</v>
      </c>
      <c r="AQ1324" s="3" t="s">
        <v>58</v>
      </c>
      <c r="AS1324" s="6" t="str">
        <f>HYPERLINK("https://creighton-primo.hosted.exlibrisgroup.com/primo-explore/search?tab=default_tab&amp;search_scope=EVERYTHING&amp;vid=01CRU&amp;lang=en_US&amp;offset=0&amp;query=any,contains,991001617889702656","Catalog Record")</f>
        <v>Catalog Record</v>
      </c>
      <c r="AT1324" s="6" t="str">
        <f>HYPERLINK("http://www.worldcat.org/oclc/22948","WorldCat Record")</f>
        <v>WorldCat Record</v>
      </c>
      <c r="AU1324" s="3" t="s">
        <v>17162</v>
      </c>
      <c r="AV1324" s="3" t="s">
        <v>17163</v>
      </c>
      <c r="AW1324" s="3" t="s">
        <v>17164</v>
      </c>
      <c r="AX1324" s="3" t="s">
        <v>17164</v>
      </c>
      <c r="AY1324" s="3" t="s">
        <v>17165</v>
      </c>
      <c r="AZ1324" s="3" t="s">
        <v>74</v>
      </c>
      <c r="BC1324" s="3" t="s">
        <v>17166</v>
      </c>
      <c r="BD1324" s="3" t="s">
        <v>17167</v>
      </c>
    </row>
    <row r="1325" spans="1:56" ht="45.75" customHeight="1" x14ac:dyDescent="0.25">
      <c r="A1325" s="7" t="s">
        <v>58</v>
      </c>
      <c r="B1325" s="2" t="s">
        <v>17168</v>
      </c>
      <c r="C1325" s="2" t="s">
        <v>17169</v>
      </c>
      <c r="D1325" s="2" t="s">
        <v>17170</v>
      </c>
      <c r="F1325" s="3" t="s">
        <v>58</v>
      </c>
      <c r="G1325" s="3" t="s">
        <v>59</v>
      </c>
      <c r="H1325" s="3" t="s">
        <v>58</v>
      </c>
      <c r="I1325" s="3" t="s">
        <v>58</v>
      </c>
      <c r="J1325" s="3" t="s">
        <v>60</v>
      </c>
      <c r="L1325" s="2" t="s">
        <v>17171</v>
      </c>
      <c r="M1325" s="3" t="s">
        <v>83</v>
      </c>
      <c r="O1325" s="3" t="s">
        <v>65</v>
      </c>
      <c r="P1325" s="3" t="s">
        <v>84</v>
      </c>
      <c r="R1325" s="3" t="s">
        <v>67</v>
      </c>
      <c r="S1325" s="4">
        <v>14</v>
      </c>
      <c r="T1325" s="4">
        <v>14</v>
      </c>
      <c r="U1325" s="5" t="s">
        <v>2532</v>
      </c>
      <c r="V1325" s="5" t="s">
        <v>2532</v>
      </c>
      <c r="W1325" s="5" t="s">
        <v>5078</v>
      </c>
      <c r="X1325" s="5" t="s">
        <v>5078</v>
      </c>
      <c r="Y1325" s="4">
        <v>322</v>
      </c>
      <c r="Z1325" s="4">
        <v>308</v>
      </c>
      <c r="AA1325" s="4">
        <v>370</v>
      </c>
      <c r="AB1325" s="4">
        <v>3</v>
      </c>
      <c r="AC1325" s="4">
        <v>3</v>
      </c>
      <c r="AD1325" s="4">
        <v>16</v>
      </c>
      <c r="AE1325" s="4">
        <v>16</v>
      </c>
      <c r="AF1325" s="4">
        <v>5</v>
      </c>
      <c r="AG1325" s="4">
        <v>5</v>
      </c>
      <c r="AH1325" s="4">
        <v>5</v>
      </c>
      <c r="AI1325" s="4">
        <v>5</v>
      </c>
      <c r="AJ1325" s="4">
        <v>8</v>
      </c>
      <c r="AK1325" s="4">
        <v>8</v>
      </c>
      <c r="AL1325" s="4">
        <v>2</v>
      </c>
      <c r="AM1325" s="4">
        <v>2</v>
      </c>
      <c r="AN1325" s="4">
        <v>1</v>
      </c>
      <c r="AO1325" s="4">
        <v>1</v>
      </c>
      <c r="AP1325" s="3" t="s">
        <v>58</v>
      </c>
      <c r="AQ1325" s="3" t="s">
        <v>58</v>
      </c>
      <c r="AS1325" s="6" t="str">
        <f>HYPERLINK("https://creighton-primo.hosted.exlibrisgroup.com/primo-explore/search?tab=default_tab&amp;search_scope=EVERYTHING&amp;vid=01CRU&amp;lang=en_US&amp;offset=0&amp;query=any,contains,991000720869702656","Catalog Record")</f>
        <v>Catalog Record</v>
      </c>
      <c r="AT1325" s="6" t="str">
        <f>HYPERLINK("http://www.worldcat.org/oclc/12665676","WorldCat Record")</f>
        <v>WorldCat Record</v>
      </c>
      <c r="AU1325" s="3" t="s">
        <v>17172</v>
      </c>
      <c r="AV1325" s="3" t="s">
        <v>17173</v>
      </c>
      <c r="AW1325" s="3" t="s">
        <v>17174</v>
      </c>
      <c r="AX1325" s="3" t="s">
        <v>17174</v>
      </c>
      <c r="AY1325" s="3" t="s">
        <v>17175</v>
      </c>
      <c r="AZ1325" s="3" t="s">
        <v>74</v>
      </c>
      <c r="BB1325" s="3" t="s">
        <v>17176</v>
      </c>
      <c r="BC1325" s="3" t="s">
        <v>17177</v>
      </c>
      <c r="BD1325" s="3" t="s">
        <v>17178</v>
      </c>
    </row>
    <row r="1326" spans="1:56" ht="45.75" customHeight="1" x14ac:dyDescent="0.25">
      <c r="A1326" s="7" t="s">
        <v>58</v>
      </c>
      <c r="B1326" s="2" t="s">
        <v>17179</v>
      </c>
      <c r="C1326" s="2" t="s">
        <v>17180</v>
      </c>
      <c r="D1326" s="2" t="s">
        <v>17181</v>
      </c>
      <c r="F1326" s="3" t="s">
        <v>58</v>
      </c>
      <c r="G1326" s="3" t="s">
        <v>59</v>
      </c>
      <c r="H1326" s="3" t="s">
        <v>58</v>
      </c>
      <c r="I1326" s="3" t="s">
        <v>58</v>
      </c>
      <c r="J1326" s="3" t="s">
        <v>60</v>
      </c>
      <c r="K1326" s="2" t="s">
        <v>17182</v>
      </c>
      <c r="L1326" s="2" t="s">
        <v>17183</v>
      </c>
      <c r="M1326" s="3" t="s">
        <v>2506</v>
      </c>
      <c r="O1326" s="3" t="s">
        <v>65</v>
      </c>
      <c r="P1326" s="3" t="s">
        <v>175</v>
      </c>
      <c r="Q1326" s="2" t="s">
        <v>17184</v>
      </c>
      <c r="R1326" s="3" t="s">
        <v>67</v>
      </c>
      <c r="S1326" s="4">
        <v>6</v>
      </c>
      <c r="T1326" s="4">
        <v>6</v>
      </c>
      <c r="U1326" s="5" t="s">
        <v>17185</v>
      </c>
      <c r="V1326" s="5" t="s">
        <v>17185</v>
      </c>
      <c r="W1326" s="5" t="s">
        <v>17101</v>
      </c>
      <c r="X1326" s="5" t="s">
        <v>17101</v>
      </c>
      <c r="Y1326" s="4">
        <v>493</v>
      </c>
      <c r="Z1326" s="4">
        <v>317</v>
      </c>
      <c r="AA1326" s="4">
        <v>328</v>
      </c>
      <c r="AB1326" s="4">
        <v>3</v>
      </c>
      <c r="AC1326" s="4">
        <v>3</v>
      </c>
      <c r="AD1326" s="4">
        <v>19</v>
      </c>
      <c r="AE1326" s="4">
        <v>19</v>
      </c>
      <c r="AF1326" s="4">
        <v>6</v>
      </c>
      <c r="AG1326" s="4">
        <v>6</v>
      </c>
      <c r="AH1326" s="4">
        <v>3</v>
      </c>
      <c r="AI1326" s="4">
        <v>3</v>
      </c>
      <c r="AJ1326" s="4">
        <v>9</v>
      </c>
      <c r="AK1326" s="4">
        <v>9</v>
      </c>
      <c r="AL1326" s="4">
        <v>1</v>
      </c>
      <c r="AM1326" s="4">
        <v>1</v>
      </c>
      <c r="AN1326" s="4">
        <v>5</v>
      </c>
      <c r="AO1326" s="4">
        <v>5</v>
      </c>
      <c r="AP1326" s="3" t="s">
        <v>58</v>
      </c>
      <c r="AQ1326" s="3" t="s">
        <v>87</v>
      </c>
      <c r="AR1326" s="6" t="str">
        <f>HYPERLINK("http://catalog.hathitrust.org/Record/001135727","HathiTrust Record")</f>
        <v>HathiTrust Record</v>
      </c>
      <c r="AS1326" s="6" t="str">
        <f>HYPERLINK("https://creighton-primo.hosted.exlibrisgroup.com/primo-explore/search?tab=default_tab&amp;search_scope=EVERYTHING&amp;vid=01CRU&amp;lang=en_US&amp;offset=0&amp;query=any,contains,991000614359702656","Catalog Record")</f>
        <v>Catalog Record</v>
      </c>
      <c r="AT1326" s="6" t="str">
        <f>HYPERLINK("http://www.worldcat.org/oclc/101301","WorldCat Record")</f>
        <v>WorldCat Record</v>
      </c>
      <c r="AU1326" s="3" t="s">
        <v>17186</v>
      </c>
      <c r="AV1326" s="3" t="s">
        <v>17187</v>
      </c>
      <c r="AW1326" s="3" t="s">
        <v>17188</v>
      </c>
      <c r="AX1326" s="3" t="s">
        <v>17188</v>
      </c>
      <c r="AY1326" s="3" t="s">
        <v>17189</v>
      </c>
      <c r="AZ1326" s="3" t="s">
        <v>74</v>
      </c>
      <c r="BB1326" s="3" t="s">
        <v>17190</v>
      </c>
      <c r="BC1326" s="3" t="s">
        <v>17191</v>
      </c>
      <c r="BD1326" s="3" t="s">
        <v>17192</v>
      </c>
    </row>
    <row r="1327" spans="1:56" ht="45.75" customHeight="1" x14ac:dyDescent="0.25">
      <c r="A1327" s="7" t="s">
        <v>58</v>
      </c>
      <c r="B1327" s="2" t="s">
        <v>17193</v>
      </c>
      <c r="C1327" s="2" t="s">
        <v>17194</v>
      </c>
      <c r="D1327" s="2" t="s">
        <v>17195</v>
      </c>
      <c r="F1327" s="3" t="s">
        <v>58</v>
      </c>
      <c r="G1327" s="3" t="s">
        <v>59</v>
      </c>
      <c r="H1327" s="3" t="s">
        <v>58</v>
      </c>
      <c r="I1327" s="3" t="s">
        <v>58</v>
      </c>
      <c r="J1327" s="3" t="s">
        <v>60</v>
      </c>
      <c r="L1327" s="2" t="s">
        <v>17196</v>
      </c>
      <c r="M1327" s="3" t="s">
        <v>908</v>
      </c>
      <c r="O1327" s="3" t="s">
        <v>65</v>
      </c>
      <c r="P1327" s="3" t="s">
        <v>363</v>
      </c>
      <c r="R1327" s="3" t="s">
        <v>67</v>
      </c>
      <c r="S1327" s="4">
        <v>3</v>
      </c>
      <c r="T1327" s="4">
        <v>3</v>
      </c>
      <c r="U1327" s="5" t="s">
        <v>17100</v>
      </c>
      <c r="V1327" s="5" t="s">
        <v>17100</v>
      </c>
      <c r="W1327" s="5" t="s">
        <v>3808</v>
      </c>
      <c r="X1327" s="5" t="s">
        <v>3808</v>
      </c>
      <c r="Y1327" s="4">
        <v>87</v>
      </c>
      <c r="Z1327" s="4">
        <v>74</v>
      </c>
      <c r="AA1327" s="4">
        <v>370</v>
      </c>
      <c r="AB1327" s="4">
        <v>2</v>
      </c>
      <c r="AC1327" s="4">
        <v>5</v>
      </c>
      <c r="AD1327" s="4">
        <v>2</v>
      </c>
      <c r="AE1327" s="4">
        <v>27</v>
      </c>
      <c r="AF1327" s="4">
        <v>0</v>
      </c>
      <c r="AG1327" s="4">
        <v>3</v>
      </c>
      <c r="AH1327" s="4">
        <v>0</v>
      </c>
      <c r="AI1327" s="4">
        <v>5</v>
      </c>
      <c r="AJ1327" s="4">
        <v>0</v>
      </c>
      <c r="AK1327" s="4">
        <v>9</v>
      </c>
      <c r="AL1327" s="4">
        <v>0</v>
      </c>
      <c r="AM1327" s="4">
        <v>2</v>
      </c>
      <c r="AN1327" s="4">
        <v>2</v>
      </c>
      <c r="AO1327" s="4">
        <v>12</v>
      </c>
      <c r="AP1327" s="3" t="s">
        <v>58</v>
      </c>
      <c r="AQ1327" s="3" t="s">
        <v>58</v>
      </c>
      <c r="AS1327" s="6" t="str">
        <f>HYPERLINK("https://creighton-primo.hosted.exlibrisgroup.com/primo-explore/search?tab=default_tab&amp;search_scope=EVERYTHING&amp;vid=01CRU&amp;lang=en_US&amp;offset=0&amp;query=any,contains,991004972659702656","Catalog Record")</f>
        <v>Catalog Record</v>
      </c>
      <c r="AT1327" s="6" t="str">
        <f>HYPERLINK("http://www.worldcat.org/oclc/6372680","WorldCat Record")</f>
        <v>WorldCat Record</v>
      </c>
      <c r="AU1327" s="3" t="s">
        <v>17197</v>
      </c>
      <c r="AV1327" s="3" t="s">
        <v>17198</v>
      </c>
      <c r="AW1327" s="3" t="s">
        <v>17199</v>
      </c>
      <c r="AX1327" s="3" t="s">
        <v>17199</v>
      </c>
      <c r="AY1327" s="3" t="s">
        <v>17200</v>
      </c>
      <c r="AZ1327" s="3" t="s">
        <v>74</v>
      </c>
      <c r="BB1327" s="3" t="s">
        <v>17201</v>
      </c>
      <c r="BC1327" s="3" t="s">
        <v>17202</v>
      </c>
      <c r="BD1327" s="3" t="s">
        <v>17203</v>
      </c>
    </row>
    <row r="1328" spans="1:56" ht="45.75" customHeight="1" x14ac:dyDescent="0.25">
      <c r="A1328" s="7" t="s">
        <v>58</v>
      </c>
      <c r="B1328" s="2" t="s">
        <v>17204</v>
      </c>
      <c r="C1328" s="2" t="s">
        <v>17205</v>
      </c>
      <c r="D1328" s="2" t="s">
        <v>17206</v>
      </c>
      <c r="F1328" s="3" t="s">
        <v>58</v>
      </c>
      <c r="G1328" s="3" t="s">
        <v>59</v>
      </c>
      <c r="H1328" s="3" t="s">
        <v>58</v>
      </c>
      <c r="I1328" s="3" t="s">
        <v>58</v>
      </c>
      <c r="J1328" s="3" t="s">
        <v>60</v>
      </c>
      <c r="L1328" s="2" t="s">
        <v>17207</v>
      </c>
      <c r="M1328" s="3" t="s">
        <v>1998</v>
      </c>
      <c r="O1328" s="3" t="s">
        <v>65</v>
      </c>
      <c r="P1328" s="3" t="s">
        <v>84</v>
      </c>
      <c r="Q1328" s="2" t="s">
        <v>13158</v>
      </c>
      <c r="R1328" s="3" t="s">
        <v>67</v>
      </c>
      <c r="S1328" s="4">
        <v>6</v>
      </c>
      <c r="T1328" s="4">
        <v>6</v>
      </c>
      <c r="U1328" s="5" t="s">
        <v>17100</v>
      </c>
      <c r="V1328" s="5" t="s">
        <v>17100</v>
      </c>
      <c r="W1328" s="5" t="s">
        <v>5223</v>
      </c>
      <c r="X1328" s="5" t="s">
        <v>5223</v>
      </c>
      <c r="Y1328" s="4">
        <v>208</v>
      </c>
      <c r="Z1328" s="4">
        <v>189</v>
      </c>
      <c r="AA1328" s="4">
        <v>189</v>
      </c>
      <c r="AB1328" s="4">
        <v>3</v>
      </c>
      <c r="AC1328" s="4">
        <v>3</v>
      </c>
      <c r="AD1328" s="4">
        <v>15</v>
      </c>
      <c r="AE1328" s="4">
        <v>15</v>
      </c>
      <c r="AF1328" s="4">
        <v>3</v>
      </c>
      <c r="AG1328" s="4">
        <v>3</v>
      </c>
      <c r="AH1328" s="4">
        <v>2</v>
      </c>
      <c r="AI1328" s="4">
        <v>2</v>
      </c>
      <c r="AJ1328" s="4">
        <v>3</v>
      </c>
      <c r="AK1328" s="4">
        <v>3</v>
      </c>
      <c r="AL1328" s="4">
        <v>1</v>
      </c>
      <c r="AM1328" s="4">
        <v>1</v>
      </c>
      <c r="AN1328" s="4">
        <v>8</v>
      </c>
      <c r="AO1328" s="4">
        <v>8</v>
      </c>
      <c r="AP1328" s="3" t="s">
        <v>58</v>
      </c>
      <c r="AQ1328" s="3" t="s">
        <v>58</v>
      </c>
      <c r="AS1328" s="6" t="str">
        <f>HYPERLINK("https://creighton-primo.hosted.exlibrisgroup.com/primo-explore/search?tab=default_tab&amp;search_scope=EVERYTHING&amp;vid=01CRU&amp;lang=en_US&amp;offset=0&amp;query=any,contains,991003367319702656","Catalog Record")</f>
        <v>Catalog Record</v>
      </c>
      <c r="AT1328" s="6" t="str">
        <f>HYPERLINK("http://www.worldcat.org/oclc/902718","WorldCat Record")</f>
        <v>WorldCat Record</v>
      </c>
      <c r="AU1328" s="3" t="s">
        <v>17208</v>
      </c>
      <c r="AV1328" s="3" t="s">
        <v>17209</v>
      </c>
      <c r="AW1328" s="3" t="s">
        <v>17210</v>
      </c>
      <c r="AX1328" s="3" t="s">
        <v>17210</v>
      </c>
      <c r="AY1328" s="3" t="s">
        <v>17211</v>
      </c>
      <c r="AZ1328" s="3" t="s">
        <v>74</v>
      </c>
      <c r="BB1328" s="3" t="s">
        <v>17212</v>
      </c>
      <c r="BC1328" s="3" t="s">
        <v>17213</v>
      </c>
      <c r="BD1328" s="3" t="s">
        <v>17214</v>
      </c>
    </row>
    <row r="1329" spans="1:56" ht="45.75" customHeight="1" x14ac:dyDescent="0.25">
      <c r="A1329" s="7" t="s">
        <v>58</v>
      </c>
      <c r="B1329" s="2" t="s">
        <v>17215</v>
      </c>
      <c r="C1329" s="2" t="s">
        <v>17216</v>
      </c>
      <c r="D1329" s="2" t="s">
        <v>17217</v>
      </c>
      <c r="F1329" s="3" t="s">
        <v>58</v>
      </c>
      <c r="G1329" s="3" t="s">
        <v>59</v>
      </c>
      <c r="H1329" s="3" t="s">
        <v>58</v>
      </c>
      <c r="I1329" s="3" t="s">
        <v>58</v>
      </c>
      <c r="J1329" s="3" t="s">
        <v>60</v>
      </c>
      <c r="K1329" s="2" t="s">
        <v>17218</v>
      </c>
      <c r="L1329" s="2" t="s">
        <v>17219</v>
      </c>
      <c r="M1329" s="3" t="s">
        <v>1674</v>
      </c>
      <c r="O1329" s="3" t="s">
        <v>65</v>
      </c>
      <c r="P1329" s="3" t="s">
        <v>132</v>
      </c>
      <c r="R1329" s="3" t="s">
        <v>67</v>
      </c>
      <c r="S1329" s="4">
        <v>10</v>
      </c>
      <c r="T1329" s="4">
        <v>10</v>
      </c>
      <c r="U1329" s="5" t="s">
        <v>10205</v>
      </c>
      <c r="V1329" s="5" t="s">
        <v>10205</v>
      </c>
      <c r="W1329" s="5" t="s">
        <v>9364</v>
      </c>
      <c r="X1329" s="5" t="s">
        <v>9364</v>
      </c>
      <c r="Y1329" s="4">
        <v>818</v>
      </c>
      <c r="Z1329" s="4">
        <v>671</v>
      </c>
      <c r="AA1329" s="4">
        <v>931</v>
      </c>
      <c r="AB1329" s="4">
        <v>7</v>
      </c>
      <c r="AC1329" s="4">
        <v>9</v>
      </c>
      <c r="AD1329" s="4">
        <v>31</v>
      </c>
      <c r="AE1329" s="4">
        <v>43</v>
      </c>
      <c r="AF1329" s="4">
        <v>11</v>
      </c>
      <c r="AG1329" s="4">
        <v>15</v>
      </c>
      <c r="AH1329" s="4">
        <v>6</v>
      </c>
      <c r="AI1329" s="4">
        <v>8</v>
      </c>
      <c r="AJ1329" s="4">
        <v>11</v>
      </c>
      <c r="AK1329" s="4">
        <v>14</v>
      </c>
      <c r="AL1329" s="4">
        <v>3</v>
      </c>
      <c r="AM1329" s="4">
        <v>5</v>
      </c>
      <c r="AN1329" s="4">
        <v>6</v>
      </c>
      <c r="AO1329" s="4">
        <v>8</v>
      </c>
      <c r="AP1329" s="3" t="s">
        <v>58</v>
      </c>
      <c r="AQ1329" s="3" t="s">
        <v>58</v>
      </c>
      <c r="AS1329" s="6" t="str">
        <f>HYPERLINK("https://creighton-primo.hosted.exlibrisgroup.com/primo-explore/search?tab=default_tab&amp;search_scope=EVERYTHING&amp;vid=01CRU&amp;lang=en_US&amp;offset=0&amp;query=any,contains,991000110329702656","Catalog Record")</f>
        <v>Catalog Record</v>
      </c>
      <c r="AT1329" s="6" t="str">
        <f>HYPERLINK("http://www.worldcat.org/oclc/47920","WorldCat Record")</f>
        <v>WorldCat Record</v>
      </c>
      <c r="AU1329" s="3" t="s">
        <v>17220</v>
      </c>
      <c r="AV1329" s="3" t="s">
        <v>17221</v>
      </c>
      <c r="AW1329" s="3" t="s">
        <v>17222</v>
      </c>
      <c r="AX1329" s="3" t="s">
        <v>17222</v>
      </c>
      <c r="AY1329" s="3" t="s">
        <v>17223</v>
      </c>
      <c r="AZ1329" s="3" t="s">
        <v>74</v>
      </c>
      <c r="BC1329" s="3" t="s">
        <v>17224</v>
      </c>
      <c r="BD1329" s="3" t="s">
        <v>17225</v>
      </c>
    </row>
    <row r="1330" spans="1:56" ht="45.75" customHeight="1" x14ac:dyDescent="0.25">
      <c r="A1330" s="7" t="s">
        <v>58</v>
      </c>
      <c r="B1330" s="2" t="s">
        <v>17226</v>
      </c>
      <c r="C1330" s="2" t="s">
        <v>17227</v>
      </c>
      <c r="D1330" s="2" t="s">
        <v>17228</v>
      </c>
      <c r="F1330" s="3" t="s">
        <v>58</v>
      </c>
      <c r="G1330" s="3" t="s">
        <v>59</v>
      </c>
      <c r="H1330" s="3" t="s">
        <v>58</v>
      </c>
      <c r="I1330" s="3" t="s">
        <v>58</v>
      </c>
      <c r="J1330" s="3" t="s">
        <v>60</v>
      </c>
      <c r="L1330" s="2" t="s">
        <v>12648</v>
      </c>
      <c r="M1330" s="3" t="s">
        <v>263</v>
      </c>
      <c r="O1330" s="3" t="s">
        <v>65</v>
      </c>
      <c r="P1330" s="3" t="s">
        <v>587</v>
      </c>
      <c r="R1330" s="3" t="s">
        <v>67</v>
      </c>
      <c r="S1330" s="4">
        <v>8</v>
      </c>
      <c r="T1330" s="4">
        <v>8</v>
      </c>
      <c r="U1330" s="5" t="s">
        <v>16874</v>
      </c>
      <c r="V1330" s="5" t="s">
        <v>16874</v>
      </c>
      <c r="W1330" s="5" t="s">
        <v>17229</v>
      </c>
      <c r="X1330" s="5" t="s">
        <v>17229</v>
      </c>
      <c r="Y1330" s="4">
        <v>310</v>
      </c>
      <c r="Z1330" s="4">
        <v>262</v>
      </c>
      <c r="AA1330" s="4">
        <v>268</v>
      </c>
      <c r="AB1330" s="4">
        <v>2</v>
      </c>
      <c r="AC1330" s="4">
        <v>2</v>
      </c>
      <c r="AD1330" s="4">
        <v>11</v>
      </c>
      <c r="AE1330" s="4">
        <v>11</v>
      </c>
      <c r="AF1330" s="4">
        <v>3</v>
      </c>
      <c r="AG1330" s="4">
        <v>3</v>
      </c>
      <c r="AH1330" s="4">
        <v>3</v>
      </c>
      <c r="AI1330" s="4">
        <v>3</v>
      </c>
      <c r="AJ1330" s="4">
        <v>7</v>
      </c>
      <c r="AK1330" s="4">
        <v>7</v>
      </c>
      <c r="AL1330" s="4">
        <v>1</v>
      </c>
      <c r="AM1330" s="4">
        <v>1</v>
      </c>
      <c r="AN1330" s="4">
        <v>1</v>
      </c>
      <c r="AO1330" s="4">
        <v>1</v>
      </c>
      <c r="AP1330" s="3" t="s">
        <v>58</v>
      </c>
      <c r="AQ1330" s="3" t="s">
        <v>58</v>
      </c>
      <c r="AS1330" s="6" t="str">
        <f>HYPERLINK("https://creighton-primo.hosted.exlibrisgroup.com/primo-explore/search?tab=default_tab&amp;search_scope=EVERYTHING&amp;vid=01CRU&amp;lang=en_US&amp;offset=0&amp;query=any,contains,991002528009702656","Catalog Record")</f>
        <v>Catalog Record</v>
      </c>
      <c r="AT1330" s="6" t="str">
        <f>HYPERLINK("http://www.worldcat.org/oclc/32856371","WorldCat Record")</f>
        <v>WorldCat Record</v>
      </c>
      <c r="AU1330" s="3" t="s">
        <v>17230</v>
      </c>
      <c r="AV1330" s="3" t="s">
        <v>17231</v>
      </c>
      <c r="AW1330" s="3" t="s">
        <v>17232</v>
      </c>
      <c r="AX1330" s="3" t="s">
        <v>17232</v>
      </c>
      <c r="AY1330" s="3" t="s">
        <v>17233</v>
      </c>
      <c r="AZ1330" s="3" t="s">
        <v>74</v>
      </c>
      <c r="BB1330" s="3" t="s">
        <v>17234</v>
      </c>
      <c r="BC1330" s="3" t="s">
        <v>17235</v>
      </c>
      <c r="BD1330" s="3" t="s">
        <v>17236</v>
      </c>
    </row>
    <row r="1331" spans="1:56" ht="45.75" customHeight="1" x14ac:dyDescent="0.25">
      <c r="A1331" s="7" t="s">
        <v>58</v>
      </c>
      <c r="B1331" s="2" t="s">
        <v>17237</v>
      </c>
      <c r="C1331" s="2" t="s">
        <v>17238</v>
      </c>
      <c r="D1331" s="2" t="s">
        <v>17239</v>
      </c>
      <c r="F1331" s="3" t="s">
        <v>58</v>
      </c>
      <c r="G1331" s="3" t="s">
        <v>59</v>
      </c>
      <c r="H1331" s="3" t="s">
        <v>58</v>
      </c>
      <c r="I1331" s="3" t="s">
        <v>58</v>
      </c>
      <c r="J1331" s="3" t="s">
        <v>60</v>
      </c>
      <c r="K1331" s="2" t="s">
        <v>17240</v>
      </c>
      <c r="L1331" s="2" t="s">
        <v>17241</v>
      </c>
      <c r="M1331" s="3" t="s">
        <v>162</v>
      </c>
      <c r="O1331" s="3" t="s">
        <v>65</v>
      </c>
      <c r="P1331" s="3" t="s">
        <v>587</v>
      </c>
      <c r="R1331" s="3" t="s">
        <v>67</v>
      </c>
      <c r="S1331" s="4">
        <v>1</v>
      </c>
      <c r="T1331" s="4">
        <v>1</v>
      </c>
      <c r="U1331" s="5" t="s">
        <v>17242</v>
      </c>
      <c r="V1331" s="5" t="s">
        <v>17242</v>
      </c>
      <c r="W1331" s="5" t="s">
        <v>17242</v>
      </c>
      <c r="X1331" s="5" t="s">
        <v>17242</v>
      </c>
      <c r="Y1331" s="4">
        <v>513</v>
      </c>
      <c r="Z1331" s="4">
        <v>473</v>
      </c>
      <c r="AA1331" s="4">
        <v>494</v>
      </c>
      <c r="AB1331" s="4">
        <v>7</v>
      </c>
      <c r="AC1331" s="4">
        <v>7</v>
      </c>
      <c r="AD1331" s="4">
        <v>18</v>
      </c>
      <c r="AE1331" s="4">
        <v>19</v>
      </c>
      <c r="AF1331" s="4">
        <v>7</v>
      </c>
      <c r="AG1331" s="4">
        <v>8</v>
      </c>
      <c r="AH1331" s="4">
        <v>2</v>
      </c>
      <c r="AI1331" s="4">
        <v>3</v>
      </c>
      <c r="AJ1331" s="4">
        <v>8</v>
      </c>
      <c r="AK1331" s="4">
        <v>8</v>
      </c>
      <c r="AL1331" s="4">
        <v>6</v>
      </c>
      <c r="AM1331" s="4">
        <v>6</v>
      </c>
      <c r="AN1331" s="4">
        <v>0</v>
      </c>
      <c r="AO1331" s="4">
        <v>0</v>
      </c>
      <c r="AP1331" s="3" t="s">
        <v>58</v>
      </c>
      <c r="AQ1331" s="3" t="s">
        <v>87</v>
      </c>
      <c r="AR1331" s="6" t="str">
        <f>HYPERLINK("http://catalog.hathitrust.org/Record/005815000","HathiTrust Record")</f>
        <v>HathiTrust Record</v>
      </c>
      <c r="AS1331" s="6" t="str">
        <f>HYPERLINK("https://creighton-primo.hosted.exlibrisgroup.com/primo-explore/search?tab=default_tab&amp;search_scope=EVERYTHING&amp;vid=01CRU&amp;lang=en_US&amp;offset=0&amp;query=any,contains,991005327179702656","Catalog Record")</f>
        <v>Catalog Record</v>
      </c>
      <c r="AT1331" s="6" t="str">
        <f>HYPERLINK("http://www.worldcat.org/oclc/176861127","WorldCat Record")</f>
        <v>WorldCat Record</v>
      </c>
      <c r="AU1331" s="3" t="s">
        <v>17243</v>
      </c>
      <c r="AV1331" s="3" t="s">
        <v>17244</v>
      </c>
      <c r="AW1331" s="3" t="s">
        <v>17245</v>
      </c>
      <c r="AX1331" s="3" t="s">
        <v>17245</v>
      </c>
      <c r="AY1331" s="3" t="s">
        <v>17246</v>
      </c>
      <c r="AZ1331" s="3" t="s">
        <v>74</v>
      </c>
      <c r="BB1331" s="3" t="s">
        <v>17247</v>
      </c>
      <c r="BC1331" s="3" t="s">
        <v>17248</v>
      </c>
      <c r="BD1331" s="3" t="s">
        <v>17249</v>
      </c>
    </row>
    <row r="1332" spans="1:56" ht="45.75" customHeight="1" x14ac:dyDescent="0.25">
      <c r="A1332" s="7" t="s">
        <v>58</v>
      </c>
      <c r="B1332" s="2" t="s">
        <v>17250</v>
      </c>
      <c r="C1332" s="2" t="s">
        <v>17251</v>
      </c>
      <c r="D1332" s="2" t="s">
        <v>17252</v>
      </c>
      <c r="F1332" s="3" t="s">
        <v>58</v>
      </c>
      <c r="G1332" s="3" t="s">
        <v>59</v>
      </c>
      <c r="H1332" s="3" t="s">
        <v>58</v>
      </c>
      <c r="I1332" s="3" t="s">
        <v>58</v>
      </c>
      <c r="J1332" s="3" t="s">
        <v>60</v>
      </c>
      <c r="K1332" s="2" t="s">
        <v>17253</v>
      </c>
      <c r="L1332" s="2" t="s">
        <v>17254</v>
      </c>
      <c r="M1332" s="3" t="s">
        <v>100</v>
      </c>
      <c r="O1332" s="3" t="s">
        <v>65</v>
      </c>
      <c r="P1332" s="3" t="s">
        <v>66</v>
      </c>
      <c r="R1332" s="3" t="s">
        <v>67</v>
      </c>
      <c r="S1332" s="4">
        <v>7</v>
      </c>
      <c r="T1332" s="4">
        <v>7</v>
      </c>
      <c r="U1332" s="5" t="s">
        <v>10948</v>
      </c>
      <c r="V1332" s="5" t="s">
        <v>10948</v>
      </c>
      <c r="W1332" s="5" t="s">
        <v>5038</v>
      </c>
      <c r="X1332" s="5" t="s">
        <v>5038</v>
      </c>
      <c r="Y1332" s="4">
        <v>375</v>
      </c>
      <c r="Z1332" s="4">
        <v>363</v>
      </c>
      <c r="AA1332" s="4">
        <v>369</v>
      </c>
      <c r="AB1332" s="4">
        <v>4</v>
      </c>
      <c r="AC1332" s="4">
        <v>4</v>
      </c>
      <c r="AD1332" s="4">
        <v>21</v>
      </c>
      <c r="AE1332" s="4">
        <v>21</v>
      </c>
      <c r="AF1332" s="4">
        <v>5</v>
      </c>
      <c r="AG1332" s="4">
        <v>5</v>
      </c>
      <c r="AH1332" s="4">
        <v>3</v>
      </c>
      <c r="AI1332" s="4">
        <v>3</v>
      </c>
      <c r="AJ1332" s="4">
        <v>11</v>
      </c>
      <c r="AK1332" s="4">
        <v>11</v>
      </c>
      <c r="AL1332" s="4">
        <v>2</v>
      </c>
      <c r="AM1332" s="4">
        <v>2</v>
      </c>
      <c r="AN1332" s="4">
        <v>4</v>
      </c>
      <c r="AO1332" s="4">
        <v>4</v>
      </c>
      <c r="AP1332" s="3" t="s">
        <v>58</v>
      </c>
      <c r="AQ1332" s="3" t="s">
        <v>58</v>
      </c>
      <c r="AS1332" s="6" t="str">
        <f>HYPERLINK("https://creighton-primo.hosted.exlibrisgroup.com/primo-explore/search?tab=default_tab&amp;search_scope=EVERYTHING&amp;vid=01CRU&amp;lang=en_US&amp;offset=0&amp;query=any,contains,991003995359702656","Catalog Record")</f>
        <v>Catalog Record</v>
      </c>
      <c r="AT1332" s="6" t="str">
        <f>HYPERLINK("http://www.worldcat.org/oclc/2058702","WorldCat Record")</f>
        <v>WorldCat Record</v>
      </c>
      <c r="AU1332" s="3" t="s">
        <v>17255</v>
      </c>
      <c r="AV1332" s="3" t="s">
        <v>17256</v>
      </c>
      <c r="AW1332" s="3" t="s">
        <v>17257</v>
      </c>
      <c r="AX1332" s="3" t="s">
        <v>17257</v>
      </c>
      <c r="AY1332" s="3" t="s">
        <v>17258</v>
      </c>
      <c r="AZ1332" s="3" t="s">
        <v>74</v>
      </c>
      <c r="BC1332" s="3" t="s">
        <v>17259</v>
      </c>
      <c r="BD1332" s="3" t="s">
        <v>17260</v>
      </c>
    </row>
    <row r="1333" spans="1:56" ht="45.75" customHeight="1" x14ac:dyDescent="0.25">
      <c r="A1333" s="7" t="s">
        <v>58</v>
      </c>
      <c r="B1333" s="2" t="s">
        <v>17261</v>
      </c>
      <c r="C1333" s="2" t="s">
        <v>17262</v>
      </c>
      <c r="D1333" s="2" t="s">
        <v>17263</v>
      </c>
      <c r="F1333" s="3" t="s">
        <v>58</v>
      </c>
      <c r="G1333" s="3" t="s">
        <v>59</v>
      </c>
      <c r="H1333" s="3" t="s">
        <v>58</v>
      </c>
      <c r="I1333" s="3" t="s">
        <v>58</v>
      </c>
      <c r="J1333" s="3" t="s">
        <v>60</v>
      </c>
      <c r="L1333" s="2" t="s">
        <v>17264</v>
      </c>
      <c r="M1333" s="3" t="s">
        <v>867</v>
      </c>
      <c r="O1333" s="3" t="s">
        <v>65</v>
      </c>
      <c r="P1333" s="3" t="s">
        <v>148</v>
      </c>
      <c r="R1333" s="3" t="s">
        <v>67</v>
      </c>
      <c r="S1333" s="4">
        <v>2</v>
      </c>
      <c r="T1333" s="4">
        <v>2</v>
      </c>
      <c r="U1333" s="5" t="s">
        <v>10827</v>
      </c>
      <c r="V1333" s="5" t="s">
        <v>10827</v>
      </c>
      <c r="W1333" s="5" t="s">
        <v>1906</v>
      </c>
      <c r="X1333" s="5" t="s">
        <v>1906</v>
      </c>
      <c r="Y1333" s="4">
        <v>328</v>
      </c>
      <c r="Z1333" s="4">
        <v>267</v>
      </c>
      <c r="AA1333" s="4">
        <v>271</v>
      </c>
      <c r="AB1333" s="4">
        <v>2</v>
      </c>
      <c r="AC1333" s="4">
        <v>2</v>
      </c>
      <c r="AD1333" s="4">
        <v>12</v>
      </c>
      <c r="AE1333" s="4">
        <v>12</v>
      </c>
      <c r="AF1333" s="4">
        <v>5</v>
      </c>
      <c r="AG1333" s="4">
        <v>5</v>
      </c>
      <c r="AH1333" s="4">
        <v>3</v>
      </c>
      <c r="AI1333" s="4">
        <v>3</v>
      </c>
      <c r="AJ1333" s="4">
        <v>6</v>
      </c>
      <c r="AK1333" s="4">
        <v>6</v>
      </c>
      <c r="AL1333" s="4">
        <v>1</v>
      </c>
      <c r="AM1333" s="4">
        <v>1</v>
      </c>
      <c r="AN1333" s="4">
        <v>0</v>
      </c>
      <c r="AO1333" s="4">
        <v>0</v>
      </c>
      <c r="AP1333" s="3" t="s">
        <v>58</v>
      </c>
      <c r="AQ1333" s="3" t="s">
        <v>87</v>
      </c>
      <c r="AR1333" s="6" t="str">
        <f>HYPERLINK("http://catalog.hathitrust.org/Record/002604024","HathiTrust Record")</f>
        <v>HathiTrust Record</v>
      </c>
      <c r="AS1333" s="6" t="str">
        <f>HYPERLINK("https://creighton-primo.hosted.exlibrisgroup.com/primo-explore/search?tab=default_tab&amp;search_scope=EVERYTHING&amp;vid=01CRU&amp;lang=en_US&amp;offset=0&amp;query=any,contains,991001904239702656","Catalog Record")</f>
        <v>Catalog Record</v>
      </c>
      <c r="AT1333" s="6" t="str">
        <f>HYPERLINK("http://www.worldcat.org/oclc/24066090","WorldCat Record")</f>
        <v>WorldCat Record</v>
      </c>
      <c r="AU1333" s="3" t="s">
        <v>17265</v>
      </c>
      <c r="AV1333" s="3" t="s">
        <v>17266</v>
      </c>
      <c r="AW1333" s="3" t="s">
        <v>17267</v>
      </c>
      <c r="AX1333" s="3" t="s">
        <v>17267</v>
      </c>
      <c r="AY1333" s="3" t="s">
        <v>17268</v>
      </c>
      <c r="AZ1333" s="3" t="s">
        <v>74</v>
      </c>
      <c r="BB1333" s="3" t="s">
        <v>17269</v>
      </c>
      <c r="BC1333" s="3" t="s">
        <v>17270</v>
      </c>
      <c r="BD1333" s="3" t="s">
        <v>17271</v>
      </c>
    </row>
    <row r="1334" spans="1:56" ht="45.75" customHeight="1" x14ac:dyDescent="0.25">
      <c r="A1334" s="7" t="s">
        <v>58</v>
      </c>
      <c r="B1334" s="2" t="s">
        <v>17272</v>
      </c>
      <c r="C1334" s="2" t="s">
        <v>17273</v>
      </c>
      <c r="D1334" s="2" t="s">
        <v>17274</v>
      </c>
      <c r="F1334" s="3" t="s">
        <v>58</v>
      </c>
      <c r="G1334" s="3" t="s">
        <v>59</v>
      </c>
      <c r="H1334" s="3" t="s">
        <v>58</v>
      </c>
      <c r="I1334" s="3" t="s">
        <v>58</v>
      </c>
      <c r="J1334" s="3" t="s">
        <v>60</v>
      </c>
      <c r="L1334" s="2" t="s">
        <v>17275</v>
      </c>
      <c r="M1334" s="3" t="s">
        <v>1058</v>
      </c>
      <c r="O1334" s="3" t="s">
        <v>65</v>
      </c>
      <c r="P1334" s="3" t="s">
        <v>336</v>
      </c>
      <c r="Q1334" s="2" t="s">
        <v>17276</v>
      </c>
      <c r="R1334" s="3" t="s">
        <v>67</v>
      </c>
      <c r="S1334" s="4">
        <v>3</v>
      </c>
      <c r="T1334" s="4">
        <v>3</v>
      </c>
      <c r="U1334" s="5" t="s">
        <v>3254</v>
      </c>
      <c r="V1334" s="5" t="s">
        <v>3254</v>
      </c>
      <c r="W1334" s="5" t="s">
        <v>2841</v>
      </c>
      <c r="X1334" s="5" t="s">
        <v>2841</v>
      </c>
      <c r="Y1334" s="4">
        <v>761</v>
      </c>
      <c r="Z1334" s="4">
        <v>589</v>
      </c>
      <c r="AA1334" s="4">
        <v>743</v>
      </c>
      <c r="AB1334" s="4">
        <v>4</v>
      </c>
      <c r="AC1334" s="4">
        <v>4</v>
      </c>
      <c r="AD1334" s="4">
        <v>27</v>
      </c>
      <c r="AE1334" s="4">
        <v>36</v>
      </c>
      <c r="AF1334" s="4">
        <v>8</v>
      </c>
      <c r="AG1334" s="4">
        <v>14</v>
      </c>
      <c r="AH1334" s="4">
        <v>4</v>
      </c>
      <c r="AI1334" s="4">
        <v>7</v>
      </c>
      <c r="AJ1334" s="4">
        <v>14</v>
      </c>
      <c r="AK1334" s="4">
        <v>17</v>
      </c>
      <c r="AL1334" s="4">
        <v>3</v>
      </c>
      <c r="AM1334" s="4">
        <v>3</v>
      </c>
      <c r="AN1334" s="4">
        <v>3</v>
      </c>
      <c r="AO1334" s="4">
        <v>3</v>
      </c>
      <c r="AP1334" s="3" t="s">
        <v>58</v>
      </c>
      <c r="AQ1334" s="3" t="s">
        <v>58</v>
      </c>
      <c r="AS1334" s="6" t="str">
        <f>HYPERLINK("https://creighton-primo.hosted.exlibrisgroup.com/primo-explore/search?tab=default_tab&amp;search_scope=EVERYTHING&amp;vid=01CRU&amp;lang=en_US&amp;offset=0&amp;query=any,contains,991001209599702656","Catalog Record")</f>
        <v>Catalog Record</v>
      </c>
      <c r="AT1334" s="6" t="str">
        <f>HYPERLINK("http://www.worldcat.org/oclc/17384028","WorldCat Record")</f>
        <v>WorldCat Record</v>
      </c>
      <c r="AU1334" s="3" t="s">
        <v>17277</v>
      </c>
      <c r="AV1334" s="3" t="s">
        <v>17278</v>
      </c>
      <c r="AW1334" s="3" t="s">
        <v>17279</v>
      </c>
      <c r="AX1334" s="3" t="s">
        <v>17279</v>
      </c>
      <c r="AY1334" s="3" t="s">
        <v>17280</v>
      </c>
      <c r="AZ1334" s="3" t="s">
        <v>74</v>
      </c>
      <c r="BB1334" s="3" t="s">
        <v>17281</v>
      </c>
      <c r="BC1334" s="3" t="s">
        <v>17282</v>
      </c>
      <c r="BD1334" s="3" t="s">
        <v>17283</v>
      </c>
    </row>
    <row r="1335" spans="1:56" ht="45.75" customHeight="1" x14ac:dyDescent="0.25">
      <c r="A1335" s="7" t="s">
        <v>58</v>
      </c>
      <c r="B1335" s="2" t="s">
        <v>17284</v>
      </c>
      <c r="C1335" s="2" t="s">
        <v>17285</v>
      </c>
      <c r="D1335" s="2" t="s">
        <v>17286</v>
      </c>
      <c r="F1335" s="3" t="s">
        <v>58</v>
      </c>
      <c r="G1335" s="3" t="s">
        <v>59</v>
      </c>
      <c r="H1335" s="3" t="s">
        <v>58</v>
      </c>
      <c r="I1335" s="3" t="s">
        <v>58</v>
      </c>
      <c r="J1335" s="3" t="s">
        <v>60</v>
      </c>
      <c r="K1335" s="2" t="s">
        <v>17287</v>
      </c>
      <c r="L1335" s="2" t="s">
        <v>11473</v>
      </c>
      <c r="M1335" s="3" t="s">
        <v>1058</v>
      </c>
      <c r="O1335" s="3" t="s">
        <v>65</v>
      </c>
      <c r="P1335" s="3" t="s">
        <v>84</v>
      </c>
      <c r="R1335" s="3" t="s">
        <v>67</v>
      </c>
      <c r="S1335" s="4">
        <v>8</v>
      </c>
      <c r="T1335" s="4">
        <v>8</v>
      </c>
      <c r="U1335" s="5" t="s">
        <v>17288</v>
      </c>
      <c r="V1335" s="5" t="s">
        <v>17288</v>
      </c>
      <c r="W1335" s="5" t="s">
        <v>2841</v>
      </c>
      <c r="X1335" s="5" t="s">
        <v>2841</v>
      </c>
      <c r="Y1335" s="4">
        <v>1254</v>
      </c>
      <c r="Z1335" s="4">
        <v>1146</v>
      </c>
      <c r="AA1335" s="4">
        <v>1152</v>
      </c>
      <c r="AB1335" s="4">
        <v>5</v>
      </c>
      <c r="AC1335" s="4">
        <v>5</v>
      </c>
      <c r="AD1335" s="4">
        <v>48</v>
      </c>
      <c r="AE1335" s="4">
        <v>48</v>
      </c>
      <c r="AF1335" s="4">
        <v>19</v>
      </c>
      <c r="AG1335" s="4">
        <v>19</v>
      </c>
      <c r="AH1335" s="4">
        <v>9</v>
      </c>
      <c r="AI1335" s="4">
        <v>9</v>
      </c>
      <c r="AJ1335" s="4">
        <v>21</v>
      </c>
      <c r="AK1335" s="4">
        <v>21</v>
      </c>
      <c r="AL1335" s="4">
        <v>4</v>
      </c>
      <c r="AM1335" s="4">
        <v>4</v>
      </c>
      <c r="AN1335" s="4">
        <v>6</v>
      </c>
      <c r="AO1335" s="4">
        <v>6</v>
      </c>
      <c r="AP1335" s="3" t="s">
        <v>58</v>
      </c>
      <c r="AQ1335" s="3" t="s">
        <v>87</v>
      </c>
      <c r="AR1335" s="6" t="str">
        <f>HYPERLINK("http://catalog.hathitrust.org/Record/000916282","HathiTrust Record")</f>
        <v>HathiTrust Record</v>
      </c>
      <c r="AS1335" s="6" t="str">
        <f>HYPERLINK("https://creighton-primo.hosted.exlibrisgroup.com/primo-explore/search?tab=default_tab&amp;search_scope=EVERYTHING&amp;vid=01CRU&amp;lang=en_US&amp;offset=0&amp;query=any,contains,991001226009702656","Catalog Record")</f>
        <v>Catalog Record</v>
      </c>
      <c r="AT1335" s="6" t="str">
        <f>HYPERLINK("http://www.worldcat.org/oclc/17507301","WorldCat Record")</f>
        <v>WorldCat Record</v>
      </c>
      <c r="AU1335" s="3" t="s">
        <v>17289</v>
      </c>
      <c r="AV1335" s="3" t="s">
        <v>17290</v>
      </c>
      <c r="AW1335" s="3" t="s">
        <v>17291</v>
      </c>
      <c r="AX1335" s="3" t="s">
        <v>17291</v>
      </c>
      <c r="AY1335" s="3" t="s">
        <v>17292</v>
      </c>
      <c r="AZ1335" s="3" t="s">
        <v>74</v>
      </c>
      <c r="BB1335" s="3" t="s">
        <v>17293</v>
      </c>
      <c r="BC1335" s="3" t="s">
        <v>17294</v>
      </c>
      <c r="BD1335" s="3" t="s">
        <v>17295</v>
      </c>
    </row>
    <row r="1336" spans="1:56" ht="45.75" customHeight="1" x14ac:dyDescent="0.25">
      <c r="A1336" s="7" t="s">
        <v>58</v>
      </c>
      <c r="B1336" s="2" t="s">
        <v>17296</v>
      </c>
      <c r="C1336" s="2" t="s">
        <v>17297</v>
      </c>
      <c r="D1336" s="2" t="s">
        <v>17298</v>
      </c>
      <c r="F1336" s="3" t="s">
        <v>58</v>
      </c>
      <c r="G1336" s="3" t="s">
        <v>59</v>
      </c>
      <c r="H1336" s="3" t="s">
        <v>58</v>
      </c>
      <c r="I1336" s="3" t="s">
        <v>58</v>
      </c>
      <c r="J1336" s="3" t="s">
        <v>60</v>
      </c>
      <c r="K1336" s="2" t="s">
        <v>17299</v>
      </c>
      <c r="L1336" s="2" t="s">
        <v>17300</v>
      </c>
      <c r="M1336" s="3" t="s">
        <v>557</v>
      </c>
      <c r="N1336" s="2" t="s">
        <v>543</v>
      </c>
      <c r="O1336" s="3" t="s">
        <v>65</v>
      </c>
      <c r="P1336" s="3" t="s">
        <v>132</v>
      </c>
      <c r="R1336" s="3" t="s">
        <v>67</v>
      </c>
      <c r="S1336" s="4">
        <v>7</v>
      </c>
      <c r="T1336" s="4">
        <v>7</v>
      </c>
      <c r="U1336" s="5" t="s">
        <v>13862</v>
      </c>
      <c r="V1336" s="5" t="s">
        <v>13862</v>
      </c>
      <c r="W1336" s="5" t="s">
        <v>17301</v>
      </c>
      <c r="X1336" s="5" t="s">
        <v>17301</v>
      </c>
      <c r="Y1336" s="4">
        <v>649</v>
      </c>
      <c r="Z1336" s="4">
        <v>596</v>
      </c>
      <c r="AA1336" s="4">
        <v>712</v>
      </c>
      <c r="AB1336" s="4">
        <v>7</v>
      </c>
      <c r="AC1336" s="4">
        <v>8</v>
      </c>
      <c r="AD1336" s="4">
        <v>26</v>
      </c>
      <c r="AE1336" s="4">
        <v>33</v>
      </c>
      <c r="AF1336" s="4">
        <v>8</v>
      </c>
      <c r="AG1336" s="4">
        <v>12</v>
      </c>
      <c r="AH1336" s="4">
        <v>5</v>
      </c>
      <c r="AI1336" s="4">
        <v>7</v>
      </c>
      <c r="AJ1336" s="4">
        <v>14</v>
      </c>
      <c r="AK1336" s="4">
        <v>16</v>
      </c>
      <c r="AL1336" s="4">
        <v>6</v>
      </c>
      <c r="AM1336" s="4">
        <v>7</v>
      </c>
      <c r="AN1336" s="4">
        <v>0</v>
      </c>
      <c r="AO1336" s="4">
        <v>0</v>
      </c>
      <c r="AP1336" s="3" t="s">
        <v>58</v>
      </c>
      <c r="AQ1336" s="3" t="s">
        <v>87</v>
      </c>
      <c r="AR1336" s="6" t="str">
        <f>HYPERLINK("http://catalog.hathitrust.org/Record/002734442","HathiTrust Record")</f>
        <v>HathiTrust Record</v>
      </c>
      <c r="AS1336" s="6" t="str">
        <f>HYPERLINK("https://creighton-primo.hosted.exlibrisgroup.com/primo-explore/search?tab=default_tab&amp;search_scope=EVERYTHING&amp;vid=01CRU&amp;lang=en_US&amp;offset=0&amp;query=any,contains,991002181359702656","Catalog Record")</f>
        <v>Catalog Record</v>
      </c>
      <c r="AT1336" s="6" t="str">
        <f>HYPERLINK("http://www.worldcat.org/oclc/28067683","WorldCat Record")</f>
        <v>WorldCat Record</v>
      </c>
      <c r="AU1336" s="3" t="s">
        <v>17302</v>
      </c>
      <c r="AV1336" s="3" t="s">
        <v>17303</v>
      </c>
      <c r="AW1336" s="3" t="s">
        <v>17304</v>
      </c>
      <c r="AX1336" s="3" t="s">
        <v>17304</v>
      </c>
      <c r="AY1336" s="3" t="s">
        <v>17305</v>
      </c>
      <c r="AZ1336" s="3" t="s">
        <v>74</v>
      </c>
      <c r="BB1336" s="3" t="s">
        <v>17306</v>
      </c>
      <c r="BC1336" s="3" t="s">
        <v>17307</v>
      </c>
      <c r="BD1336" s="3" t="s">
        <v>17308</v>
      </c>
    </row>
    <row r="1337" spans="1:56" ht="45.75" customHeight="1" x14ac:dyDescent="0.25">
      <c r="A1337" s="7" t="s">
        <v>58</v>
      </c>
      <c r="B1337" s="2" t="s">
        <v>17309</v>
      </c>
      <c r="C1337" s="2" t="s">
        <v>17310</v>
      </c>
      <c r="D1337" s="2" t="s">
        <v>17311</v>
      </c>
      <c r="F1337" s="3" t="s">
        <v>58</v>
      </c>
      <c r="G1337" s="3" t="s">
        <v>59</v>
      </c>
      <c r="H1337" s="3" t="s">
        <v>58</v>
      </c>
      <c r="I1337" s="3" t="s">
        <v>58</v>
      </c>
      <c r="J1337" s="3" t="s">
        <v>60</v>
      </c>
      <c r="K1337" s="2" t="s">
        <v>17312</v>
      </c>
      <c r="L1337" s="2" t="s">
        <v>17313</v>
      </c>
      <c r="M1337" s="3" t="s">
        <v>937</v>
      </c>
      <c r="N1337" s="2" t="s">
        <v>543</v>
      </c>
      <c r="O1337" s="3" t="s">
        <v>65</v>
      </c>
      <c r="P1337" s="3" t="s">
        <v>132</v>
      </c>
      <c r="Q1337" s="2" t="s">
        <v>4474</v>
      </c>
      <c r="R1337" s="3" t="s">
        <v>67</v>
      </c>
      <c r="S1337" s="4">
        <v>1</v>
      </c>
      <c r="T1337" s="4">
        <v>1</v>
      </c>
      <c r="U1337" s="5" t="s">
        <v>17314</v>
      </c>
      <c r="V1337" s="5" t="s">
        <v>17314</v>
      </c>
      <c r="W1337" s="5" t="s">
        <v>17315</v>
      </c>
      <c r="X1337" s="5" t="s">
        <v>17315</v>
      </c>
      <c r="Y1337" s="4">
        <v>582</v>
      </c>
      <c r="Z1337" s="4">
        <v>479</v>
      </c>
      <c r="AA1337" s="4">
        <v>495</v>
      </c>
      <c r="AB1337" s="4">
        <v>6</v>
      </c>
      <c r="AC1337" s="4">
        <v>6</v>
      </c>
      <c r="AD1337" s="4">
        <v>19</v>
      </c>
      <c r="AE1337" s="4">
        <v>21</v>
      </c>
      <c r="AF1337" s="4">
        <v>7</v>
      </c>
      <c r="AG1337" s="4">
        <v>8</v>
      </c>
      <c r="AH1337" s="4">
        <v>1</v>
      </c>
      <c r="AI1337" s="4">
        <v>2</v>
      </c>
      <c r="AJ1337" s="4">
        <v>9</v>
      </c>
      <c r="AK1337" s="4">
        <v>9</v>
      </c>
      <c r="AL1337" s="4">
        <v>4</v>
      </c>
      <c r="AM1337" s="4">
        <v>4</v>
      </c>
      <c r="AN1337" s="4">
        <v>1</v>
      </c>
      <c r="AO1337" s="4">
        <v>1</v>
      </c>
      <c r="AP1337" s="3" t="s">
        <v>58</v>
      </c>
      <c r="AQ1337" s="3" t="s">
        <v>87</v>
      </c>
      <c r="AR1337" s="6" t="str">
        <f>HYPERLINK("http://catalog.hathitrust.org/Record/000750387","HathiTrust Record")</f>
        <v>HathiTrust Record</v>
      </c>
      <c r="AS1337" s="6" t="str">
        <f>HYPERLINK("https://creighton-primo.hosted.exlibrisgroup.com/primo-explore/search?tab=default_tab&amp;search_scope=EVERYTHING&amp;vid=01CRU&amp;lang=en_US&amp;offset=0&amp;query=any,contains,991004416829702656","Catalog Record")</f>
        <v>Catalog Record</v>
      </c>
      <c r="AT1337" s="6" t="str">
        <f>HYPERLINK("http://www.worldcat.org/oclc/3365988","WorldCat Record")</f>
        <v>WorldCat Record</v>
      </c>
      <c r="AU1337" s="3" t="s">
        <v>17316</v>
      </c>
      <c r="AV1337" s="3" t="s">
        <v>17317</v>
      </c>
      <c r="AW1337" s="3" t="s">
        <v>17318</v>
      </c>
      <c r="AX1337" s="3" t="s">
        <v>17318</v>
      </c>
      <c r="AY1337" s="3" t="s">
        <v>17319</v>
      </c>
      <c r="AZ1337" s="3" t="s">
        <v>74</v>
      </c>
      <c r="BB1337" s="3" t="s">
        <v>17320</v>
      </c>
      <c r="BC1337" s="3" t="s">
        <v>17321</v>
      </c>
      <c r="BD1337" s="3" t="s">
        <v>17322</v>
      </c>
    </row>
    <row r="1338" spans="1:56" ht="45.75" customHeight="1" x14ac:dyDescent="0.25">
      <c r="A1338" s="7" t="s">
        <v>58</v>
      </c>
      <c r="B1338" s="2" t="s">
        <v>17323</v>
      </c>
      <c r="C1338" s="2" t="s">
        <v>17324</v>
      </c>
      <c r="D1338" s="2" t="s">
        <v>17325</v>
      </c>
      <c r="F1338" s="3" t="s">
        <v>58</v>
      </c>
      <c r="G1338" s="3" t="s">
        <v>59</v>
      </c>
      <c r="H1338" s="3" t="s">
        <v>58</v>
      </c>
      <c r="I1338" s="3" t="s">
        <v>58</v>
      </c>
      <c r="J1338" s="3" t="s">
        <v>60</v>
      </c>
      <c r="K1338" s="2" t="s">
        <v>2931</v>
      </c>
      <c r="L1338" s="2" t="s">
        <v>17326</v>
      </c>
      <c r="M1338" s="3" t="s">
        <v>147</v>
      </c>
      <c r="N1338" s="2" t="s">
        <v>64</v>
      </c>
      <c r="O1338" s="3" t="s">
        <v>65</v>
      </c>
      <c r="P1338" s="3" t="s">
        <v>66</v>
      </c>
      <c r="R1338" s="3" t="s">
        <v>67</v>
      </c>
      <c r="S1338" s="4">
        <v>2</v>
      </c>
      <c r="T1338" s="4">
        <v>2</v>
      </c>
      <c r="U1338" s="5" t="s">
        <v>17327</v>
      </c>
      <c r="V1338" s="5" t="s">
        <v>17327</v>
      </c>
      <c r="W1338" s="5" t="s">
        <v>17327</v>
      </c>
      <c r="X1338" s="5" t="s">
        <v>17327</v>
      </c>
      <c r="Y1338" s="4">
        <v>460</v>
      </c>
      <c r="Z1338" s="4">
        <v>421</v>
      </c>
      <c r="AA1338" s="4">
        <v>700</v>
      </c>
      <c r="AB1338" s="4">
        <v>4</v>
      </c>
      <c r="AC1338" s="4">
        <v>5</v>
      </c>
      <c r="AD1338" s="4">
        <v>20</v>
      </c>
      <c r="AE1338" s="4">
        <v>29</v>
      </c>
      <c r="AF1338" s="4">
        <v>10</v>
      </c>
      <c r="AG1338" s="4">
        <v>14</v>
      </c>
      <c r="AH1338" s="4">
        <v>2</v>
      </c>
      <c r="AI1338" s="4">
        <v>5</v>
      </c>
      <c r="AJ1338" s="4">
        <v>7</v>
      </c>
      <c r="AK1338" s="4">
        <v>13</v>
      </c>
      <c r="AL1338" s="4">
        <v>3</v>
      </c>
      <c r="AM1338" s="4">
        <v>4</v>
      </c>
      <c r="AN1338" s="4">
        <v>0</v>
      </c>
      <c r="AO1338" s="4">
        <v>0</v>
      </c>
      <c r="AP1338" s="3" t="s">
        <v>58</v>
      </c>
      <c r="AQ1338" s="3" t="s">
        <v>58</v>
      </c>
      <c r="AS1338" s="6" t="str">
        <f>HYPERLINK("https://creighton-primo.hosted.exlibrisgroup.com/primo-explore/search?tab=default_tab&amp;search_scope=EVERYTHING&amp;vid=01CRU&amp;lang=en_US&amp;offset=0&amp;query=any,contains,991004408989702656","Catalog Record")</f>
        <v>Catalog Record</v>
      </c>
      <c r="AT1338" s="6" t="str">
        <f>HYPERLINK("http://www.worldcat.org/oclc/53477119","WorldCat Record")</f>
        <v>WorldCat Record</v>
      </c>
      <c r="AU1338" s="3" t="s">
        <v>17328</v>
      </c>
      <c r="AV1338" s="3" t="s">
        <v>17329</v>
      </c>
      <c r="AW1338" s="3" t="s">
        <v>17330</v>
      </c>
      <c r="AX1338" s="3" t="s">
        <v>17330</v>
      </c>
      <c r="AY1338" s="3" t="s">
        <v>17331</v>
      </c>
      <c r="AZ1338" s="3" t="s">
        <v>74</v>
      </c>
      <c r="BB1338" s="3" t="s">
        <v>17332</v>
      </c>
      <c r="BC1338" s="3" t="s">
        <v>17333</v>
      </c>
      <c r="BD1338" s="3" t="s">
        <v>17334</v>
      </c>
    </row>
    <row r="1339" spans="1:56" ht="45.75" customHeight="1" x14ac:dyDescent="0.25">
      <c r="A1339" s="7" t="s">
        <v>58</v>
      </c>
      <c r="B1339" s="2" t="s">
        <v>17335</v>
      </c>
      <c r="C1339" s="2" t="s">
        <v>17336</v>
      </c>
      <c r="D1339" s="2" t="s">
        <v>17337</v>
      </c>
      <c r="F1339" s="3" t="s">
        <v>58</v>
      </c>
      <c r="G1339" s="3" t="s">
        <v>59</v>
      </c>
      <c r="H1339" s="3" t="s">
        <v>87</v>
      </c>
      <c r="I1339" s="3" t="s">
        <v>58</v>
      </c>
      <c r="J1339" s="3" t="s">
        <v>60</v>
      </c>
      <c r="K1339" s="2" t="s">
        <v>17338</v>
      </c>
      <c r="L1339" s="2" t="s">
        <v>17339</v>
      </c>
      <c r="M1339" s="3" t="s">
        <v>1338</v>
      </c>
      <c r="O1339" s="3" t="s">
        <v>65</v>
      </c>
      <c r="P1339" s="3" t="s">
        <v>84</v>
      </c>
      <c r="R1339" s="3" t="s">
        <v>67</v>
      </c>
      <c r="S1339" s="4">
        <v>3</v>
      </c>
      <c r="T1339" s="4">
        <v>3</v>
      </c>
      <c r="U1339" s="5" t="s">
        <v>17340</v>
      </c>
      <c r="V1339" s="5" t="s">
        <v>17340</v>
      </c>
      <c r="W1339" s="5" t="s">
        <v>17315</v>
      </c>
      <c r="X1339" s="5" t="s">
        <v>17341</v>
      </c>
      <c r="Y1339" s="4">
        <v>752</v>
      </c>
      <c r="Z1339" s="4">
        <v>623</v>
      </c>
      <c r="AA1339" s="4">
        <v>631</v>
      </c>
      <c r="AB1339" s="4">
        <v>5</v>
      </c>
      <c r="AC1339" s="4">
        <v>5</v>
      </c>
      <c r="AD1339" s="4">
        <v>36</v>
      </c>
      <c r="AE1339" s="4">
        <v>36</v>
      </c>
      <c r="AF1339" s="4">
        <v>15</v>
      </c>
      <c r="AG1339" s="4">
        <v>15</v>
      </c>
      <c r="AH1339" s="4">
        <v>8</v>
      </c>
      <c r="AI1339" s="4">
        <v>8</v>
      </c>
      <c r="AJ1339" s="4">
        <v>16</v>
      </c>
      <c r="AK1339" s="4">
        <v>16</v>
      </c>
      <c r="AL1339" s="4">
        <v>3</v>
      </c>
      <c r="AM1339" s="4">
        <v>3</v>
      </c>
      <c r="AN1339" s="4">
        <v>3</v>
      </c>
      <c r="AO1339" s="4">
        <v>3</v>
      </c>
      <c r="AP1339" s="3" t="s">
        <v>58</v>
      </c>
      <c r="AQ1339" s="3" t="s">
        <v>58</v>
      </c>
      <c r="AS1339" s="6" t="str">
        <f>HYPERLINK("https://creighton-primo.hosted.exlibrisgroup.com/primo-explore/search?tab=default_tab&amp;search_scope=EVERYTHING&amp;vid=01CRU&amp;lang=en_US&amp;offset=0&amp;query=any,contains,991001620719702656","Catalog Record")</f>
        <v>Catalog Record</v>
      </c>
      <c r="AT1339" s="6" t="str">
        <f>HYPERLINK("http://www.worldcat.org/oclc/263223","WorldCat Record")</f>
        <v>WorldCat Record</v>
      </c>
      <c r="AU1339" s="3" t="s">
        <v>17342</v>
      </c>
      <c r="AV1339" s="3" t="s">
        <v>17343</v>
      </c>
      <c r="AW1339" s="3" t="s">
        <v>17344</v>
      </c>
      <c r="AX1339" s="3" t="s">
        <v>17344</v>
      </c>
      <c r="AY1339" s="3" t="s">
        <v>17345</v>
      </c>
      <c r="AZ1339" s="3" t="s">
        <v>74</v>
      </c>
      <c r="BC1339" s="3" t="s">
        <v>17346</v>
      </c>
      <c r="BD1339" s="3" t="s">
        <v>17347</v>
      </c>
    </row>
    <row r="1340" spans="1:56" ht="45.75" customHeight="1" x14ac:dyDescent="0.25">
      <c r="A1340" s="7" t="s">
        <v>58</v>
      </c>
      <c r="B1340" s="2" t="s">
        <v>17348</v>
      </c>
      <c r="C1340" s="2" t="s">
        <v>17349</v>
      </c>
      <c r="D1340" s="2" t="s">
        <v>17350</v>
      </c>
      <c r="F1340" s="3" t="s">
        <v>58</v>
      </c>
      <c r="G1340" s="3" t="s">
        <v>59</v>
      </c>
      <c r="H1340" s="3" t="s">
        <v>58</v>
      </c>
      <c r="I1340" s="3" t="s">
        <v>58</v>
      </c>
      <c r="J1340" s="3" t="s">
        <v>60</v>
      </c>
      <c r="K1340" s="2" t="s">
        <v>17351</v>
      </c>
      <c r="L1340" s="2" t="s">
        <v>14872</v>
      </c>
      <c r="M1340" s="3" t="s">
        <v>1998</v>
      </c>
      <c r="N1340" s="2" t="s">
        <v>4473</v>
      </c>
      <c r="O1340" s="3" t="s">
        <v>65</v>
      </c>
      <c r="P1340" s="3" t="s">
        <v>84</v>
      </c>
      <c r="R1340" s="3" t="s">
        <v>67</v>
      </c>
      <c r="S1340" s="4">
        <v>1</v>
      </c>
      <c r="T1340" s="4">
        <v>1</v>
      </c>
      <c r="U1340" s="5" t="s">
        <v>17352</v>
      </c>
      <c r="V1340" s="5" t="s">
        <v>17352</v>
      </c>
      <c r="W1340" s="5" t="s">
        <v>5038</v>
      </c>
      <c r="X1340" s="5" t="s">
        <v>5038</v>
      </c>
      <c r="Y1340" s="4">
        <v>394</v>
      </c>
      <c r="Z1340" s="4">
        <v>380</v>
      </c>
      <c r="AA1340" s="4">
        <v>439</v>
      </c>
      <c r="AB1340" s="4">
        <v>4</v>
      </c>
      <c r="AC1340" s="4">
        <v>4</v>
      </c>
      <c r="AD1340" s="4">
        <v>10</v>
      </c>
      <c r="AE1340" s="4">
        <v>11</v>
      </c>
      <c r="AF1340" s="4">
        <v>2</v>
      </c>
      <c r="AG1340" s="4">
        <v>2</v>
      </c>
      <c r="AH1340" s="4">
        <v>3</v>
      </c>
      <c r="AI1340" s="4">
        <v>3</v>
      </c>
      <c r="AJ1340" s="4">
        <v>5</v>
      </c>
      <c r="AK1340" s="4">
        <v>6</v>
      </c>
      <c r="AL1340" s="4">
        <v>2</v>
      </c>
      <c r="AM1340" s="4">
        <v>2</v>
      </c>
      <c r="AN1340" s="4">
        <v>1</v>
      </c>
      <c r="AO1340" s="4">
        <v>1</v>
      </c>
      <c r="AP1340" s="3" t="s">
        <v>58</v>
      </c>
      <c r="AQ1340" s="3" t="s">
        <v>58</v>
      </c>
      <c r="AS1340" s="6" t="str">
        <f>HYPERLINK("https://creighton-primo.hosted.exlibrisgroup.com/primo-explore/search?tab=default_tab&amp;search_scope=EVERYTHING&amp;vid=01CRU&amp;lang=en_US&amp;offset=0&amp;query=any,contains,991003556699702656","Catalog Record")</f>
        <v>Catalog Record</v>
      </c>
      <c r="AT1340" s="6" t="str">
        <f>HYPERLINK("http://www.worldcat.org/oclc/1125074","WorldCat Record")</f>
        <v>WorldCat Record</v>
      </c>
      <c r="AU1340" s="3" t="s">
        <v>17353</v>
      </c>
      <c r="AV1340" s="3" t="s">
        <v>17354</v>
      </c>
      <c r="AW1340" s="3" t="s">
        <v>17355</v>
      </c>
      <c r="AX1340" s="3" t="s">
        <v>17355</v>
      </c>
      <c r="AY1340" s="3" t="s">
        <v>17356</v>
      </c>
      <c r="AZ1340" s="3" t="s">
        <v>74</v>
      </c>
      <c r="BB1340" s="3" t="s">
        <v>17357</v>
      </c>
      <c r="BC1340" s="3" t="s">
        <v>17358</v>
      </c>
      <c r="BD1340" s="3" t="s">
        <v>17359</v>
      </c>
    </row>
    <row r="1341" spans="1:56" ht="45.75" customHeight="1" x14ac:dyDescent="0.25">
      <c r="A1341" s="7" t="s">
        <v>58</v>
      </c>
      <c r="B1341" s="2" t="s">
        <v>17360</v>
      </c>
      <c r="C1341" s="2" t="s">
        <v>17361</v>
      </c>
      <c r="D1341" s="2" t="s">
        <v>17362</v>
      </c>
      <c r="F1341" s="3" t="s">
        <v>58</v>
      </c>
      <c r="G1341" s="3" t="s">
        <v>59</v>
      </c>
      <c r="H1341" s="3" t="s">
        <v>58</v>
      </c>
      <c r="I1341" s="3" t="s">
        <v>58</v>
      </c>
      <c r="J1341" s="3" t="s">
        <v>60</v>
      </c>
      <c r="K1341" s="2" t="s">
        <v>17363</v>
      </c>
      <c r="L1341" s="2" t="s">
        <v>17364</v>
      </c>
      <c r="M1341" s="3" t="s">
        <v>263</v>
      </c>
      <c r="N1341" s="2" t="s">
        <v>17365</v>
      </c>
      <c r="O1341" s="3" t="s">
        <v>65</v>
      </c>
      <c r="P1341" s="3" t="s">
        <v>84</v>
      </c>
      <c r="R1341" s="3" t="s">
        <v>67</v>
      </c>
      <c r="S1341" s="4">
        <v>8</v>
      </c>
      <c r="T1341" s="4">
        <v>8</v>
      </c>
      <c r="U1341" s="5" t="s">
        <v>13184</v>
      </c>
      <c r="V1341" s="5" t="s">
        <v>13184</v>
      </c>
      <c r="W1341" s="5" t="s">
        <v>3140</v>
      </c>
      <c r="X1341" s="5" t="s">
        <v>3140</v>
      </c>
      <c r="Y1341" s="4">
        <v>543</v>
      </c>
      <c r="Z1341" s="4">
        <v>503</v>
      </c>
      <c r="AA1341" s="4">
        <v>1607</v>
      </c>
      <c r="AB1341" s="4">
        <v>4</v>
      </c>
      <c r="AC1341" s="4">
        <v>11</v>
      </c>
      <c r="AD1341" s="4">
        <v>24</v>
      </c>
      <c r="AE1341" s="4">
        <v>56</v>
      </c>
      <c r="AF1341" s="4">
        <v>8</v>
      </c>
      <c r="AG1341" s="4">
        <v>24</v>
      </c>
      <c r="AH1341" s="4">
        <v>3</v>
      </c>
      <c r="AI1341" s="4">
        <v>10</v>
      </c>
      <c r="AJ1341" s="4">
        <v>15</v>
      </c>
      <c r="AK1341" s="4">
        <v>24</v>
      </c>
      <c r="AL1341" s="4">
        <v>3</v>
      </c>
      <c r="AM1341" s="4">
        <v>8</v>
      </c>
      <c r="AN1341" s="4">
        <v>1</v>
      </c>
      <c r="AO1341" s="4">
        <v>3</v>
      </c>
      <c r="AP1341" s="3" t="s">
        <v>58</v>
      </c>
      <c r="AQ1341" s="3" t="s">
        <v>58</v>
      </c>
      <c r="AS1341" s="6" t="str">
        <f>HYPERLINK("https://creighton-primo.hosted.exlibrisgroup.com/primo-explore/search?tab=default_tab&amp;search_scope=EVERYTHING&amp;vid=01CRU&amp;lang=en_US&amp;offset=0&amp;query=any,contains,991002753479702656","Catalog Record")</f>
        <v>Catalog Record</v>
      </c>
      <c r="AT1341" s="6" t="str">
        <f>HYPERLINK("http://www.worldcat.org/oclc/36127250","WorldCat Record")</f>
        <v>WorldCat Record</v>
      </c>
      <c r="AU1341" s="3" t="s">
        <v>17366</v>
      </c>
      <c r="AV1341" s="3" t="s">
        <v>17367</v>
      </c>
      <c r="AW1341" s="3" t="s">
        <v>17368</v>
      </c>
      <c r="AX1341" s="3" t="s">
        <v>17368</v>
      </c>
      <c r="AY1341" s="3" t="s">
        <v>17369</v>
      </c>
      <c r="AZ1341" s="3" t="s">
        <v>74</v>
      </c>
      <c r="BB1341" s="3" t="s">
        <v>17370</v>
      </c>
      <c r="BC1341" s="3" t="s">
        <v>17371</v>
      </c>
      <c r="BD1341" s="3" t="s">
        <v>17372</v>
      </c>
    </row>
    <row r="1342" spans="1:56" ht="45.75" customHeight="1" x14ac:dyDescent="0.25">
      <c r="A1342" s="7" t="s">
        <v>58</v>
      </c>
      <c r="B1342" s="2" t="s">
        <v>17373</v>
      </c>
      <c r="C1342" s="2" t="s">
        <v>17374</v>
      </c>
      <c r="D1342" s="2" t="s">
        <v>17375</v>
      </c>
      <c r="F1342" s="3" t="s">
        <v>58</v>
      </c>
      <c r="G1342" s="3" t="s">
        <v>59</v>
      </c>
      <c r="H1342" s="3" t="s">
        <v>58</v>
      </c>
      <c r="I1342" s="3" t="s">
        <v>58</v>
      </c>
      <c r="J1342" s="3" t="s">
        <v>60</v>
      </c>
      <c r="K1342" s="2" t="s">
        <v>17376</v>
      </c>
      <c r="L1342" s="2" t="s">
        <v>17377</v>
      </c>
      <c r="M1342" s="3" t="s">
        <v>2324</v>
      </c>
      <c r="O1342" s="3" t="s">
        <v>65</v>
      </c>
      <c r="P1342" s="3" t="s">
        <v>84</v>
      </c>
      <c r="Q1342" s="2" t="s">
        <v>17378</v>
      </c>
      <c r="R1342" s="3" t="s">
        <v>67</v>
      </c>
      <c r="S1342" s="4">
        <v>8</v>
      </c>
      <c r="T1342" s="4">
        <v>8</v>
      </c>
      <c r="U1342" s="5" t="s">
        <v>13184</v>
      </c>
      <c r="V1342" s="5" t="s">
        <v>13184</v>
      </c>
      <c r="W1342" s="5" t="s">
        <v>2573</v>
      </c>
      <c r="X1342" s="5" t="s">
        <v>2573</v>
      </c>
      <c r="Y1342" s="4">
        <v>745</v>
      </c>
      <c r="Z1342" s="4">
        <v>622</v>
      </c>
      <c r="AA1342" s="4">
        <v>662</v>
      </c>
      <c r="AB1342" s="4">
        <v>4</v>
      </c>
      <c r="AC1342" s="4">
        <v>4</v>
      </c>
      <c r="AD1342" s="4">
        <v>27</v>
      </c>
      <c r="AE1342" s="4">
        <v>29</v>
      </c>
      <c r="AF1342" s="4">
        <v>11</v>
      </c>
      <c r="AG1342" s="4">
        <v>12</v>
      </c>
      <c r="AH1342" s="4">
        <v>9</v>
      </c>
      <c r="AI1342" s="4">
        <v>11</v>
      </c>
      <c r="AJ1342" s="4">
        <v>12</v>
      </c>
      <c r="AK1342" s="4">
        <v>12</v>
      </c>
      <c r="AL1342" s="4">
        <v>3</v>
      </c>
      <c r="AM1342" s="4">
        <v>3</v>
      </c>
      <c r="AN1342" s="4">
        <v>0</v>
      </c>
      <c r="AO1342" s="4">
        <v>0</v>
      </c>
      <c r="AP1342" s="3" t="s">
        <v>58</v>
      </c>
      <c r="AQ1342" s="3" t="s">
        <v>87</v>
      </c>
      <c r="AR1342" s="6" t="str">
        <f>HYPERLINK("http://catalog.hathitrust.org/Record/000196534","HathiTrust Record")</f>
        <v>HathiTrust Record</v>
      </c>
      <c r="AS1342" s="6" t="str">
        <f>HYPERLINK("https://creighton-primo.hosted.exlibrisgroup.com/primo-explore/search?tab=default_tab&amp;search_scope=EVERYTHING&amp;vid=01CRU&amp;lang=en_US&amp;offset=0&amp;query=any,contains,991000165539702656","Catalog Record")</f>
        <v>Catalog Record</v>
      </c>
      <c r="AT1342" s="6" t="str">
        <f>HYPERLINK("http://www.worldcat.org/oclc/9282916","WorldCat Record")</f>
        <v>WorldCat Record</v>
      </c>
      <c r="AU1342" s="3" t="s">
        <v>17379</v>
      </c>
      <c r="AV1342" s="3" t="s">
        <v>17380</v>
      </c>
      <c r="AW1342" s="3" t="s">
        <v>17381</v>
      </c>
      <c r="AX1342" s="3" t="s">
        <v>17381</v>
      </c>
      <c r="AY1342" s="3" t="s">
        <v>17382</v>
      </c>
      <c r="AZ1342" s="3" t="s">
        <v>74</v>
      </c>
      <c r="BB1342" s="3" t="s">
        <v>17383</v>
      </c>
      <c r="BC1342" s="3" t="s">
        <v>17384</v>
      </c>
      <c r="BD1342" s="3" t="s">
        <v>17385</v>
      </c>
    </row>
    <row r="1343" spans="1:56" ht="45.75" customHeight="1" x14ac:dyDescent="0.25">
      <c r="A1343" s="7" t="s">
        <v>58</v>
      </c>
      <c r="B1343" s="2" t="s">
        <v>17386</v>
      </c>
      <c r="C1343" s="2" t="s">
        <v>17387</v>
      </c>
      <c r="D1343" s="2" t="s">
        <v>17388</v>
      </c>
      <c r="F1343" s="3" t="s">
        <v>58</v>
      </c>
      <c r="G1343" s="3" t="s">
        <v>59</v>
      </c>
      <c r="H1343" s="3" t="s">
        <v>58</v>
      </c>
      <c r="I1343" s="3" t="s">
        <v>58</v>
      </c>
      <c r="J1343" s="3" t="s">
        <v>60</v>
      </c>
      <c r="K1343" s="2" t="s">
        <v>17389</v>
      </c>
      <c r="L1343" s="2" t="s">
        <v>2865</v>
      </c>
      <c r="M1343" s="3" t="s">
        <v>131</v>
      </c>
      <c r="O1343" s="3" t="s">
        <v>65</v>
      </c>
      <c r="P1343" s="3" t="s">
        <v>84</v>
      </c>
      <c r="Q1343" s="2" t="s">
        <v>17390</v>
      </c>
      <c r="R1343" s="3" t="s">
        <v>67</v>
      </c>
      <c r="S1343" s="4">
        <v>1</v>
      </c>
      <c r="T1343" s="4">
        <v>1</v>
      </c>
      <c r="U1343" s="5" t="s">
        <v>2866</v>
      </c>
      <c r="V1343" s="5" t="s">
        <v>2866</v>
      </c>
      <c r="W1343" s="5" t="s">
        <v>2866</v>
      </c>
      <c r="X1343" s="5" t="s">
        <v>2866</v>
      </c>
      <c r="Y1343" s="4">
        <v>190</v>
      </c>
      <c r="Z1343" s="4">
        <v>142</v>
      </c>
      <c r="AA1343" s="4">
        <v>165</v>
      </c>
      <c r="AB1343" s="4">
        <v>4</v>
      </c>
      <c r="AC1343" s="4">
        <v>4</v>
      </c>
      <c r="AD1343" s="4">
        <v>10</v>
      </c>
      <c r="AE1343" s="4">
        <v>10</v>
      </c>
      <c r="AF1343" s="4">
        <v>2</v>
      </c>
      <c r="AG1343" s="4">
        <v>2</v>
      </c>
      <c r="AH1343" s="4">
        <v>2</v>
      </c>
      <c r="AI1343" s="4">
        <v>2</v>
      </c>
      <c r="AJ1343" s="4">
        <v>4</v>
      </c>
      <c r="AK1343" s="4">
        <v>4</v>
      </c>
      <c r="AL1343" s="4">
        <v>3</v>
      </c>
      <c r="AM1343" s="4">
        <v>3</v>
      </c>
      <c r="AN1343" s="4">
        <v>0</v>
      </c>
      <c r="AO1343" s="4">
        <v>0</v>
      </c>
      <c r="AP1343" s="3" t="s">
        <v>58</v>
      </c>
      <c r="AQ1343" s="3" t="s">
        <v>58</v>
      </c>
      <c r="AS1343" s="6" t="str">
        <f>HYPERLINK("https://creighton-primo.hosted.exlibrisgroup.com/primo-explore/search?tab=default_tab&amp;search_scope=EVERYTHING&amp;vid=01CRU&amp;lang=en_US&amp;offset=0&amp;query=any,contains,991004924309702656","Catalog Record")</f>
        <v>Catalog Record</v>
      </c>
      <c r="AT1343" s="6" t="str">
        <f>HYPERLINK("http://www.worldcat.org/oclc/61351646","WorldCat Record")</f>
        <v>WorldCat Record</v>
      </c>
      <c r="AU1343" s="3" t="s">
        <v>17391</v>
      </c>
      <c r="AV1343" s="3" t="s">
        <v>17392</v>
      </c>
      <c r="AW1343" s="3" t="s">
        <v>17393</v>
      </c>
      <c r="AX1343" s="3" t="s">
        <v>17393</v>
      </c>
      <c r="AY1343" s="3" t="s">
        <v>17394</v>
      </c>
      <c r="AZ1343" s="3" t="s">
        <v>74</v>
      </c>
      <c r="BB1343" s="3" t="s">
        <v>17395</v>
      </c>
      <c r="BC1343" s="3" t="s">
        <v>17396</v>
      </c>
      <c r="BD1343" s="3" t="s">
        <v>17397</v>
      </c>
    </row>
    <row r="1344" spans="1:56" ht="45.75" customHeight="1" x14ac:dyDescent="0.25">
      <c r="A1344" s="7" t="s">
        <v>58</v>
      </c>
      <c r="B1344" s="2" t="s">
        <v>17398</v>
      </c>
      <c r="C1344" s="2" t="s">
        <v>17399</v>
      </c>
      <c r="D1344" s="2" t="s">
        <v>17400</v>
      </c>
      <c r="F1344" s="3" t="s">
        <v>58</v>
      </c>
      <c r="G1344" s="3" t="s">
        <v>59</v>
      </c>
      <c r="H1344" s="3" t="s">
        <v>58</v>
      </c>
      <c r="I1344" s="3" t="s">
        <v>58</v>
      </c>
      <c r="J1344" s="3" t="s">
        <v>60</v>
      </c>
      <c r="K1344" s="2" t="s">
        <v>17401</v>
      </c>
      <c r="L1344" s="2" t="s">
        <v>17402</v>
      </c>
      <c r="M1344" s="3" t="s">
        <v>1485</v>
      </c>
      <c r="O1344" s="3" t="s">
        <v>65</v>
      </c>
      <c r="P1344" s="3" t="s">
        <v>84</v>
      </c>
      <c r="R1344" s="3" t="s">
        <v>67</v>
      </c>
      <c r="S1344" s="4">
        <v>2</v>
      </c>
      <c r="T1344" s="4">
        <v>2</v>
      </c>
      <c r="U1344" s="5" t="s">
        <v>2389</v>
      </c>
      <c r="V1344" s="5" t="s">
        <v>2389</v>
      </c>
      <c r="W1344" s="5" t="s">
        <v>12995</v>
      </c>
      <c r="X1344" s="5" t="s">
        <v>12995</v>
      </c>
      <c r="Y1344" s="4">
        <v>304</v>
      </c>
      <c r="Z1344" s="4">
        <v>258</v>
      </c>
      <c r="AA1344" s="4">
        <v>260</v>
      </c>
      <c r="AB1344" s="4">
        <v>5</v>
      </c>
      <c r="AC1344" s="4">
        <v>5</v>
      </c>
      <c r="AD1344" s="4">
        <v>10</v>
      </c>
      <c r="AE1344" s="4">
        <v>10</v>
      </c>
      <c r="AF1344" s="4">
        <v>1</v>
      </c>
      <c r="AG1344" s="4">
        <v>1</v>
      </c>
      <c r="AH1344" s="4">
        <v>2</v>
      </c>
      <c r="AI1344" s="4">
        <v>2</v>
      </c>
      <c r="AJ1344" s="4">
        <v>4</v>
      </c>
      <c r="AK1344" s="4">
        <v>4</v>
      </c>
      <c r="AL1344" s="4">
        <v>4</v>
      </c>
      <c r="AM1344" s="4">
        <v>4</v>
      </c>
      <c r="AN1344" s="4">
        <v>0</v>
      </c>
      <c r="AO1344" s="4">
        <v>0</v>
      </c>
      <c r="AP1344" s="3" t="s">
        <v>58</v>
      </c>
      <c r="AQ1344" s="3" t="s">
        <v>87</v>
      </c>
      <c r="AR1344" s="6" t="str">
        <f>HYPERLINK("http://catalog.hathitrust.org/Record/000720457","HathiTrust Record")</f>
        <v>HathiTrust Record</v>
      </c>
      <c r="AS1344" s="6" t="str">
        <f>HYPERLINK("https://creighton-primo.hosted.exlibrisgroup.com/primo-explore/search?tab=default_tab&amp;search_scope=EVERYTHING&amp;vid=01CRU&amp;lang=en_US&amp;offset=0&amp;query=any,contains,991004062729702656","Catalog Record")</f>
        <v>Catalog Record</v>
      </c>
      <c r="AT1344" s="6" t="str">
        <f>HYPERLINK("http://www.worldcat.org/oclc/2276547","WorldCat Record")</f>
        <v>WorldCat Record</v>
      </c>
      <c r="AU1344" s="3" t="s">
        <v>17403</v>
      </c>
      <c r="AV1344" s="3" t="s">
        <v>17404</v>
      </c>
      <c r="AW1344" s="3" t="s">
        <v>17405</v>
      </c>
      <c r="AX1344" s="3" t="s">
        <v>17405</v>
      </c>
      <c r="AY1344" s="3" t="s">
        <v>17406</v>
      </c>
      <c r="AZ1344" s="3" t="s">
        <v>74</v>
      </c>
      <c r="BB1344" s="3" t="s">
        <v>17407</v>
      </c>
      <c r="BC1344" s="3" t="s">
        <v>17408</v>
      </c>
      <c r="BD1344" s="3" t="s">
        <v>17409</v>
      </c>
    </row>
    <row r="1345" spans="1:56" ht="45.75" customHeight="1" x14ac:dyDescent="0.25">
      <c r="A1345" s="7" t="s">
        <v>58</v>
      </c>
      <c r="B1345" s="2" t="s">
        <v>17410</v>
      </c>
      <c r="C1345" s="2" t="s">
        <v>17411</v>
      </c>
      <c r="D1345" s="2" t="s">
        <v>17412</v>
      </c>
      <c r="F1345" s="3" t="s">
        <v>58</v>
      </c>
      <c r="G1345" s="3" t="s">
        <v>59</v>
      </c>
      <c r="H1345" s="3" t="s">
        <v>58</v>
      </c>
      <c r="I1345" s="3" t="s">
        <v>58</v>
      </c>
      <c r="J1345" s="3" t="s">
        <v>60</v>
      </c>
      <c r="K1345" s="2" t="s">
        <v>17413</v>
      </c>
      <c r="L1345" s="2" t="s">
        <v>17414</v>
      </c>
      <c r="M1345" s="3" t="s">
        <v>528</v>
      </c>
      <c r="O1345" s="3" t="s">
        <v>65</v>
      </c>
      <c r="P1345" s="3" t="s">
        <v>84</v>
      </c>
      <c r="R1345" s="3" t="s">
        <v>67</v>
      </c>
      <c r="S1345" s="4">
        <v>3</v>
      </c>
      <c r="T1345" s="4">
        <v>3</v>
      </c>
      <c r="U1345" s="5" t="s">
        <v>17415</v>
      </c>
      <c r="V1345" s="5" t="s">
        <v>17415</v>
      </c>
      <c r="W1345" s="5" t="s">
        <v>17416</v>
      </c>
      <c r="X1345" s="5" t="s">
        <v>17416</v>
      </c>
      <c r="Y1345" s="4">
        <v>583</v>
      </c>
      <c r="Z1345" s="4">
        <v>531</v>
      </c>
      <c r="AA1345" s="4">
        <v>538</v>
      </c>
      <c r="AB1345" s="4">
        <v>3</v>
      </c>
      <c r="AC1345" s="4">
        <v>3</v>
      </c>
      <c r="AD1345" s="4">
        <v>22</v>
      </c>
      <c r="AE1345" s="4">
        <v>22</v>
      </c>
      <c r="AF1345" s="4">
        <v>5</v>
      </c>
      <c r="AG1345" s="4">
        <v>5</v>
      </c>
      <c r="AH1345" s="4">
        <v>6</v>
      </c>
      <c r="AI1345" s="4">
        <v>6</v>
      </c>
      <c r="AJ1345" s="4">
        <v>14</v>
      </c>
      <c r="AK1345" s="4">
        <v>14</v>
      </c>
      <c r="AL1345" s="4">
        <v>2</v>
      </c>
      <c r="AM1345" s="4">
        <v>2</v>
      </c>
      <c r="AN1345" s="4">
        <v>0</v>
      </c>
      <c r="AO1345" s="4">
        <v>0</v>
      </c>
      <c r="AP1345" s="3" t="s">
        <v>58</v>
      </c>
      <c r="AQ1345" s="3" t="s">
        <v>87</v>
      </c>
      <c r="AR1345" s="6" t="str">
        <f>HYPERLINK("http://catalog.hathitrust.org/Record/001949403","HathiTrust Record")</f>
        <v>HathiTrust Record</v>
      </c>
      <c r="AS1345" s="6" t="str">
        <f>HYPERLINK("https://creighton-primo.hosted.exlibrisgroup.com/primo-explore/search?tab=default_tab&amp;search_scope=EVERYTHING&amp;vid=01CRU&amp;lang=en_US&amp;offset=0&amp;query=any,contains,991001597889702656","Catalog Record")</f>
        <v>Catalog Record</v>
      </c>
      <c r="AT1345" s="6" t="str">
        <f>HYPERLINK("http://www.worldcat.org/oclc/20631473","WorldCat Record")</f>
        <v>WorldCat Record</v>
      </c>
      <c r="AU1345" s="3" t="s">
        <v>17417</v>
      </c>
      <c r="AV1345" s="3" t="s">
        <v>17418</v>
      </c>
      <c r="AW1345" s="3" t="s">
        <v>17419</v>
      </c>
      <c r="AX1345" s="3" t="s">
        <v>17419</v>
      </c>
      <c r="AY1345" s="3" t="s">
        <v>17420</v>
      </c>
      <c r="AZ1345" s="3" t="s">
        <v>74</v>
      </c>
      <c r="BB1345" s="3" t="s">
        <v>17421</v>
      </c>
      <c r="BC1345" s="3" t="s">
        <v>17422</v>
      </c>
      <c r="BD1345" s="3" t="s">
        <v>17423</v>
      </c>
    </row>
    <row r="1346" spans="1:56" ht="45.75" customHeight="1" x14ac:dyDescent="0.25">
      <c r="A1346" s="7" t="s">
        <v>58</v>
      </c>
      <c r="B1346" s="2" t="s">
        <v>17424</v>
      </c>
      <c r="C1346" s="2" t="s">
        <v>17425</v>
      </c>
      <c r="D1346" s="2" t="s">
        <v>17426</v>
      </c>
      <c r="F1346" s="3" t="s">
        <v>58</v>
      </c>
      <c r="G1346" s="3" t="s">
        <v>59</v>
      </c>
      <c r="H1346" s="3" t="s">
        <v>58</v>
      </c>
      <c r="I1346" s="3" t="s">
        <v>58</v>
      </c>
      <c r="J1346" s="3" t="s">
        <v>60</v>
      </c>
      <c r="L1346" s="2" t="s">
        <v>17427</v>
      </c>
      <c r="M1346" s="3" t="s">
        <v>713</v>
      </c>
      <c r="O1346" s="3" t="s">
        <v>65</v>
      </c>
      <c r="P1346" s="3" t="s">
        <v>84</v>
      </c>
      <c r="Q1346" s="2" t="s">
        <v>17428</v>
      </c>
      <c r="R1346" s="3" t="s">
        <v>67</v>
      </c>
      <c r="S1346" s="4">
        <v>2</v>
      </c>
      <c r="T1346" s="4">
        <v>2</v>
      </c>
      <c r="U1346" s="5" t="s">
        <v>17429</v>
      </c>
      <c r="V1346" s="5" t="s">
        <v>17429</v>
      </c>
      <c r="W1346" s="5" t="s">
        <v>2573</v>
      </c>
      <c r="X1346" s="5" t="s">
        <v>2573</v>
      </c>
      <c r="Y1346" s="4">
        <v>286</v>
      </c>
      <c r="Z1346" s="4">
        <v>252</v>
      </c>
      <c r="AA1346" s="4">
        <v>262</v>
      </c>
      <c r="AB1346" s="4">
        <v>3</v>
      </c>
      <c r="AC1346" s="4">
        <v>3</v>
      </c>
      <c r="AD1346" s="4">
        <v>14</v>
      </c>
      <c r="AE1346" s="4">
        <v>14</v>
      </c>
      <c r="AF1346" s="4">
        <v>5</v>
      </c>
      <c r="AG1346" s="4">
        <v>5</v>
      </c>
      <c r="AH1346" s="4">
        <v>4</v>
      </c>
      <c r="AI1346" s="4">
        <v>4</v>
      </c>
      <c r="AJ1346" s="4">
        <v>8</v>
      </c>
      <c r="AK1346" s="4">
        <v>8</v>
      </c>
      <c r="AL1346" s="4">
        <v>2</v>
      </c>
      <c r="AM1346" s="4">
        <v>2</v>
      </c>
      <c r="AN1346" s="4">
        <v>0</v>
      </c>
      <c r="AO1346" s="4">
        <v>0</v>
      </c>
      <c r="AP1346" s="3" t="s">
        <v>58</v>
      </c>
      <c r="AQ1346" s="3" t="s">
        <v>87</v>
      </c>
      <c r="AR1346" s="6" t="str">
        <f>HYPERLINK("http://catalog.hathitrust.org/Record/000393653","HathiTrust Record")</f>
        <v>HathiTrust Record</v>
      </c>
      <c r="AS1346" s="6" t="str">
        <f>HYPERLINK("https://creighton-primo.hosted.exlibrisgroup.com/primo-explore/search?tab=default_tab&amp;search_scope=EVERYTHING&amp;vid=01CRU&amp;lang=en_US&amp;offset=0&amp;query=any,contains,991004984889702656","Catalog Record")</f>
        <v>Catalog Record</v>
      </c>
      <c r="AT1346" s="6" t="str">
        <f>HYPERLINK("http://www.worldcat.org/oclc/6447115","WorldCat Record")</f>
        <v>WorldCat Record</v>
      </c>
      <c r="AU1346" s="3" t="s">
        <v>17430</v>
      </c>
      <c r="AV1346" s="3" t="s">
        <v>17431</v>
      </c>
      <c r="AW1346" s="3" t="s">
        <v>17432</v>
      </c>
      <c r="AX1346" s="3" t="s">
        <v>17432</v>
      </c>
      <c r="AY1346" s="3" t="s">
        <v>17433</v>
      </c>
      <c r="AZ1346" s="3" t="s">
        <v>74</v>
      </c>
      <c r="BB1346" s="3" t="s">
        <v>17434</v>
      </c>
      <c r="BC1346" s="3" t="s">
        <v>17435</v>
      </c>
      <c r="BD1346" s="3" t="s">
        <v>17436</v>
      </c>
    </row>
    <row r="1347" spans="1:56" ht="45.75" customHeight="1" x14ac:dyDescent="0.25">
      <c r="A1347" s="7" t="s">
        <v>58</v>
      </c>
      <c r="B1347" s="2" t="s">
        <v>17437</v>
      </c>
      <c r="C1347" s="2" t="s">
        <v>17438</v>
      </c>
      <c r="D1347" s="2" t="s">
        <v>17439</v>
      </c>
      <c r="F1347" s="3" t="s">
        <v>58</v>
      </c>
      <c r="G1347" s="3" t="s">
        <v>59</v>
      </c>
      <c r="H1347" s="3" t="s">
        <v>58</v>
      </c>
      <c r="I1347" s="3" t="s">
        <v>58</v>
      </c>
      <c r="J1347" s="3" t="s">
        <v>60</v>
      </c>
      <c r="K1347" s="2" t="s">
        <v>17440</v>
      </c>
      <c r="L1347" s="2" t="s">
        <v>17441</v>
      </c>
      <c r="M1347" s="3" t="s">
        <v>116</v>
      </c>
      <c r="N1347" s="2" t="s">
        <v>543</v>
      </c>
      <c r="O1347" s="3" t="s">
        <v>65</v>
      </c>
      <c r="P1347" s="3" t="s">
        <v>84</v>
      </c>
      <c r="R1347" s="3" t="s">
        <v>67</v>
      </c>
      <c r="S1347" s="4">
        <v>2</v>
      </c>
      <c r="T1347" s="4">
        <v>2</v>
      </c>
      <c r="U1347" s="5" t="s">
        <v>17442</v>
      </c>
      <c r="V1347" s="5" t="s">
        <v>17442</v>
      </c>
      <c r="W1347" s="5" t="s">
        <v>17443</v>
      </c>
      <c r="X1347" s="5" t="s">
        <v>17443</v>
      </c>
      <c r="Y1347" s="4">
        <v>532</v>
      </c>
      <c r="Z1347" s="4">
        <v>498</v>
      </c>
      <c r="AA1347" s="4">
        <v>505</v>
      </c>
      <c r="AB1347" s="4">
        <v>4</v>
      </c>
      <c r="AC1347" s="4">
        <v>4</v>
      </c>
      <c r="AD1347" s="4">
        <v>19</v>
      </c>
      <c r="AE1347" s="4">
        <v>19</v>
      </c>
      <c r="AF1347" s="4">
        <v>5</v>
      </c>
      <c r="AG1347" s="4">
        <v>5</v>
      </c>
      <c r="AH1347" s="4">
        <v>6</v>
      </c>
      <c r="AI1347" s="4">
        <v>6</v>
      </c>
      <c r="AJ1347" s="4">
        <v>9</v>
      </c>
      <c r="AK1347" s="4">
        <v>9</v>
      </c>
      <c r="AL1347" s="4">
        <v>3</v>
      </c>
      <c r="AM1347" s="4">
        <v>3</v>
      </c>
      <c r="AN1347" s="4">
        <v>1</v>
      </c>
      <c r="AO1347" s="4">
        <v>1</v>
      </c>
      <c r="AP1347" s="3" t="s">
        <v>58</v>
      </c>
      <c r="AQ1347" s="3" t="s">
        <v>87</v>
      </c>
      <c r="AR1347" s="6" t="str">
        <f>HYPERLINK("http://catalog.hathitrust.org/Record/003977837","HathiTrust Record")</f>
        <v>HathiTrust Record</v>
      </c>
      <c r="AS1347" s="6" t="str">
        <f>HYPERLINK("https://creighton-primo.hosted.exlibrisgroup.com/primo-explore/search?tab=default_tab&amp;search_scope=EVERYTHING&amp;vid=01CRU&amp;lang=en_US&amp;offset=0&amp;query=any,contains,991002903839702656","Catalog Record")</f>
        <v>Catalog Record</v>
      </c>
      <c r="AT1347" s="6" t="str">
        <f>HYPERLINK("http://www.worldcat.org/oclc/38295157","WorldCat Record")</f>
        <v>WorldCat Record</v>
      </c>
      <c r="AU1347" s="3" t="s">
        <v>17444</v>
      </c>
      <c r="AV1347" s="3" t="s">
        <v>17445</v>
      </c>
      <c r="AW1347" s="3" t="s">
        <v>17446</v>
      </c>
      <c r="AX1347" s="3" t="s">
        <v>17446</v>
      </c>
      <c r="AY1347" s="3" t="s">
        <v>17447</v>
      </c>
      <c r="AZ1347" s="3" t="s">
        <v>74</v>
      </c>
      <c r="BB1347" s="3" t="s">
        <v>17448</v>
      </c>
      <c r="BC1347" s="3" t="s">
        <v>17449</v>
      </c>
      <c r="BD1347" s="3" t="s">
        <v>17450</v>
      </c>
    </row>
    <row r="1348" spans="1:56" ht="45.75" customHeight="1" x14ac:dyDescent="0.25">
      <c r="A1348" s="7" t="s">
        <v>58</v>
      </c>
      <c r="B1348" s="2" t="s">
        <v>17451</v>
      </c>
      <c r="C1348" s="2" t="s">
        <v>17452</v>
      </c>
      <c r="D1348" s="2" t="s">
        <v>17453</v>
      </c>
      <c r="F1348" s="3" t="s">
        <v>58</v>
      </c>
      <c r="G1348" s="3" t="s">
        <v>59</v>
      </c>
      <c r="H1348" s="3" t="s">
        <v>58</v>
      </c>
      <c r="I1348" s="3" t="s">
        <v>58</v>
      </c>
      <c r="J1348" s="3" t="s">
        <v>60</v>
      </c>
      <c r="K1348" s="2" t="s">
        <v>17454</v>
      </c>
      <c r="L1348" s="2" t="s">
        <v>2945</v>
      </c>
      <c r="M1348" s="3" t="s">
        <v>63</v>
      </c>
      <c r="N1348" s="2" t="s">
        <v>17455</v>
      </c>
      <c r="O1348" s="3" t="s">
        <v>65</v>
      </c>
      <c r="P1348" s="3" t="s">
        <v>148</v>
      </c>
      <c r="R1348" s="3" t="s">
        <v>67</v>
      </c>
      <c r="S1348" s="4">
        <v>1</v>
      </c>
      <c r="T1348" s="4">
        <v>1</v>
      </c>
      <c r="U1348" s="5" t="s">
        <v>17456</v>
      </c>
      <c r="V1348" s="5" t="s">
        <v>17456</v>
      </c>
      <c r="W1348" s="5" t="s">
        <v>17457</v>
      </c>
      <c r="X1348" s="5" t="s">
        <v>17457</v>
      </c>
      <c r="Y1348" s="4">
        <v>98</v>
      </c>
      <c r="Z1348" s="4">
        <v>88</v>
      </c>
      <c r="AA1348" s="4">
        <v>422</v>
      </c>
      <c r="AB1348" s="4">
        <v>1</v>
      </c>
      <c r="AC1348" s="4">
        <v>2</v>
      </c>
      <c r="AD1348" s="4">
        <v>2</v>
      </c>
      <c r="AE1348" s="4">
        <v>10</v>
      </c>
      <c r="AF1348" s="4">
        <v>0</v>
      </c>
      <c r="AG1348" s="4">
        <v>2</v>
      </c>
      <c r="AH1348" s="4">
        <v>1</v>
      </c>
      <c r="AI1348" s="4">
        <v>2</v>
      </c>
      <c r="AJ1348" s="4">
        <v>2</v>
      </c>
      <c r="AK1348" s="4">
        <v>7</v>
      </c>
      <c r="AL1348" s="4">
        <v>0</v>
      </c>
      <c r="AM1348" s="4">
        <v>1</v>
      </c>
      <c r="AN1348" s="4">
        <v>0</v>
      </c>
      <c r="AO1348" s="4">
        <v>0</v>
      </c>
      <c r="AP1348" s="3" t="s">
        <v>58</v>
      </c>
      <c r="AQ1348" s="3" t="s">
        <v>87</v>
      </c>
      <c r="AR1348" s="6" t="str">
        <f>HYPERLINK("http://catalog.hathitrust.org/Record/004945255","HathiTrust Record")</f>
        <v>HathiTrust Record</v>
      </c>
      <c r="AS1348" s="6" t="str">
        <f>HYPERLINK("https://creighton-primo.hosted.exlibrisgroup.com/primo-explore/search?tab=default_tab&amp;search_scope=EVERYTHING&amp;vid=01CRU&amp;lang=en_US&amp;offset=0&amp;query=any,contains,991004424259702656","Catalog Record")</f>
        <v>Catalog Record</v>
      </c>
      <c r="AT1348" s="6" t="str">
        <f>HYPERLINK("http://www.worldcat.org/oclc/56198580","WorldCat Record")</f>
        <v>WorldCat Record</v>
      </c>
      <c r="AU1348" s="3" t="s">
        <v>17458</v>
      </c>
      <c r="AV1348" s="3" t="s">
        <v>17459</v>
      </c>
      <c r="AW1348" s="3" t="s">
        <v>17460</v>
      </c>
      <c r="AX1348" s="3" t="s">
        <v>17460</v>
      </c>
      <c r="AY1348" s="3" t="s">
        <v>17461</v>
      </c>
      <c r="AZ1348" s="3" t="s">
        <v>74</v>
      </c>
      <c r="BB1348" s="3" t="s">
        <v>17462</v>
      </c>
      <c r="BC1348" s="3" t="s">
        <v>17463</v>
      </c>
      <c r="BD1348" s="3" t="s">
        <v>17464</v>
      </c>
    </row>
    <row r="1349" spans="1:56" ht="45.75" customHeight="1" x14ac:dyDescent="0.25">
      <c r="A1349" s="7" t="s">
        <v>58</v>
      </c>
      <c r="B1349" s="2" t="s">
        <v>17465</v>
      </c>
      <c r="C1349" s="2" t="s">
        <v>17466</v>
      </c>
      <c r="D1349" s="2" t="s">
        <v>17467</v>
      </c>
      <c r="F1349" s="3" t="s">
        <v>58</v>
      </c>
      <c r="G1349" s="3" t="s">
        <v>59</v>
      </c>
      <c r="H1349" s="3" t="s">
        <v>58</v>
      </c>
      <c r="I1349" s="3" t="s">
        <v>58</v>
      </c>
      <c r="J1349" s="3" t="s">
        <v>60</v>
      </c>
      <c r="L1349" s="2" t="s">
        <v>320</v>
      </c>
      <c r="M1349" s="3" t="s">
        <v>220</v>
      </c>
      <c r="O1349" s="3" t="s">
        <v>65</v>
      </c>
      <c r="P1349" s="3" t="s">
        <v>66</v>
      </c>
      <c r="R1349" s="3" t="s">
        <v>67</v>
      </c>
      <c r="S1349" s="4">
        <v>1</v>
      </c>
      <c r="T1349" s="4">
        <v>1</v>
      </c>
      <c r="U1349" s="5" t="s">
        <v>17468</v>
      </c>
      <c r="V1349" s="5" t="s">
        <v>17468</v>
      </c>
      <c r="W1349" s="5" t="s">
        <v>17468</v>
      </c>
      <c r="X1349" s="5" t="s">
        <v>17468</v>
      </c>
      <c r="Y1349" s="4">
        <v>390</v>
      </c>
      <c r="Z1349" s="4">
        <v>349</v>
      </c>
      <c r="AA1349" s="4">
        <v>356</v>
      </c>
      <c r="AB1349" s="4">
        <v>5</v>
      </c>
      <c r="AC1349" s="4">
        <v>5</v>
      </c>
      <c r="AD1349" s="4">
        <v>14</v>
      </c>
      <c r="AE1349" s="4">
        <v>14</v>
      </c>
      <c r="AF1349" s="4">
        <v>4</v>
      </c>
      <c r="AG1349" s="4">
        <v>4</v>
      </c>
      <c r="AH1349" s="4">
        <v>2</v>
      </c>
      <c r="AI1349" s="4">
        <v>2</v>
      </c>
      <c r="AJ1349" s="4">
        <v>6</v>
      </c>
      <c r="AK1349" s="4">
        <v>6</v>
      </c>
      <c r="AL1349" s="4">
        <v>4</v>
      </c>
      <c r="AM1349" s="4">
        <v>4</v>
      </c>
      <c r="AN1349" s="4">
        <v>0</v>
      </c>
      <c r="AO1349" s="4">
        <v>0</v>
      </c>
      <c r="AP1349" s="3" t="s">
        <v>58</v>
      </c>
      <c r="AQ1349" s="3" t="s">
        <v>87</v>
      </c>
      <c r="AR1349" s="6" t="str">
        <f>HYPERLINK("http://catalog.hathitrust.org/Record/003350375","HathiTrust Record")</f>
        <v>HathiTrust Record</v>
      </c>
      <c r="AS1349" s="6" t="str">
        <f>HYPERLINK("https://creighton-primo.hosted.exlibrisgroup.com/primo-explore/search?tab=default_tab&amp;search_scope=EVERYTHING&amp;vid=01CRU&amp;lang=en_US&amp;offset=0&amp;query=any,contains,991004007649702656","Catalog Record")</f>
        <v>Catalog Record</v>
      </c>
      <c r="AT1349" s="6" t="str">
        <f>HYPERLINK("http://www.worldcat.org/oclc/41412041","WorldCat Record")</f>
        <v>WorldCat Record</v>
      </c>
      <c r="AU1349" s="3" t="s">
        <v>17469</v>
      </c>
      <c r="AV1349" s="3" t="s">
        <v>17470</v>
      </c>
      <c r="AW1349" s="3" t="s">
        <v>17471</v>
      </c>
      <c r="AX1349" s="3" t="s">
        <v>17471</v>
      </c>
      <c r="AY1349" s="3" t="s">
        <v>17472</v>
      </c>
      <c r="AZ1349" s="3" t="s">
        <v>74</v>
      </c>
      <c r="BB1349" s="3" t="s">
        <v>17473</v>
      </c>
      <c r="BC1349" s="3" t="s">
        <v>17474</v>
      </c>
      <c r="BD1349" s="3" t="s">
        <v>17475</v>
      </c>
    </row>
    <row r="1350" spans="1:56" ht="45.75" customHeight="1" x14ac:dyDescent="0.25">
      <c r="A1350" s="7" t="s">
        <v>58</v>
      </c>
      <c r="B1350" s="2" t="s">
        <v>17476</v>
      </c>
      <c r="C1350" s="2" t="s">
        <v>17477</v>
      </c>
      <c r="D1350" s="2" t="s">
        <v>17478</v>
      </c>
      <c r="F1350" s="3" t="s">
        <v>58</v>
      </c>
      <c r="G1350" s="3" t="s">
        <v>59</v>
      </c>
      <c r="H1350" s="3" t="s">
        <v>58</v>
      </c>
      <c r="I1350" s="3" t="s">
        <v>58</v>
      </c>
      <c r="J1350" s="3" t="s">
        <v>60</v>
      </c>
      <c r="K1350" s="2" t="s">
        <v>17479</v>
      </c>
      <c r="L1350" s="2" t="s">
        <v>17480</v>
      </c>
      <c r="M1350" s="3" t="s">
        <v>629</v>
      </c>
      <c r="O1350" s="3" t="s">
        <v>65</v>
      </c>
      <c r="P1350" s="3" t="s">
        <v>84</v>
      </c>
      <c r="R1350" s="3" t="s">
        <v>67</v>
      </c>
      <c r="S1350" s="4">
        <v>16</v>
      </c>
      <c r="T1350" s="4">
        <v>16</v>
      </c>
      <c r="U1350" s="5" t="s">
        <v>17481</v>
      </c>
      <c r="V1350" s="5" t="s">
        <v>17481</v>
      </c>
      <c r="W1350" s="5" t="s">
        <v>17482</v>
      </c>
      <c r="X1350" s="5" t="s">
        <v>17482</v>
      </c>
      <c r="Y1350" s="4">
        <v>1248</v>
      </c>
      <c r="Z1350" s="4">
        <v>1147</v>
      </c>
      <c r="AA1350" s="4">
        <v>1274</v>
      </c>
      <c r="AB1350" s="4">
        <v>9</v>
      </c>
      <c r="AC1350" s="4">
        <v>9</v>
      </c>
      <c r="AD1350" s="4">
        <v>44</v>
      </c>
      <c r="AE1350" s="4">
        <v>48</v>
      </c>
      <c r="AF1350" s="4">
        <v>15</v>
      </c>
      <c r="AG1350" s="4">
        <v>19</v>
      </c>
      <c r="AH1350" s="4">
        <v>9</v>
      </c>
      <c r="AI1350" s="4">
        <v>10</v>
      </c>
      <c r="AJ1350" s="4">
        <v>17</v>
      </c>
      <c r="AK1350" s="4">
        <v>18</v>
      </c>
      <c r="AL1350" s="4">
        <v>7</v>
      </c>
      <c r="AM1350" s="4">
        <v>7</v>
      </c>
      <c r="AN1350" s="4">
        <v>3</v>
      </c>
      <c r="AO1350" s="4">
        <v>3</v>
      </c>
      <c r="AP1350" s="3" t="s">
        <v>58</v>
      </c>
      <c r="AQ1350" s="3" t="s">
        <v>58</v>
      </c>
      <c r="AS1350" s="6" t="str">
        <f>HYPERLINK("https://creighton-primo.hosted.exlibrisgroup.com/primo-explore/search?tab=default_tab&amp;search_scope=EVERYTHING&amp;vid=01CRU&amp;lang=en_US&amp;offset=0&amp;query=any,contains,991002195189702656","Catalog Record")</f>
        <v>Catalog Record</v>
      </c>
      <c r="AT1350" s="6" t="str">
        <f>HYPERLINK("http://www.worldcat.org/oclc/28221561","WorldCat Record")</f>
        <v>WorldCat Record</v>
      </c>
      <c r="AU1350" s="3" t="s">
        <v>17483</v>
      </c>
      <c r="AV1350" s="3" t="s">
        <v>17484</v>
      </c>
      <c r="AW1350" s="3" t="s">
        <v>17485</v>
      </c>
      <c r="AX1350" s="3" t="s">
        <v>17485</v>
      </c>
      <c r="AY1350" s="3" t="s">
        <v>17486</v>
      </c>
      <c r="AZ1350" s="3" t="s">
        <v>74</v>
      </c>
      <c r="BB1350" s="3" t="s">
        <v>17487</v>
      </c>
      <c r="BC1350" s="3" t="s">
        <v>17488</v>
      </c>
      <c r="BD1350" s="3" t="s">
        <v>17489</v>
      </c>
    </row>
    <row r="1351" spans="1:56" ht="45.75" customHeight="1" x14ac:dyDescent="0.25">
      <c r="A1351" s="7" t="s">
        <v>58</v>
      </c>
      <c r="B1351" s="2" t="s">
        <v>17490</v>
      </c>
      <c r="C1351" s="2" t="s">
        <v>17491</v>
      </c>
      <c r="D1351" s="2" t="s">
        <v>17492</v>
      </c>
      <c r="F1351" s="3" t="s">
        <v>58</v>
      </c>
      <c r="G1351" s="3" t="s">
        <v>59</v>
      </c>
      <c r="H1351" s="3" t="s">
        <v>58</v>
      </c>
      <c r="I1351" s="3" t="s">
        <v>58</v>
      </c>
      <c r="J1351" s="3" t="s">
        <v>60</v>
      </c>
      <c r="K1351" s="2" t="s">
        <v>17479</v>
      </c>
      <c r="L1351" s="2" t="s">
        <v>785</v>
      </c>
      <c r="M1351" s="3" t="s">
        <v>147</v>
      </c>
      <c r="O1351" s="3" t="s">
        <v>65</v>
      </c>
      <c r="P1351" s="3" t="s">
        <v>175</v>
      </c>
      <c r="R1351" s="3" t="s">
        <v>67</v>
      </c>
      <c r="S1351" s="4">
        <v>8</v>
      </c>
      <c r="T1351" s="4">
        <v>8</v>
      </c>
      <c r="U1351" s="5" t="s">
        <v>10948</v>
      </c>
      <c r="V1351" s="5" t="s">
        <v>10948</v>
      </c>
      <c r="W1351" s="5" t="s">
        <v>17493</v>
      </c>
      <c r="X1351" s="5" t="s">
        <v>17493</v>
      </c>
      <c r="Y1351" s="4">
        <v>912</v>
      </c>
      <c r="Z1351" s="4">
        <v>863</v>
      </c>
      <c r="AA1351" s="4">
        <v>1682</v>
      </c>
      <c r="AB1351" s="4">
        <v>8</v>
      </c>
      <c r="AC1351" s="4">
        <v>35</v>
      </c>
      <c r="AD1351" s="4">
        <v>34</v>
      </c>
      <c r="AE1351" s="4">
        <v>62</v>
      </c>
      <c r="AF1351" s="4">
        <v>12</v>
      </c>
      <c r="AG1351" s="4">
        <v>21</v>
      </c>
      <c r="AH1351" s="4">
        <v>6</v>
      </c>
      <c r="AI1351" s="4">
        <v>11</v>
      </c>
      <c r="AJ1351" s="4">
        <v>16</v>
      </c>
      <c r="AK1351" s="4">
        <v>22</v>
      </c>
      <c r="AL1351" s="4">
        <v>6</v>
      </c>
      <c r="AM1351" s="4">
        <v>16</v>
      </c>
      <c r="AN1351" s="4">
        <v>1</v>
      </c>
      <c r="AO1351" s="4">
        <v>3</v>
      </c>
      <c r="AP1351" s="3" t="s">
        <v>58</v>
      </c>
      <c r="AQ1351" s="3" t="s">
        <v>58</v>
      </c>
      <c r="AS1351" s="6" t="str">
        <f>HYPERLINK("https://creighton-primo.hosted.exlibrisgroup.com/primo-explore/search?tab=default_tab&amp;search_scope=EVERYTHING&amp;vid=01CRU&amp;lang=en_US&amp;offset=0&amp;query=any,contains,991004304519702656","Catalog Record")</f>
        <v>Catalog Record</v>
      </c>
      <c r="AT1351" s="6" t="str">
        <f>HYPERLINK("http://www.worldcat.org/oclc/52334871","WorldCat Record")</f>
        <v>WorldCat Record</v>
      </c>
      <c r="AU1351" s="3" t="s">
        <v>17494</v>
      </c>
      <c r="AV1351" s="3" t="s">
        <v>17495</v>
      </c>
      <c r="AW1351" s="3" t="s">
        <v>17496</v>
      </c>
      <c r="AX1351" s="3" t="s">
        <v>17496</v>
      </c>
      <c r="AY1351" s="3" t="s">
        <v>17497</v>
      </c>
      <c r="AZ1351" s="3" t="s">
        <v>74</v>
      </c>
      <c r="BB1351" s="3" t="s">
        <v>17498</v>
      </c>
      <c r="BC1351" s="3" t="s">
        <v>17499</v>
      </c>
      <c r="BD1351" s="3" t="s">
        <v>17500</v>
      </c>
    </row>
    <row r="1352" spans="1:56" ht="45.75" customHeight="1" x14ac:dyDescent="0.25">
      <c r="A1352" s="7" t="s">
        <v>58</v>
      </c>
      <c r="B1352" s="2" t="s">
        <v>17501</v>
      </c>
      <c r="C1352" s="2" t="s">
        <v>17502</v>
      </c>
      <c r="D1352" s="2" t="s">
        <v>17503</v>
      </c>
      <c r="F1352" s="3" t="s">
        <v>58</v>
      </c>
      <c r="G1352" s="3" t="s">
        <v>59</v>
      </c>
      <c r="H1352" s="3" t="s">
        <v>58</v>
      </c>
      <c r="I1352" s="3" t="s">
        <v>58</v>
      </c>
      <c r="J1352" s="3" t="s">
        <v>60</v>
      </c>
      <c r="K1352" s="2" t="s">
        <v>17504</v>
      </c>
      <c r="L1352" s="2" t="s">
        <v>17505</v>
      </c>
      <c r="M1352" s="3" t="s">
        <v>3358</v>
      </c>
      <c r="O1352" s="3" t="s">
        <v>65</v>
      </c>
      <c r="P1352" s="3" t="s">
        <v>204</v>
      </c>
      <c r="R1352" s="3" t="s">
        <v>67</v>
      </c>
      <c r="S1352" s="4">
        <v>5</v>
      </c>
      <c r="T1352" s="4">
        <v>5</v>
      </c>
      <c r="U1352" s="5" t="s">
        <v>17481</v>
      </c>
      <c r="V1352" s="5" t="s">
        <v>17481</v>
      </c>
      <c r="W1352" s="5" t="s">
        <v>2934</v>
      </c>
      <c r="X1352" s="5" t="s">
        <v>2934</v>
      </c>
      <c r="Y1352" s="4">
        <v>750</v>
      </c>
      <c r="Z1352" s="4">
        <v>623</v>
      </c>
      <c r="AA1352" s="4">
        <v>654</v>
      </c>
      <c r="AB1352" s="4">
        <v>8</v>
      </c>
      <c r="AC1352" s="4">
        <v>8</v>
      </c>
      <c r="AD1352" s="4">
        <v>32</v>
      </c>
      <c r="AE1352" s="4">
        <v>33</v>
      </c>
      <c r="AF1352" s="4">
        <v>11</v>
      </c>
      <c r="AG1352" s="4">
        <v>11</v>
      </c>
      <c r="AH1352" s="4">
        <v>5</v>
      </c>
      <c r="AI1352" s="4">
        <v>6</v>
      </c>
      <c r="AJ1352" s="4">
        <v>16</v>
      </c>
      <c r="AK1352" s="4">
        <v>16</v>
      </c>
      <c r="AL1352" s="4">
        <v>5</v>
      </c>
      <c r="AM1352" s="4">
        <v>5</v>
      </c>
      <c r="AN1352" s="4">
        <v>2</v>
      </c>
      <c r="AO1352" s="4">
        <v>2</v>
      </c>
      <c r="AP1352" s="3" t="s">
        <v>58</v>
      </c>
      <c r="AQ1352" s="3" t="s">
        <v>87</v>
      </c>
      <c r="AR1352" s="6" t="str">
        <f>HYPERLINK("http://catalog.hathitrust.org/Record/001131821","HathiTrust Record")</f>
        <v>HathiTrust Record</v>
      </c>
      <c r="AS1352" s="6" t="str">
        <f>HYPERLINK("https://creighton-primo.hosted.exlibrisgroup.com/primo-explore/search?tab=default_tab&amp;search_scope=EVERYTHING&amp;vid=01CRU&amp;lang=en_US&amp;offset=0&amp;query=any,contains,991002107609702656","Catalog Record")</f>
        <v>Catalog Record</v>
      </c>
      <c r="AT1352" s="6" t="str">
        <f>HYPERLINK("http://www.worldcat.org/oclc/266713","WorldCat Record")</f>
        <v>WorldCat Record</v>
      </c>
      <c r="AU1352" s="3" t="s">
        <v>17506</v>
      </c>
      <c r="AV1352" s="3" t="s">
        <v>17507</v>
      </c>
      <c r="AW1352" s="3" t="s">
        <v>17508</v>
      </c>
      <c r="AX1352" s="3" t="s">
        <v>17508</v>
      </c>
      <c r="AY1352" s="3" t="s">
        <v>17509</v>
      </c>
      <c r="AZ1352" s="3" t="s">
        <v>74</v>
      </c>
      <c r="BB1352" s="3" t="s">
        <v>17510</v>
      </c>
      <c r="BC1352" s="3" t="s">
        <v>17511</v>
      </c>
      <c r="BD1352" s="3" t="s">
        <v>17512</v>
      </c>
    </row>
    <row r="1353" spans="1:56" ht="45.75" customHeight="1" x14ac:dyDescent="0.25">
      <c r="A1353" s="7" t="s">
        <v>58</v>
      </c>
      <c r="B1353" s="2" t="s">
        <v>17513</v>
      </c>
      <c r="C1353" s="2" t="s">
        <v>17514</v>
      </c>
      <c r="D1353" s="2" t="s">
        <v>17515</v>
      </c>
      <c r="F1353" s="3" t="s">
        <v>58</v>
      </c>
      <c r="G1353" s="3" t="s">
        <v>59</v>
      </c>
      <c r="H1353" s="3" t="s">
        <v>87</v>
      </c>
      <c r="I1353" s="3" t="s">
        <v>58</v>
      </c>
      <c r="J1353" s="3" t="s">
        <v>60</v>
      </c>
      <c r="K1353" s="2" t="s">
        <v>17516</v>
      </c>
      <c r="L1353" s="2" t="s">
        <v>17517</v>
      </c>
      <c r="M1353" s="3" t="s">
        <v>1500</v>
      </c>
      <c r="N1353" s="2" t="s">
        <v>543</v>
      </c>
      <c r="O1353" s="3" t="s">
        <v>65</v>
      </c>
      <c r="P1353" s="3" t="s">
        <v>148</v>
      </c>
      <c r="R1353" s="3" t="s">
        <v>67</v>
      </c>
      <c r="S1353" s="4">
        <v>9</v>
      </c>
      <c r="T1353" s="4">
        <v>9</v>
      </c>
      <c r="U1353" s="5" t="s">
        <v>17518</v>
      </c>
      <c r="V1353" s="5" t="s">
        <v>17518</v>
      </c>
      <c r="W1353" s="5" t="s">
        <v>2573</v>
      </c>
      <c r="X1353" s="5" t="s">
        <v>15649</v>
      </c>
      <c r="Y1353" s="4">
        <v>1124</v>
      </c>
      <c r="Z1353" s="4">
        <v>1011</v>
      </c>
      <c r="AA1353" s="4">
        <v>1455</v>
      </c>
      <c r="AB1353" s="4">
        <v>7</v>
      </c>
      <c r="AC1353" s="4">
        <v>7</v>
      </c>
      <c r="AD1353" s="4">
        <v>46</v>
      </c>
      <c r="AE1353" s="4">
        <v>54</v>
      </c>
      <c r="AF1353" s="4">
        <v>11</v>
      </c>
      <c r="AG1353" s="4">
        <v>18</v>
      </c>
      <c r="AH1353" s="4">
        <v>9</v>
      </c>
      <c r="AI1353" s="4">
        <v>9</v>
      </c>
      <c r="AJ1353" s="4">
        <v>16</v>
      </c>
      <c r="AK1353" s="4">
        <v>20</v>
      </c>
      <c r="AL1353" s="4">
        <v>5</v>
      </c>
      <c r="AM1353" s="4">
        <v>5</v>
      </c>
      <c r="AN1353" s="4">
        <v>13</v>
      </c>
      <c r="AO1353" s="4">
        <v>13</v>
      </c>
      <c r="AP1353" s="3" t="s">
        <v>58</v>
      </c>
      <c r="AQ1353" s="3" t="s">
        <v>58</v>
      </c>
      <c r="AS1353" s="6" t="str">
        <f>HYPERLINK("https://creighton-primo.hosted.exlibrisgroup.com/primo-explore/search?tab=default_tab&amp;search_scope=EVERYTHING&amp;vid=01CRU&amp;lang=en_US&amp;offset=0&amp;query=any,contains,991001666539702656","Catalog Record")</f>
        <v>Catalog Record</v>
      </c>
      <c r="AT1353" s="6" t="str">
        <f>HYPERLINK("http://www.worldcat.org/oclc/5674858","WorldCat Record")</f>
        <v>WorldCat Record</v>
      </c>
      <c r="AU1353" s="3" t="s">
        <v>17519</v>
      </c>
      <c r="AV1353" s="3" t="s">
        <v>17520</v>
      </c>
      <c r="AW1353" s="3" t="s">
        <v>17521</v>
      </c>
      <c r="AX1353" s="3" t="s">
        <v>17521</v>
      </c>
      <c r="AY1353" s="3" t="s">
        <v>17522</v>
      </c>
      <c r="AZ1353" s="3" t="s">
        <v>74</v>
      </c>
      <c r="BB1353" s="3" t="s">
        <v>17523</v>
      </c>
      <c r="BC1353" s="3" t="s">
        <v>17524</v>
      </c>
      <c r="BD1353" s="3" t="s">
        <v>17525</v>
      </c>
    </row>
    <row r="1354" spans="1:56" ht="45.75" customHeight="1" x14ac:dyDescent="0.25">
      <c r="A1354" s="7" t="s">
        <v>58</v>
      </c>
      <c r="B1354" s="2" t="s">
        <v>17526</v>
      </c>
      <c r="C1354" s="2" t="s">
        <v>17527</v>
      </c>
      <c r="D1354" s="2" t="s">
        <v>17528</v>
      </c>
      <c r="F1354" s="3" t="s">
        <v>58</v>
      </c>
      <c r="G1354" s="3" t="s">
        <v>59</v>
      </c>
      <c r="H1354" s="3" t="s">
        <v>58</v>
      </c>
      <c r="I1354" s="3" t="s">
        <v>58</v>
      </c>
      <c r="J1354" s="3" t="s">
        <v>60</v>
      </c>
      <c r="L1354" s="2" t="s">
        <v>741</v>
      </c>
      <c r="M1354" s="3" t="s">
        <v>742</v>
      </c>
      <c r="O1354" s="3" t="s">
        <v>65</v>
      </c>
      <c r="P1354" s="3" t="s">
        <v>84</v>
      </c>
      <c r="Q1354" s="2" t="s">
        <v>17529</v>
      </c>
      <c r="R1354" s="3" t="s">
        <v>67</v>
      </c>
      <c r="S1354" s="4">
        <v>6</v>
      </c>
      <c r="T1354" s="4">
        <v>6</v>
      </c>
      <c r="U1354" s="5" t="s">
        <v>17530</v>
      </c>
      <c r="V1354" s="5" t="s">
        <v>17530</v>
      </c>
      <c r="W1354" s="5" t="s">
        <v>3862</v>
      </c>
      <c r="X1354" s="5" t="s">
        <v>3862</v>
      </c>
      <c r="Y1354" s="4">
        <v>385</v>
      </c>
      <c r="Z1354" s="4">
        <v>337</v>
      </c>
      <c r="AA1354" s="4">
        <v>338</v>
      </c>
      <c r="AB1354" s="4">
        <v>3</v>
      </c>
      <c r="AC1354" s="4">
        <v>3</v>
      </c>
      <c r="AD1354" s="4">
        <v>16</v>
      </c>
      <c r="AE1354" s="4">
        <v>16</v>
      </c>
      <c r="AF1354" s="4">
        <v>4</v>
      </c>
      <c r="AG1354" s="4">
        <v>4</v>
      </c>
      <c r="AH1354" s="4">
        <v>5</v>
      </c>
      <c r="AI1354" s="4">
        <v>5</v>
      </c>
      <c r="AJ1354" s="4">
        <v>10</v>
      </c>
      <c r="AK1354" s="4">
        <v>10</v>
      </c>
      <c r="AL1354" s="4">
        <v>2</v>
      </c>
      <c r="AM1354" s="4">
        <v>2</v>
      </c>
      <c r="AN1354" s="4">
        <v>0</v>
      </c>
      <c r="AO1354" s="4">
        <v>0</v>
      </c>
      <c r="AP1354" s="3" t="s">
        <v>58</v>
      </c>
      <c r="AQ1354" s="3" t="s">
        <v>58</v>
      </c>
      <c r="AS1354" s="6" t="str">
        <f>HYPERLINK("https://creighton-primo.hosted.exlibrisgroup.com/primo-explore/search?tab=default_tab&amp;search_scope=EVERYTHING&amp;vid=01CRU&amp;lang=en_US&amp;offset=0&amp;query=any,contains,991001436499702656","Catalog Record")</f>
        <v>Catalog Record</v>
      </c>
      <c r="AT1354" s="6" t="str">
        <f>HYPERLINK("http://www.worldcat.org/oclc/19130306","WorldCat Record")</f>
        <v>WorldCat Record</v>
      </c>
      <c r="AU1354" s="3" t="s">
        <v>17531</v>
      </c>
      <c r="AV1354" s="3" t="s">
        <v>17532</v>
      </c>
      <c r="AW1354" s="3" t="s">
        <v>17533</v>
      </c>
      <c r="AX1354" s="3" t="s">
        <v>17533</v>
      </c>
      <c r="AY1354" s="3" t="s">
        <v>17534</v>
      </c>
      <c r="AZ1354" s="3" t="s">
        <v>74</v>
      </c>
      <c r="BB1354" s="3" t="s">
        <v>17535</v>
      </c>
      <c r="BC1354" s="3" t="s">
        <v>17536</v>
      </c>
      <c r="BD1354" s="3" t="s">
        <v>17537</v>
      </c>
    </row>
    <row r="1355" spans="1:56" ht="45.75" customHeight="1" x14ac:dyDescent="0.25">
      <c r="A1355" s="7" t="s">
        <v>58</v>
      </c>
      <c r="B1355" s="2" t="s">
        <v>17538</v>
      </c>
      <c r="C1355" s="2" t="s">
        <v>17539</v>
      </c>
      <c r="D1355" s="2" t="s">
        <v>17540</v>
      </c>
      <c r="F1355" s="3" t="s">
        <v>58</v>
      </c>
      <c r="G1355" s="3" t="s">
        <v>59</v>
      </c>
      <c r="H1355" s="3" t="s">
        <v>58</v>
      </c>
      <c r="I1355" s="3" t="s">
        <v>58</v>
      </c>
      <c r="J1355" s="3" t="s">
        <v>60</v>
      </c>
      <c r="K1355" s="2" t="s">
        <v>17541</v>
      </c>
      <c r="L1355" s="2" t="s">
        <v>17542</v>
      </c>
      <c r="M1355" s="3" t="s">
        <v>713</v>
      </c>
      <c r="O1355" s="3" t="s">
        <v>65</v>
      </c>
      <c r="P1355" s="3" t="s">
        <v>587</v>
      </c>
      <c r="Q1355" s="2" t="s">
        <v>17543</v>
      </c>
      <c r="R1355" s="3" t="s">
        <v>67</v>
      </c>
      <c r="S1355" s="4">
        <v>4</v>
      </c>
      <c r="T1355" s="4">
        <v>4</v>
      </c>
      <c r="U1355" s="5" t="s">
        <v>2191</v>
      </c>
      <c r="V1355" s="5" t="s">
        <v>2191</v>
      </c>
      <c r="W1355" s="5" t="s">
        <v>715</v>
      </c>
      <c r="X1355" s="5" t="s">
        <v>715</v>
      </c>
      <c r="Y1355" s="4">
        <v>628</v>
      </c>
      <c r="Z1355" s="4">
        <v>542</v>
      </c>
      <c r="AA1355" s="4">
        <v>570</v>
      </c>
      <c r="AB1355" s="4">
        <v>6</v>
      </c>
      <c r="AC1355" s="4">
        <v>6</v>
      </c>
      <c r="AD1355" s="4">
        <v>29</v>
      </c>
      <c r="AE1355" s="4">
        <v>30</v>
      </c>
      <c r="AF1355" s="4">
        <v>9</v>
      </c>
      <c r="AG1355" s="4">
        <v>9</v>
      </c>
      <c r="AH1355" s="4">
        <v>4</v>
      </c>
      <c r="AI1355" s="4">
        <v>5</v>
      </c>
      <c r="AJ1355" s="4">
        <v>13</v>
      </c>
      <c r="AK1355" s="4">
        <v>14</v>
      </c>
      <c r="AL1355" s="4">
        <v>5</v>
      </c>
      <c r="AM1355" s="4">
        <v>5</v>
      </c>
      <c r="AN1355" s="4">
        <v>4</v>
      </c>
      <c r="AO1355" s="4">
        <v>4</v>
      </c>
      <c r="AP1355" s="3" t="s">
        <v>58</v>
      </c>
      <c r="AQ1355" s="3" t="s">
        <v>87</v>
      </c>
      <c r="AR1355" s="6" t="str">
        <f>HYPERLINK("http://catalog.hathitrust.org/Record/000266018","HathiTrust Record")</f>
        <v>HathiTrust Record</v>
      </c>
      <c r="AS1355" s="6" t="str">
        <f>HYPERLINK("https://creighton-primo.hosted.exlibrisgroup.com/primo-explore/search?tab=default_tab&amp;search_scope=EVERYTHING&amp;vid=01CRU&amp;lang=en_US&amp;offset=0&amp;query=any,contains,991004878699702656","Catalog Record")</f>
        <v>Catalog Record</v>
      </c>
      <c r="AT1355" s="6" t="str">
        <f>HYPERLINK("http://www.worldcat.org/oclc/5800728","WorldCat Record")</f>
        <v>WorldCat Record</v>
      </c>
      <c r="AU1355" s="3" t="s">
        <v>17544</v>
      </c>
      <c r="AV1355" s="3" t="s">
        <v>17545</v>
      </c>
      <c r="AW1355" s="3" t="s">
        <v>17546</v>
      </c>
      <c r="AX1355" s="3" t="s">
        <v>17546</v>
      </c>
      <c r="AY1355" s="3" t="s">
        <v>17547</v>
      </c>
      <c r="AZ1355" s="3" t="s">
        <v>74</v>
      </c>
      <c r="BB1355" s="3" t="s">
        <v>17548</v>
      </c>
      <c r="BC1355" s="3" t="s">
        <v>17549</v>
      </c>
      <c r="BD1355" s="3" t="s">
        <v>17550</v>
      </c>
    </row>
    <row r="1356" spans="1:56" ht="45.75" customHeight="1" x14ac:dyDescent="0.25">
      <c r="A1356" s="7" t="s">
        <v>58</v>
      </c>
      <c r="B1356" s="2" t="s">
        <v>17551</v>
      </c>
      <c r="C1356" s="2" t="s">
        <v>17552</v>
      </c>
      <c r="D1356" s="2" t="s">
        <v>17553</v>
      </c>
      <c r="F1356" s="3" t="s">
        <v>58</v>
      </c>
      <c r="G1356" s="3" t="s">
        <v>59</v>
      </c>
      <c r="H1356" s="3" t="s">
        <v>58</v>
      </c>
      <c r="I1356" s="3" t="s">
        <v>58</v>
      </c>
      <c r="J1356" s="3" t="s">
        <v>60</v>
      </c>
      <c r="L1356" s="2" t="s">
        <v>17554</v>
      </c>
      <c r="M1356" s="3" t="s">
        <v>116</v>
      </c>
      <c r="N1356" s="2" t="s">
        <v>390</v>
      </c>
      <c r="O1356" s="3" t="s">
        <v>65</v>
      </c>
      <c r="P1356" s="3" t="s">
        <v>363</v>
      </c>
      <c r="R1356" s="3" t="s">
        <v>67</v>
      </c>
      <c r="S1356" s="4">
        <v>1</v>
      </c>
      <c r="T1356" s="4">
        <v>1</v>
      </c>
      <c r="U1356" s="5" t="s">
        <v>6782</v>
      </c>
      <c r="V1356" s="5" t="s">
        <v>6782</v>
      </c>
      <c r="W1356" s="5" t="s">
        <v>6782</v>
      </c>
      <c r="X1356" s="5" t="s">
        <v>6782</v>
      </c>
      <c r="Y1356" s="4">
        <v>160</v>
      </c>
      <c r="Z1356" s="4">
        <v>139</v>
      </c>
      <c r="AA1356" s="4">
        <v>496</v>
      </c>
      <c r="AB1356" s="4">
        <v>2</v>
      </c>
      <c r="AC1356" s="4">
        <v>8</v>
      </c>
      <c r="AD1356" s="4">
        <v>6</v>
      </c>
      <c r="AE1356" s="4">
        <v>26</v>
      </c>
      <c r="AF1356" s="4">
        <v>3</v>
      </c>
      <c r="AG1356" s="4">
        <v>8</v>
      </c>
      <c r="AH1356" s="4">
        <v>1</v>
      </c>
      <c r="AI1356" s="4">
        <v>7</v>
      </c>
      <c r="AJ1356" s="4">
        <v>2</v>
      </c>
      <c r="AK1356" s="4">
        <v>11</v>
      </c>
      <c r="AL1356" s="4">
        <v>1</v>
      </c>
      <c r="AM1356" s="4">
        <v>6</v>
      </c>
      <c r="AN1356" s="4">
        <v>0</v>
      </c>
      <c r="AO1356" s="4">
        <v>0</v>
      </c>
      <c r="AP1356" s="3" t="s">
        <v>58</v>
      </c>
      <c r="AQ1356" s="3" t="s">
        <v>87</v>
      </c>
      <c r="AR1356" s="6" t="str">
        <f>HYPERLINK("http://catalog.hathitrust.org/Record/004036071","HathiTrust Record")</f>
        <v>HathiTrust Record</v>
      </c>
      <c r="AS1356" s="6" t="str">
        <f>HYPERLINK("https://creighton-primo.hosted.exlibrisgroup.com/primo-explore/search?tab=default_tab&amp;search_scope=EVERYTHING&amp;vid=01CRU&amp;lang=en_US&amp;offset=0&amp;query=any,contains,991004471329702656","Catalog Record")</f>
        <v>Catalog Record</v>
      </c>
      <c r="AT1356" s="6" t="str">
        <f>HYPERLINK("http://www.worldcat.org/oclc/38355859","WorldCat Record")</f>
        <v>WorldCat Record</v>
      </c>
      <c r="AU1356" s="3" t="s">
        <v>17555</v>
      </c>
      <c r="AV1356" s="3" t="s">
        <v>17556</v>
      </c>
      <c r="AW1356" s="3" t="s">
        <v>17557</v>
      </c>
      <c r="AX1356" s="3" t="s">
        <v>17557</v>
      </c>
      <c r="AY1356" s="3" t="s">
        <v>17558</v>
      </c>
      <c r="AZ1356" s="3" t="s">
        <v>74</v>
      </c>
      <c r="BC1356" s="3" t="s">
        <v>17559</v>
      </c>
      <c r="BD1356" s="3" t="s">
        <v>17560</v>
      </c>
    </row>
    <row r="1357" spans="1:56" ht="45.75" customHeight="1" x14ac:dyDescent="0.25">
      <c r="A1357" s="7" t="s">
        <v>58</v>
      </c>
      <c r="B1357" s="2" t="s">
        <v>17561</v>
      </c>
      <c r="C1357" s="2" t="s">
        <v>17562</v>
      </c>
      <c r="D1357" s="2" t="s">
        <v>17563</v>
      </c>
      <c r="F1357" s="3" t="s">
        <v>58</v>
      </c>
      <c r="G1357" s="3" t="s">
        <v>59</v>
      </c>
      <c r="H1357" s="3" t="s">
        <v>58</v>
      </c>
      <c r="I1357" s="3" t="s">
        <v>58</v>
      </c>
      <c r="J1357" s="3" t="s">
        <v>60</v>
      </c>
      <c r="K1357" s="2" t="s">
        <v>17564</v>
      </c>
      <c r="L1357" s="2" t="s">
        <v>17565</v>
      </c>
      <c r="M1357" s="3" t="s">
        <v>307</v>
      </c>
      <c r="O1357" s="3" t="s">
        <v>65</v>
      </c>
      <c r="P1357" s="3" t="s">
        <v>132</v>
      </c>
      <c r="Q1357" s="2" t="s">
        <v>17566</v>
      </c>
      <c r="R1357" s="3" t="s">
        <v>67</v>
      </c>
      <c r="S1357" s="4">
        <v>3</v>
      </c>
      <c r="T1357" s="4">
        <v>3</v>
      </c>
      <c r="U1357" s="5" t="s">
        <v>17567</v>
      </c>
      <c r="V1357" s="5" t="s">
        <v>17567</v>
      </c>
      <c r="W1357" s="5" t="s">
        <v>1729</v>
      </c>
      <c r="X1357" s="5" t="s">
        <v>1729</v>
      </c>
      <c r="Y1357" s="4">
        <v>425</v>
      </c>
      <c r="Z1357" s="4">
        <v>317</v>
      </c>
      <c r="AA1357" s="4">
        <v>775</v>
      </c>
      <c r="AB1357" s="4">
        <v>4</v>
      </c>
      <c r="AC1357" s="4">
        <v>6</v>
      </c>
      <c r="AD1357" s="4">
        <v>21</v>
      </c>
      <c r="AE1357" s="4">
        <v>29</v>
      </c>
      <c r="AF1357" s="4">
        <v>7</v>
      </c>
      <c r="AG1357" s="4">
        <v>10</v>
      </c>
      <c r="AH1357" s="4">
        <v>5</v>
      </c>
      <c r="AI1357" s="4">
        <v>7</v>
      </c>
      <c r="AJ1357" s="4">
        <v>11</v>
      </c>
      <c r="AK1357" s="4">
        <v>14</v>
      </c>
      <c r="AL1357" s="4">
        <v>3</v>
      </c>
      <c r="AM1357" s="4">
        <v>5</v>
      </c>
      <c r="AN1357" s="4">
        <v>0</v>
      </c>
      <c r="AO1357" s="4">
        <v>0</v>
      </c>
      <c r="AP1357" s="3" t="s">
        <v>58</v>
      </c>
      <c r="AQ1357" s="3" t="s">
        <v>87</v>
      </c>
      <c r="AR1357" s="6" t="str">
        <f>HYPERLINK("http://catalog.hathitrust.org/Record/003034474","HathiTrust Record")</f>
        <v>HathiTrust Record</v>
      </c>
      <c r="AS1357" s="6" t="str">
        <f>HYPERLINK("https://creighton-primo.hosted.exlibrisgroup.com/primo-explore/search?tab=default_tab&amp;search_scope=EVERYTHING&amp;vid=01CRU&amp;lang=en_US&amp;offset=0&amp;query=any,contains,991003476019702656","Catalog Record")</f>
        <v>Catalog Record</v>
      </c>
      <c r="AT1357" s="6" t="str">
        <f>HYPERLINK("http://www.worldcat.org/oclc/32166625","WorldCat Record")</f>
        <v>WorldCat Record</v>
      </c>
      <c r="AU1357" s="3" t="s">
        <v>17568</v>
      </c>
      <c r="AV1357" s="3" t="s">
        <v>17569</v>
      </c>
      <c r="AW1357" s="3" t="s">
        <v>17570</v>
      </c>
      <c r="AX1357" s="3" t="s">
        <v>17570</v>
      </c>
      <c r="AY1357" s="3" t="s">
        <v>17571</v>
      </c>
      <c r="AZ1357" s="3" t="s">
        <v>74</v>
      </c>
      <c r="BB1357" s="3" t="s">
        <v>17572</v>
      </c>
      <c r="BC1357" s="3" t="s">
        <v>17573</v>
      </c>
      <c r="BD1357" s="3" t="s">
        <v>17574</v>
      </c>
    </row>
    <row r="1358" spans="1:56" ht="45.75" customHeight="1" x14ac:dyDescent="0.25">
      <c r="A1358" s="7" t="s">
        <v>58</v>
      </c>
      <c r="B1358" s="2" t="s">
        <v>17575</v>
      </c>
      <c r="C1358" s="2" t="s">
        <v>17576</v>
      </c>
      <c r="D1358" s="2" t="s">
        <v>17577</v>
      </c>
      <c r="F1358" s="3" t="s">
        <v>58</v>
      </c>
      <c r="G1358" s="3" t="s">
        <v>59</v>
      </c>
      <c r="H1358" s="3" t="s">
        <v>58</v>
      </c>
      <c r="I1358" s="3" t="s">
        <v>58</v>
      </c>
      <c r="J1358" s="3" t="s">
        <v>60</v>
      </c>
      <c r="K1358" s="2" t="s">
        <v>17578</v>
      </c>
      <c r="L1358" s="2" t="s">
        <v>17579</v>
      </c>
      <c r="M1358" s="3" t="s">
        <v>908</v>
      </c>
      <c r="O1358" s="3" t="s">
        <v>65</v>
      </c>
      <c r="P1358" s="3" t="s">
        <v>84</v>
      </c>
      <c r="R1358" s="3" t="s">
        <v>67</v>
      </c>
      <c r="S1358" s="4">
        <v>6</v>
      </c>
      <c r="T1358" s="4">
        <v>6</v>
      </c>
      <c r="U1358" s="5" t="s">
        <v>17580</v>
      </c>
      <c r="V1358" s="5" t="s">
        <v>17580</v>
      </c>
      <c r="W1358" s="5" t="s">
        <v>2841</v>
      </c>
      <c r="X1358" s="5" t="s">
        <v>2841</v>
      </c>
      <c r="Y1358" s="4">
        <v>467</v>
      </c>
      <c r="Z1358" s="4">
        <v>420</v>
      </c>
      <c r="AA1358" s="4">
        <v>435</v>
      </c>
      <c r="AB1358" s="4">
        <v>3</v>
      </c>
      <c r="AC1358" s="4">
        <v>3</v>
      </c>
      <c r="AD1358" s="4">
        <v>19</v>
      </c>
      <c r="AE1358" s="4">
        <v>19</v>
      </c>
      <c r="AF1358" s="4">
        <v>9</v>
      </c>
      <c r="AG1358" s="4">
        <v>9</v>
      </c>
      <c r="AH1358" s="4">
        <v>3</v>
      </c>
      <c r="AI1358" s="4">
        <v>3</v>
      </c>
      <c r="AJ1358" s="4">
        <v>8</v>
      </c>
      <c r="AK1358" s="4">
        <v>8</v>
      </c>
      <c r="AL1358" s="4">
        <v>2</v>
      </c>
      <c r="AM1358" s="4">
        <v>2</v>
      </c>
      <c r="AN1358" s="4">
        <v>0</v>
      </c>
      <c r="AO1358" s="4">
        <v>0</v>
      </c>
      <c r="AP1358" s="3" t="s">
        <v>58</v>
      </c>
      <c r="AQ1358" s="3" t="s">
        <v>87</v>
      </c>
      <c r="AR1358" s="6" t="str">
        <f>HYPERLINK("http://catalog.hathitrust.org/Record/000178465","HathiTrust Record")</f>
        <v>HathiTrust Record</v>
      </c>
      <c r="AS1358" s="6" t="str">
        <f>HYPERLINK("https://creighton-primo.hosted.exlibrisgroup.com/primo-explore/search?tab=default_tab&amp;search_scope=EVERYTHING&amp;vid=01CRU&amp;lang=en_US&amp;offset=0&amp;query=any,contains,991004580239702656","Catalog Record")</f>
        <v>Catalog Record</v>
      </c>
      <c r="AT1358" s="6" t="str">
        <f>HYPERLINK("http://www.worldcat.org/oclc/4056597","WorldCat Record")</f>
        <v>WorldCat Record</v>
      </c>
      <c r="AU1358" s="3" t="s">
        <v>17581</v>
      </c>
      <c r="AV1358" s="3" t="s">
        <v>17582</v>
      </c>
      <c r="AW1358" s="3" t="s">
        <v>17583</v>
      </c>
      <c r="AX1358" s="3" t="s">
        <v>17583</v>
      </c>
      <c r="AY1358" s="3" t="s">
        <v>17584</v>
      </c>
      <c r="AZ1358" s="3" t="s">
        <v>74</v>
      </c>
      <c r="BB1358" s="3" t="s">
        <v>17585</v>
      </c>
      <c r="BC1358" s="3" t="s">
        <v>17586</v>
      </c>
      <c r="BD1358" s="3" t="s">
        <v>17587</v>
      </c>
    </row>
    <row r="1359" spans="1:56" ht="45.75" customHeight="1" x14ac:dyDescent="0.25">
      <c r="A1359" s="7" t="s">
        <v>58</v>
      </c>
      <c r="B1359" s="2" t="s">
        <v>17588</v>
      </c>
      <c r="C1359" s="2" t="s">
        <v>17589</v>
      </c>
      <c r="D1359" s="2" t="s">
        <v>17590</v>
      </c>
      <c r="F1359" s="3" t="s">
        <v>58</v>
      </c>
      <c r="G1359" s="3" t="s">
        <v>59</v>
      </c>
      <c r="H1359" s="3" t="s">
        <v>58</v>
      </c>
      <c r="I1359" s="3" t="s">
        <v>58</v>
      </c>
      <c r="J1359" s="3" t="s">
        <v>60</v>
      </c>
      <c r="K1359" s="2" t="s">
        <v>17591</v>
      </c>
      <c r="L1359" s="2" t="s">
        <v>17592</v>
      </c>
      <c r="M1359" s="3" t="s">
        <v>419</v>
      </c>
      <c r="O1359" s="3" t="s">
        <v>65</v>
      </c>
      <c r="P1359" s="3" t="s">
        <v>84</v>
      </c>
      <c r="R1359" s="3" t="s">
        <v>67</v>
      </c>
      <c r="S1359" s="4">
        <v>1</v>
      </c>
      <c r="T1359" s="4">
        <v>1</v>
      </c>
      <c r="U1359" s="5" t="s">
        <v>17593</v>
      </c>
      <c r="V1359" s="5" t="s">
        <v>17593</v>
      </c>
      <c r="W1359" s="5" t="s">
        <v>17593</v>
      </c>
      <c r="X1359" s="5" t="s">
        <v>17593</v>
      </c>
      <c r="Y1359" s="4">
        <v>532</v>
      </c>
      <c r="Z1359" s="4">
        <v>493</v>
      </c>
      <c r="AA1359" s="4">
        <v>497</v>
      </c>
      <c r="AB1359" s="4">
        <v>5</v>
      </c>
      <c r="AC1359" s="4">
        <v>5</v>
      </c>
      <c r="AD1359" s="4">
        <v>21</v>
      </c>
      <c r="AE1359" s="4">
        <v>21</v>
      </c>
      <c r="AF1359" s="4">
        <v>4</v>
      </c>
      <c r="AG1359" s="4">
        <v>4</v>
      </c>
      <c r="AH1359" s="4">
        <v>6</v>
      </c>
      <c r="AI1359" s="4">
        <v>6</v>
      </c>
      <c r="AJ1359" s="4">
        <v>11</v>
      </c>
      <c r="AK1359" s="4">
        <v>11</v>
      </c>
      <c r="AL1359" s="4">
        <v>4</v>
      </c>
      <c r="AM1359" s="4">
        <v>4</v>
      </c>
      <c r="AN1359" s="4">
        <v>0</v>
      </c>
      <c r="AO1359" s="4">
        <v>0</v>
      </c>
      <c r="AP1359" s="3" t="s">
        <v>58</v>
      </c>
      <c r="AQ1359" s="3" t="s">
        <v>58</v>
      </c>
      <c r="AS1359" s="6" t="str">
        <f>HYPERLINK("https://creighton-primo.hosted.exlibrisgroup.com/primo-explore/search?tab=default_tab&amp;search_scope=EVERYTHING&amp;vid=01CRU&amp;lang=en_US&amp;offset=0&amp;query=any,contains,991003686369702656","Catalog Record")</f>
        <v>Catalog Record</v>
      </c>
      <c r="AT1359" s="6" t="str">
        <f>HYPERLINK("http://www.worldcat.org/oclc/41516629","WorldCat Record")</f>
        <v>WorldCat Record</v>
      </c>
      <c r="AU1359" s="3" t="s">
        <v>17594</v>
      </c>
      <c r="AV1359" s="3" t="s">
        <v>17595</v>
      </c>
      <c r="AW1359" s="3" t="s">
        <v>17596</v>
      </c>
      <c r="AX1359" s="3" t="s">
        <v>17596</v>
      </c>
      <c r="AY1359" s="3" t="s">
        <v>17597</v>
      </c>
      <c r="AZ1359" s="3" t="s">
        <v>74</v>
      </c>
      <c r="BB1359" s="3" t="s">
        <v>17598</v>
      </c>
      <c r="BC1359" s="3" t="s">
        <v>17599</v>
      </c>
      <c r="BD1359" s="3" t="s">
        <v>17600</v>
      </c>
    </row>
    <row r="1360" spans="1:56" ht="45.75" customHeight="1" x14ac:dyDescent="0.25">
      <c r="A1360" s="7" t="s">
        <v>58</v>
      </c>
      <c r="B1360" s="2" t="s">
        <v>17601</v>
      </c>
      <c r="C1360" s="2" t="s">
        <v>17602</v>
      </c>
      <c r="D1360" s="2" t="s">
        <v>17603</v>
      </c>
      <c r="F1360" s="3" t="s">
        <v>58</v>
      </c>
      <c r="G1360" s="3" t="s">
        <v>59</v>
      </c>
      <c r="H1360" s="3" t="s">
        <v>58</v>
      </c>
      <c r="I1360" s="3" t="s">
        <v>58</v>
      </c>
      <c r="J1360" s="3" t="s">
        <v>60</v>
      </c>
      <c r="K1360" s="2" t="s">
        <v>17604</v>
      </c>
      <c r="L1360" s="2" t="s">
        <v>17605</v>
      </c>
      <c r="M1360" s="3" t="s">
        <v>17606</v>
      </c>
      <c r="O1360" s="3" t="s">
        <v>65</v>
      </c>
      <c r="P1360" s="3" t="s">
        <v>84</v>
      </c>
      <c r="R1360" s="3" t="s">
        <v>67</v>
      </c>
      <c r="S1360" s="4">
        <v>1</v>
      </c>
      <c r="T1360" s="4">
        <v>1</v>
      </c>
      <c r="U1360" s="5" t="s">
        <v>17352</v>
      </c>
      <c r="V1360" s="5" t="s">
        <v>17352</v>
      </c>
      <c r="W1360" s="5" t="s">
        <v>17607</v>
      </c>
      <c r="X1360" s="5" t="s">
        <v>17607</v>
      </c>
      <c r="Y1360" s="4">
        <v>210</v>
      </c>
      <c r="Z1360" s="4">
        <v>191</v>
      </c>
      <c r="AA1360" s="4">
        <v>256</v>
      </c>
      <c r="AB1360" s="4">
        <v>2</v>
      </c>
      <c r="AC1360" s="4">
        <v>3</v>
      </c>
      <c r="AD1360" s="4">
        <v>7</v>
      </c>
      <c r="AE1360" s="4">
        <v>11</v>
      </c>
      <c r="AF1360" s="4">
        <v>1</v>
      </c>
      <c r="AG1360" s="4">
        <v>1</v>
      </c>
      <c r="AH1360" s="4">
        <v>3</v>
      </c>
      <c r="AI1360" s="4">
        <v>3</v>
      </c>
      <c r="AJ1360" s="4">
        <v>3</v>
      </c>
      <c r="AK1360" s="4">
        <v>6</v>
      </c>
      <c r="AL1360" s="4">
        <v>1</v>
      </c>
      <c r="AM1360" s="4">
        <v>2</v>
      </c>
      <c r="AN1360" s="4">
        <v>0</v>
      </c>
      <c r="AO1360" s="4">
        <v>0</v>
      </c>
      <c r="AP1360" s="3" t="s">
        <v>58</v>
      </c>
      <c r="AQ1360" s="3" t="s">
        <v>58</v>
      </c>
      <c r="AS1360" s="6" t="str">
        <f>HYPERLINK("https://creighton-primo.hosted.exlibrisgroup.com/primo-explore/search?tab=default_tab&amp;search_scope=EVERYTHING&amp;vid=01CRU&amp;lang=en_US&amp;offset=0&amp;query=any,contains,991002873799702656","Catalog Record")</f>
        <v>Catalog Record</v>
      </c>
      <c r="AT1360" s="6" t="str">
        <f>HYPERLINK("http://www.worldcat.org/oclc/501441","WorldCat Record")</f>
        <v>WorldCat Record</v>
      </c>
      <c r="AU1360" s="3" t="s">
        <v>17608</v>
      </c>
      <c r="AV1360" s="3" t="s">
        <v>17609</v>
      </c>
      <c r="AW1360" s="3" t="s">
        <v>17610</v>
      </c>
      <c r="AX1360" s="3" t="s">
        <v>17610</v>
      </c>
      <c r="AY1360" s="3" t="s">
        <v>17611</v>
      </c>
      <c r="AZ1360" s="3" t="s">
        <v>74</v>
      </c>
      <c r="BB1360" s="3" t="s">
        <v>17612</v>
      </c>
      <c r="BC1360" s="3" t="s">
        <v>17613</v>
      </c>
      <c r="BD1360" s="3" t="s">
        <v>17614</v>
      </c>
    </row>
    <row r="1361" spans="1:56" ht="45.75" customHeight="1" x14ac:dyDescent="0.25">
      <c r="A1361" s="7" t="s">
        <v>58</v>
      </c>
      <c r="B1361" s="2" t="s">
        <v>17615</v>
      </c>
      <c r="C1361" s="2" t="s">
        <v>17616</v>
      </c>
      <c r="D1361" s="2" t="s">
        <v>17617</v>
      </c>
      <c r="F1361" s="3" t="s">
        <v>58</v>
      </c>
      <c r="G1361" s="3" t="s">
        <v>59</v>
      </c>
      <c r="H1361" s="3" t="s">
        <v>58</v>
      </c>
      <c r="I1361" s="3" t="s">
        <v>58</v>
      </c>
      <c r="J1361" s="3" t="s">
        <v>60</v>
      </c>
      <c r="L1361" s="2" t="s">
        <v>17618</v>
      </c>
      <c r="M1361" s="3" t="s">
        <v>923</v>
      </c>
      <c r="O1361" s="3" t="s">
        <v>65</v>
      </c>
      <c r="P1361" s="3" t="s">
        <v>148</v>
      </c>
      <c r="Q1361" s="2" t="s">
        <v>17619</v>
      </c>
      <c r="R1361" s="3" t="s">
        <v>67</v>
      </c>
      <c r="S1361" s="4">
        <v>28</v>
      </c>
      <c r="T1361" s="4">
        <v>28</v>
      </c>
      <c r="U1361" s="5" t="s">
        <v>17620</v>
      </c>
      <c r="V1361" s="5" t="s">
        <v>17620</v>
      </c>
      <c r="W1361" s="5" t="s">
        <v>2573</v>
      </c>
      <c r="X1361" s="5" t="s">
        <v>2573</v>
      </c>
      <c r="Y1361" s="4">
        <v>325</v>
      </c>
      <c r="Z1361" s="4">
        <v>259</v>
      </c>
      <c r="AA1361" s="4">
        <v>276</v>
      </c>
      <c r="AB1361" s="4">
        <v>2</v>
      </c>
      <c r="AC1361" s="4">
        <v>2</v>
      </c>
      <c r="AD1361" s="4">
        <v>12</v>
      </c>
      <c r="AE1361" s="4">
        <v>14</v>
      </c>
      <c r="AF1361" s="4">
        <v>2</v>
      </c>
      <c r="AG1361" s="4">
        <v>4</v>
      </c>
      <c r="AH1361" s="4">
        <v>3</v>
      </c>
      <c r="AI1361" s="4">
        <v>3</v>
      </c>
      <c r="AJ1361" s="4">
        <v>7</v>
      </c>
      <c r="AK1361" s="4">
        <v>8</v>
      </c>
      <c r="AL1361" s="4">
        <v>1</v>
      </c>
      <c r="AM1361" s="4">
        <v>1</v>
      </c>
      <c r="AN1361" s="4">
        <v>2</v>
      </c>
      <c r="AO1361" s="4">
        <v>2</v>
      </c>
      <c r="AP1361" s="3" t="s">
        <v>58</v>
      </c>
      <c r="AQ1361" s="3" t="s">
        <v>58</v>
      </c>
      <c r="AS1361" s="6" t="str">
        <f>HYPERLINK("https://creighton-primo.hosted.exlibrisgroup.com/primo-explore/search?tab=default_tab&amp;search_scope=EVERYTHING&amp;vid=01CRU&amp;lang=en_US&amp;offset=0&amp;query=any,contains,991005151159702656","Catalog Record")</f>
        <v>Catalog Record</v>
      </c>
      <c r="AT1361" s="6" t="str">
        <f>HYPERLINK("http://www.worldcat.org/oclc/7732593","WorldCat Record")</f>
        <v>WorldCat Record</v>
      </c>
      <c r="AU1361" s="3" t="s">
        <v>17621</v>
      </c>
      <c r="AV1361" s="3" t="s">
        <v>17622</v>
      </c>
      <c r="AW1361" s="3" t="s">
        <v>17623</v>
      </c>
      <c r="AX1361" s="3" t="s">
        <v>17623</v>
      </c>
      <c r="AY1361" s="3" t="s">
        <v>17624</v>
      </c>
      <c r="AZ1361" s="3" t="s">
        <v>74</v>
      </c>
      <c r="BB1361" s="3" t="s">
        <v>17625</v>
      </c>
      <c r="BC1361" s="3" t="s">
        <v>17626</v>
      </c>
      <c r="BD1361" s="3" t="s">
        <v>17627</v>
      </c>
    </row>
    <row r="1362" spans="1:56" ht="45.75" customHeight="1" x14ac:dyDescent="0.25">
      <c r="A1362" s="7" t="s">
        <v>58</v>
      </c>
      <c r="B1362" s="2" t="s">
        <v>17628</v>
      </c>
      <c r="C1362" s="2" t="s">
        <v>17629</v>
      </c>
      <c r="D1362" s="2" t="s">
        <v>17630</v>
      </c>
      <c r="F1362" s="3" t="s">
        <v>58</v>
      </c>
      <c r="G1362" s="3" t="s">
        <v>59</v>
      </c>
      <c r="H1362" s="3" t="s">
        <v>58</v>
      </c>
      <c r="I1362" s="3" t="s">
        <v>58</v>
      </c>
      <c r="J1362" s="3" t="s">
        <v>60</v>
      </c>
      <c r="L1362" s="2" t="s">
        <v>17631</v>
      </c>
      <c r="M1362" s="3" t="s">
        <v>307</v>
      </c>
      <c r="O1362" s="3" t="s">
        <v>65</v>
      </c>
      <c r="P1362" s="3" t="s">
        <v>66</v>
      </c>
      <c r="R1362" s="3" t="s">
        <v>67</v>
      </c>
      <c r="S1362" s="4">
        <v>8</v>
      </c>
      <c r="T1362" s="4">
        <v>8</v>
      </c>
      <c r="U1362" s="5" t="s">
        <v>2546</v>
      </c>
      <c r="V1362" s="5" t="s">
        <v>2546</v>
      </c>
      <c r="W1362" s="5" t="s">
        <v>17632</v>
      </c>
      <c r="X1362" s="5" t="s">
        <v>17632</v>
      </c>
      <c r="Y1362" s="4">
        <v>490</v>
      </c>
      <c r="Z1362" s="4">
        <v>449</v>
      </c>
      <c r="AA1362" s="4">
        <v>460</v>
      </c>
      <c r="AB1362" s="4">
        <v>3</v>
      </c>
      <c r="AC1362" s="4">
        <v>3</v>
      </c>
      <c r="AD1362" s="4">
        <v>23</v>
      </c>
      <c r="AE1362" s="4">
        <v>23</v>
      </c>
      <c r="AF1362" s="4">
        <v>7</v>
      </c>
      <c r="AG1362" s="4">
        <v>7</v>
      </c>
      <c r="AH1362" s="4">
        <v>5</v>
      </c>
      <c r="AI1362" s="4">
        <v>5</v>
      </c>
      <c r="AJ1362" s="4">
        <v>13</v>
      </c>
      <c r="AK1362" s="4">
        <v>13</v>
      </c>
      <c r="AL1362" s="4">
        <v>2</v>
      </c>
      <c r="AM1362" s="4">
        <v>2</v>
      </c>
      <c r="AN1362" s="4">
        <v>2</v>
      </c>
      <c r="AO1362" s="4">
        <v>2</v>
      </c>
      <c r="AP1362" s="3" t="s">
        <v>58</v>
      </c>
      <c r="AQ1362" s="3" t="s">
        <v>87</v>
      </c>
      <c r="AR1362" s="6" t="str">
        <f>HYPERLINK("http://catalog.hathitrust.org/Record/002954722","HathiTrust Record")</f>
        <v>HathiTrust Record</v>
      </c>
      <c r="AS1362" s="6" t="str">
        <f>HYPERLINK("https://creighton-primo.hosted.exlibrisgroup.com/primo-explore/search?tab=default_tab&amp;search_scope=EVERYTHING&amp;vid=01CRU&amp;lang=en_US&amp;offset=0&amp;query=any,contains,991002407499702656","Catalog Record")</f>
        <v>Catalog Record</v>
      </c>
      <c r="AT1362" s="6" t="str">
        <f>HYPERLINK("http://www.worldcat.org/oclc/31328375","WorldCat Record")</f>
        <v>WorldCat Record</v>
      </c>
      <c r="AU1362" s="3" t="s">
        <v>17633</v>
      </c>
      <c r="AV1362" s="3" t="s">
        <v>17634</v>
      </c>
      <c r="AW1362" s="3" t="s">
        <v>17635</v>
      </c>
      <c r="AX1362" s="3" t="s">
        <v>17635</v>
      </c>
      <c r="AY1362" s="3" t="s">
        <v>17636</v>
      </c>
      <c r="AZ1362" s="3" t="s">
        <v>74</v>
      </c>
      <c r="BB1362" s="3" t="s">
        <v>17637</v>
      </c>
      <c r="BC1362" s="3" t="s">
        <v>17638</v>
      </c>
      <c r="BD1362" s="3" t="s">
        <v>17639</v>
      </c>
    </row>
    <row r="1363" spans="1:56" ht="45.75" customHeight="1" x14ac:dyDescent="0.25">
      <c r="A1363" s="7" t="s">
        <v>58</v>
      </c>
      <c r="B1363" s="2" t="s">
        <v>17640</v>
      </c>
      <c r="C1363" s="2" t="s">
        <v>17641</v>
      </c>
      <c r="D1363" s="2" t="s">
        <v>17642</v>
      </c>
      <c r="F1363" s="3" t="s">
        <v>58</v>
      </c>
      <c r="G1363" s="3" t="s">
        <v>59</v>
      </c>
      <c r="H1363" s="3" t="s">
        <v>58</v>
      </c>
      <c r="I1363" s="3" t="s">
        <v>58</v>
      </c>
      <c r="J1363" s="3" t="s">
        <v>60</v>
      </c>
      <c r="K1363" s="2" t="s">
        <v>17643</v>
      </c>
      <c r="L1363" s="2" t="s">
        <v>17644</v>
      </c>
      <c r="M1363" s="3" t="s">
        <v>263</v>
      </c>
      <c r="O1363" s="3" t="s">
        <v>65</v>
      </c>
      <c r="P1363" s="3" t="s">
        <v>84</v>
      </c>
      <c r="Q1363" s="2" t="s">
        <v>17645</v>
      </c>
      <c r="R1363" s="3" t="s">
        <v>67</v>
      </c>
      <c r="S1363" s="4">
        <v>30</v>
      </c>
      <c r="T1363" s="4">
        <v>30</v>
      </c>
      <c r="U1363" s="5" t="s">
        <v>17646</v>
      </c>
      <c r="V1363" s="5" t="s">
        <v>17646</v>
      </c>
      <c r="W1363" s="5" t="s">
        <v>17647</v>
      </c>
      <c r="X1363" s="5" t="s">
        <v>17647</v>
      </c>
      <c r="Y1363" s="4">
        <v>217</v>
      </c>
      <c r="Z1363" s="4">
        <v>177</v>
      </c>
      <c r="AA1363" s="4">
        <v>179</v>
      </c>
      <c r="AB1363" s="4">
        <v>3</v>
      </c>
      <c r="AC1363" s="4">
        <v>3</v>
      </c>
      <c r="AD1363" s="4">
        <v>9</v>
      </c>
      <c r="AE1363" s="4">
        <v>9</v>
      </c>
      <c r="AF1363" s="4">
        <v>1</v>
      </c>
      <c r="AG1363" s="4">
        <v>1</v>
      </c>
      <c r="AH1363" s="4">
        <v>2</v>
      </c>
      <c r="AI1363" s="4">
        <v>2</v>
      </c>
      <c r="AJ1363" s="4">
        <v>5</v>
      </c>
      <c r="AK1363" s="4">
        <v>5</v>
      </c>
      <c r="AL1363" s="4">
        <v>2</v>
      </c>
      <c r="AM1363" s="4">
        <v>2</v>
      </c>
      <c r="AN1363" s="4">
        <v>0</v>
      </c>
      <c r="AO1363" s="4">
        <v>0</v>
      </c>
      <c r="AP1363" s="3" t="s">
        <v>58</v>
      </c>
      <c r="AQ1363" s="3" t="s">
        <v>87</v>
      </c>
      <c r="AR1363" s="6" t="str">
        <f>HYPERLINK("http://catalog.hathitrust.org/Record/003065147","HathiTrust Record")</f>
        <v>HathiTrust Record</v>
      </c>
      <c r="AS1363" s="6" t="str">
        <f>HYPERLINK("https://creighton-primo.hosted.exlibrisgroup.com/primo-explore/search?tab=default_tab&amp;search_scope=EVERYTHING&amp;vid=01CRU&amp;lang=en_US&amp;offset=0&amp;query=any,contains,991002542659702656","Catalog Record")</f>
        <v>Catalog Record</v>
      </c>
      <c r="AT1363" s="6" t="str">
        <f>HYPERLINK("http://www.worldcat.org/oclc/33045065","WorldCat Record")</f>
        <v>WorldCat Record</v>
      </c>
      <c r="AU1363" s="3" t="s">
        <v>17648</v>
      </c>
      <c r="AV1363" s="3" t="s">
        <v>17649</v>
      </c>
      <c r="AW1363" s="3" t="s">
        <v>17650</v>
      </c>
      <c r="AX1363" s="3" t="s">
        <v>17650</v>
      </c>
      <c r="AY1363" s="3" t="s">
        <v>17651</v>
      </c>
      <c r="AZ1363" s="3" t="s">
        <v>74</v>
      </c>
      <c r="BB1363" s="3" t="s">
        <v>17652</v>
      </c>
      <c r="BC1363" s="3" t="s">
        <v>17653</v>
      </c>
      <c r="BD1363" s="3" t="s">
        <v>17654</v>
      </c>
    </row>
    <row r="1364" spans="1:56" ht="45.75" customHeight="1" x14ac:dyDescent="0.25">
      <c r="A1364" s="7" t="s">
        <v>58</v>
      </c>
      <c r="B1364" s="2" t="s">
        <v>17655</v>
      </c>
      <c r="C1364" s="2" t="s">
        <v>17656</v>
      </c>
      <c r="D1364" s="2" t="s">
        <v>17657</v>
      </c>
      <c r="F1364" s="3" t="s">
        <v>58</v>
      </c>
      <c r="G1364" s="3" t="s">
        <v>59</v>
      </c>
      <c r="H1364" s="3" t="s">
        <v>58</v>
      </c>
      <c r="I1364" s="3" t="s">
        <v>58</v>
      </c>
      <c r="J1364" s="3" t="s">
        <v>60</v>
      </c>
      <c r="K1364" s="2" t="s">
        <v>17658</v>
      </c>
      <c r="L1364" s="2" t="s">
        <v>16439</v>
      </c>
      <c r="M1364" s="3" t="s">
        <v>937</v>
      </c>
      <c r="O1364" s="3" t="s">
        <v>65</v>
      </c>
      <c r="P1364" s="3" t="s">
        <v>132</v>
      </c>
      <c r="R1364" s="3" t="s">
        <v>67</v>
      </c>
      <c r="S1364" s="4">
        <v>2</v>
      </c>
      <c r="T1364" s="4">
        <v>2</v>
      </c>
      <c r="U1364" s="5" t="s">
        <v>1255</v>
      </c>
      <c r="V1364" s="5" t="s">
        <v>1255</v>
      </c>
      <c r="W1364" s="5" t="s">
        <v>17114</v>
      </c>
      <c r="X1364" s="5" t="s">
        <v>17114</v>
      </c>
      <c r="Y1364" s="4">
        <v>242</v>
      </c>
      <c r="Z1364" s="4">
        <v>222</v>
      </c>
      <c r="AA1364" s="4">
        <v>227</v>
      </c>
      <c r="AB1364" s="4">
        <v>5</v>
      </c>
      <c r="AC1364" s="4">
        <v>5</v>
      </c>
      <c r="AD1364" s="4">
        <v>12</v>
      </c>
      <c r="AE1364" s="4">
        <v>12</v>
      </c>
      <c r="AF1364" s="4">
        <v>2</v>
      </c>
      <c r="AG1364" s="4">
        <v>2</v>
      </c>
      <c r="AH1364" s="4">
        <v>1</v>
      </c>
      <c r="AI1364" s="4">
        <v>1</v>
      </c>
      <c r="AJ1364" s="4">
        <v>3</v>
      </c>
      <c r="AK1364" s="4">
        <v>3</v>
      </c>
      <c r="AL1364" s="4">
        <v>3</v>
      </c>
      <c r="AM1364" s="4">
        <v>3</v>
      </c>
      <c r="AN1364" s="4">
        <v>4</v>
      </c>
      <c r="AO1364" s="4">
        <v>4</v>
      </c>
      <c r="AP1364" s="3" t="s">
        <v>58</v>
      </c>
      <c r="AQ1364" s="3" t="s">
        <v>58</v>
      </c>
      <c r="AS1364" s="6" t="str">
        <f>HYPERLINK("https://creighton-primo.hosted.exlibrisgroup.com/primo-explore/search?tab=default_tab&amp;search_scope=EVERYTHING&amp;vid=01CRU&amp;lang=en_US&amp;offset=0&amp;query=any,contains,991004322109702656","Catalog Record")</f>
        <v>Catalog Record</v>
      </c>
      <c r="AT1364" s="6" t="str">
        <f>HYPERLINK("http://www.worldcat.org/oclc/3019870","WorldCat Record")</f>
        <v>WorldCat Record</v>
      </c>
      <c r="AU1364" s="3" t="s">
        <v>17659</v>
      </c>
      <c r="AV1364" s="3" t="s">
        <v>17660</v>
      </c>
      <c r="AW1364" s="3" t="s">
        <v>17661</v>
      </c>
      <c r="AX1364" s="3" t="s">
        <v>17661</v>
      </c>
      <c r="AY1364" s="3" t="s">
        <v>17662</v>
      </c>
      <c r="AZ1364" s="3" t="s">
        <v>74</v>
      </c>
      <c r="BB1364" s="3" t="s">
        <v>17663</v>
      </c>
      <c r="BC1364" s="3" t="s">
        <v>17664</v>
      </c>
      <c r="BD1364" s="3" t="s">
        <v>17665</v>
      </c>
    </row>
    <row r="1365" spans="1:56" ht="45.75" customHeight="1" x14ac:dyDescent="0.25">
      <c r="A1365" s="7" t="s">
        <v>58</v>
      </c>
      <c r="B1365" s="2" t="s">
        <v>17666</v>
      </c>
      <c r="C1365" s="2" t="s">
        <v>17667</v>
      </c>
      <c r="D1365" s="2" t="s">
        <v>17668</v>
      </c>
      <c r="F1365" s="3" t="s">
        <v>58</v>
      </c>
      <c r="G1365" s="3" t="s">
        <v>59</v>
      </c>
      <c r="H1365" s="3" t="s">
        <v>58</v>
      </c>
      <c r="I1365" s="3" t="s">
        <v>58</v>
      </c>
      <c r="J1365" s="3" t="s">
        <v>60</v>
      </c>
      <c r="L1365" s="2" t="s">
        <v>17669</v>
      </c>
      <c r="M1365" s="3" t="s">
        <v>1998</v>
      </c>
      <c r="O1365" s="3" t="s">
        <v>65</v>
      </c>
      <c r="P1365" s="3" t="s">
        <v>84</v>
      </c>
      <c r="Q1365" s="2" t="s">
        <v>13158</v>
      </c>
      <c r="R1365" s="3" t="s">
        <v>67</v>
      </c>
      <c r="S1365" s="4">
        <v>3</v>
      </c>
      <c r="T1365" s="4">
        <v>3</v>
      </c>
      <c r="U1365" s="5" t="s">
        <v>14909</v>
      </c>
      <c r="V1365" s="5" t="s">
        <v>14909</v>
      </c>
      <c r="W1365" s="5" t="s">
        <v>17101</v>
      </c>
      <c r="X1365" s="5" t="s">
        <v>17101</v>
      </c>
      <c r="Y1365" s="4">
        <v>202</v>
      </c>
      <c r="Z1365" s="4">
        <v>180</v>
      </c>
      <c r="AA1365" s="4">
        <v>181</v>
      </c>
      <c r="AB1365" s="4">
        <v>3</v>
      </c>
      <c r="AC1365" s="4">
        <v>3</v>
      </c>
      <c r="AD1365" s="4">
        <v>10</v>
      </c>
      <c r="AE1365" s="4">
        <v>10</v>
      </c>
      <c r="AF1365" s="4">
        <v>2</v>
      </c>
      <c r="AG1365" s="4">
        <v>2</v>
      </c>
      <c r="AH1365" s="4">
        <v>1</v>
      </c>
      <c r="AI1365" s="4">
        <v>1</v>
      </c>
      <c r="AJ1365" s="4">
        <v>2</v>
      </c>
      <c r="AK1365" s="4">
        <v>2</v>
      </c>
      <c r="AL1365" s="4">
        <v>1</v>
      </c>
      <c r="AM1365" s="4">
        <v>1</v>
      </c>
      <c r="AN1365" s="4">
        <v>5</v>
      </c>
      <c r="AO1365" s="4">
        <v>5</v>
      </c>
      <c r="AP1365" s="3" t="s">
        <v>58</v>
      </c>
      <c r="AQ1365" s="3" t="s">
        <v>58</v>
      </c>
      <c r="AS1365" s="6" t="str">
        <f>HYPERLINK("https://creighton-primo.hosted.exlibrisgroup.com/primo-explore/search?tab=default_tab&amp;search_scope=EVERYTHING&amp;vid=01CRU&amp;lang=en_US&amp;offset=0&amp;query=any,contains,991003606439702656","Catalog Record")</f>
        <v>Catalog Record</v>
      </c>
      <c r="AT1365" s="6" t="str">
        <f>HYPERLINK("http://www.worldcat.org/oclc/1186774","WorldCat Record")</f>
        <v>WorldCat Record</v>
      </c>
      <c r="AU1365" s="3" t="s">
        <v>17670</v>
      </c>
      <c r="AV1365" s="3" t="s">
        <v>17671</v>
      </c>
      <c r="AW1365" s="3" t="s">
        <v>17672</v>
      </c>
      <c r="AX1365" s="3" t="s">
        <v>17672</v>
      </c>
      <c r="AY1365" s="3" t="s">
        <v>17673</v>
      </c>
      <c r="AZ1365" s="3" t="s">
        <v>74</v>
      </c>
      <c r="BB1365" s="3" t="s">
        <v>17674</v>
      </c>
      <c r="BC1365" s="3" t="s">
        <v>17675</v>
      </c>
      <c r="BD1365" s="3" t="s">
        <v>17676</v>
      </c>
    </row>
    <row r="1366" spans="1:56" ht="45.75" customHeight="1" x14ac:dyDescent="0.25">
      <c r="A1366" s="7" t="s">
        <v>58</v>
      </c>
      <c r="B1366" s="2" t="s">
        <v>17677</v>
      </c>
      <c r="C1366" s="2" t="s">
        <v>17678</v>
      </c>
      <c r="D1366" s="2" t="s">
        <v>17679</v>
      </c>
      <c r="F1366" s="3" t="s">
        <v>58</v>
      </c>
      <c r="G1366" s="3" t="s">
        <v>59</v>
      </c>
      <c r="H1366" s="3" t="s">
        <v>58</v>
      </c>
      <c r="I1366" s="3" t="s">
        <v>58</v>
      </c>
      <c r="J1366" s="3" t="s">
        <v>60</v>
      </c>
      <c r="K1366" s="2" t="s">
        <v>17680</v>
      </c>
      <c r="L1366" s="2" t="s">
        <v>17681</v>
      </c>
      <c r="M1366" s="3" t="s">
        <v>220</v>
      </c>
      <c r="O1366" s="3" t="s">
        <v>65</v>
      </c>
      <c r="P1366" s="3" t="s">
        <v>84</v>
      </c>
      <c r="R1366" s="3" t="s">
        <v>67</v>
      </c>
      <c r="S1366" s="4">
        <v>4</v>
      </c>
      <c r="T1366" s="4">
        <v>4</v>
      </c>
      <c r="U1366" s="5" t="s">
        <v>11233</v>
      </c>
      <c r="V1366" s="5" t="s">
        <v>11233</v>
      </c>
      <c r="W1366" s="5" t="s">
        <v>17682</v>
      </c>
      <c r="X1366" s="5" t="s">
        <v>17682</v>
      </c>
      <c r="Y1366" s="4">
        <v>617</v>
      </c>
      <c r="Z1366" s="4">
        <v>597</v>
      </c>
      <c r="AA1366" s="4">
        <v>789</v>
      </c>
      <c r="AB1366" s="4">
        <v>5</v>
      </c>
      <c r="AC1366" s="4">
        <v>5</v>
      </c>
      <c r="AD1366" s="4">
        <v>28</v>
      </c>
      <c r="AE1366" s="4">
        <v>32</v>
      </c>
      <c r="AF1366" s="4">
        <v>8</v>
      </c>
      <c r="AG1366" s="4">
        <v>10</v>
      </c>
      <c r="AH1366" s="4">
        <v>6</v>
      </c>
      <c r="AI1366" s="4">
        <v>7</v>
      </c>
      <c r="AJ1366" s="4">
        <v>14</v>
      </c>
      <c r="AK1366" s="4">
        <v>16</v>
      </c>
      <c r="AL1366" s="4">
        <v>4</v>
      </c>
      <c r="AM1366" s="4">
        <v>4</v>
      </c>
      <c r="AN1366" s="4">
        <v>4</v>
      </c>
      <c r="AO1366" s="4">
        <v>4</v>
      </c>
      <c r="AP1366" s="3" t="s">
        <v>58</v>
      </c>
      <c r="AQ1366" s="3" t="s">
        <v>87</v>
      </c>
      <c r="AR1366" s="6" t="str">
        <f>HYPERLINK("http://catalog.hathitrust.org/Record/004032551","HathiTrust Record")</f>
        <v>HathiTrust Record</v>
      </c>
      <c r="AS1366" s="6" t="str">
        <f>HYPERLINK("https://creighton-primo.hosted.exlibrisgroup.com/primo-explore/search?tab=default_tab&amp;search_scope=EVERYTHING&amp;vid=01CRU&amp;lang=en_US&amp;offset=0&amp;query=any,contains,991003003799702656","Catalog Record")</f>
        <v>Catalog Record</v>
      </c>
      <c r="AT1366" s="6" t="str">
        <f>HYPERLINK("http://www.worldcat.org/oclc/40698539","WorldCat Record")</f>
        <v>WorldCat Record</v>
      </c>
      <c r="AU1366" s="3" t="s">
        <v>17683</v>
      </c>
      <c r="AV1366" s="3" t="s">
        <v>17684</v>
      </c>
      <c r="AW1366" s="3" t="s">
        <v>17685</v>
      </c>
      <c r="AX1366" s="3" t="s">
        <v>17685</v>
      </c>
      <c r="AY1366" s="3" t="s">
        <v>17686</v>
      </c>
      <c r="AZ1366" s="3" t="s">
        <v>74</v>
      </c>
      <c r="BB1366" s="3" t="s">
        <v>17687</v>
      </c>
      <c r="BC1366" s="3" t="s">
        <v>17688</v>
      </c>
      <c r="BD1366" s="3" t="s">
        <v>17689</v>
      </c>
    </row>
    <row r="1367" spans="1:56" ht="45.75" customHeight="1" x14ac:dyDescent="0.25">
      <c r="A1367" s="7" t="s">
        <v>58</v>
      </c>
      <c r="B1367" s="2" t="s">
        <v>17690</v>
      </c>
      <c r="C1367" s="2" t="s">
        <v>17691</v>
      </c>
      <c r="D1367" s="2" t="s">
        <v>17692</v>
      </c>
      <c r="F1367" s="3" t="s">
        <v>58</v>
      </c>
      <c r="G1367" s="3" t="s">
        <v>59</v>
      </c>
      <c r="H1367" s="3" t="s">
        <v>58</v>
      </c>
      <c r="I1367" s="3" t="s">
        <v>58</v>
      </c>
      <c r="J1367" s="3" t="s">
        <v>60</v>
      </c>
      <c r="K1367" s="2" t="s">
        <v>17693</v>
      </c>
      <c r="L1367" s="2" t="s">
        <v>17694</v>
      </c>
      <c r="M1367" s="3" t="s">
        <v>1088</v>
      </c>
      <c r="O1367" s="3" t="s">
        <v>65</v>
      </c>
      <c r="P1367" s="3" t="s">
        <v>132</v>
      </c>
      <c r="R1367" s="3" t="s">
        <v>67</v>
      </c>
      <c r="S1367" s="4">
        <v>9</v>
      </c>
      <c r="T1367" s="4">
        <v>9</v>
      </c>
      <c r="U1367" s="5" t="s">
        <v>5410</v>
      </c>
      <c r="V1367" s="5" t="s">
        <v>5410</v>
      </c>
      <c r="W1367" s="5" t="s">
        <v>17695</v>
      </c>
      <c r="X1367" s="5" t="s">
        <v>17695</v>
      </c>
      <c r="Y1367" s="4">
        <v>604</v>
      </c>
      <c r="Z1367" s="4">
        <v>475</v>
      </c>
      <c r="AA1367" s="4">
        <v>481</v>
      </c>
      <c r="AB1367" s="4">
        <v>5</v>
      </c>
      <c r="AC1367" s="4">
        <v>5</v>
      </c>
      <c r="AD1367" s="4">
        <v>26</v>
      </c>
      <c r="AE1367" s="4">
        <v>26</v>
      </c>
      <c r="AF1367" s="4">
        <v>8</v>
      </c>
      <c r="AG1367" s="4">
        <v>8</v>
      </c>
      <c r="AH1367" s="4">
        <v>6</v>
      </c>
      <c r="AI1367" s="4">
        <v>6</v>
      </c>
      <c r="AJ1367" s="4">
        <v>15</v>
      </c>
      <c r="AK1367" s="4">
        <v>15</v>
      </c>
      <c r="AL1367" s="4">
        <v>4</v>
      </c>
      <c r="AM1367" s="4">
        <v>4</v>
      </c>
      <c r="AN1367" s="4">
        <v>0</v>
      </c>
      <c r="AO1367" s="4">
        <v>0</v>
      </c>
      <c r="AP1367" s="3" t="s">
        <v>58</v>
      </c>
      <c r="AQ1367" s="3" t="s">
        <v>87</v>
      </c>
      <c r="AR1367" s="6" t="str">
        <f>HYPERLINK("http://catalog.hathitrust.org/Record/000368130","HathiTrust Record")</f>
        <v>HathiTrust Record</v>
      </c>
      <c r="AS1367" s="6" t="str">
        <f>HYPERLINK("https://creighton-primo.hosted.exlibrisgroup.com/primo-explore/search?tab=default_tab&amp;search_scope=EVERYTHING&amp;vid=01CRU&amp;lang=en_US&amp;offset=0&amp;query=any,contains,991000523449702656","Catalog Record")</f>
        <v>Catalog Record</v>
      </c>
      <c r="AT1367" s="6" t="str">
        <f>HYPERLINK("http://www.worldcat.org/oclc/11346477","WorldCat Record")</f>
        <v>WorldCat Record</v>
      </c>
      <c r="AU1367" s="3" t="s">
        <v>17696</v>
      </c>
      <c r="AV1367" s="3" t="s">
        <v>17697</v>
      </c>
      <c r="AW1367" s="3" t="s">
        <v>17698</v>
      </c>
      <c r="AX1367" s="3" t="s">
        <v>17698</v>
      </c>
      <c r="AY1367" s="3" t="s">
        <v>17699</v>
      </c>
      <c r="AZ1367" s="3" t="s">
        <v>74</v>
      </c>
      <c r="BB1367" s="3" t="s">
        <v>17700</v>
      </c>
      <c r="BC1367" s="3" t="s">
        <v>17701</v>
      </c>
      <c r="BD1367" s="3" t="s">
        <v>17702</v>
      </c>
    </row>
    <row r="1368" spans="1:56" ht="45.75" customHeight="1" x14ac:dyDescent="0.25">
      <c r="A1368" s="7" t="s">
        <v>58</v>
      </c>
      <c r="B1368" s="2" t="s">
        <v>17703</v>
      </c>
      <c r="C1368" s="2" t="s">
        <v>17704</v>
      </c>
      <c r="D1368" s="2" t="s">
        <v>17705</v>
      </c>
      <c r="F1368" s="3" t="s">
        <v>58</v>
      </c>
      <c r="G1368" s="3" t="s">
        <v>59</v>
      </c>
      <c r="H1368" s="3" t="s">
        <v>58</v>
      </c>
      <c r="I1368" s="3" t="s">
        <v>58</v>
      </c>
      <c r="J1368" s="3" t="s">
        <v>60</v>
      </c>
      <c r="K1368" s="2" t="s">
        <v>17693</v>
      </c>
      <c r="L1368" s="2" t="s">
        <v>17706</v>
      </c>
      <c r="M1368" s="3" t="s">
        <v>742</v>
      </c>
      <c r="O1368" s="3" t="s">
        <v>65</v>
      </c>
      <c r="P1368" s="3" t="s">
        <v>84</v>
      </c>
      <c r="Q1368" s="2" t="s">
        <v>13442</v>
      </c>
      <c r="R1368" s="3" t="s">
        <v>67</v>
      </c>
      <c r="S1368" s="4">
        <v>15</v>
      </c>
      <c r="T1368" s="4">
        <v>15</v>
      </c>
      <c r="U1368" s="5" t="s">
        <v>5410</v>
      </c>
      <c r="V1368" s="5" t="s">
        <v>5410</v>
      </c>
      <c r="W1368" s="5" t="s">
        <v>17707</v>
      </c>
      <c r="X1368" s="5" t="s">
        <v>17707</v>
      </c>
      <c r="Y1368" s="4">
        <v>345</v>
      </c>
      <c r="Z1368" s="4">
        <v>263</v>
      </c>
      <c r="AA1368" s="4">
        <v>285</v>
      </c>
      <c r="AB1368" s="4">
        <v>3</v>
      </c>
      <c r="AC1368" s="4">
        <v>3</v>
      </c>
      <c r="AD1368" s="4">
        <v>14</v>
      </c>
      <c r="AE1368" s="4">
        <v>16</v>
      </c>
      <c r="AF1368" s="4">
        <v>2</v>
      </c>
      <c r="AG1368" s="4">
        <v>4</v>
      </c>
      <c r="AH1368" s="4">
        <v>5</v>
      </c>
      <c r="AI1368" s="4">
        <v>5</v>
      </c>
      <c r="AJ1368" s="4">
        <v>10</v>
      </c>
      <c r="AK1368" s="4">
        <v>11</v>
      </c>
      <c r="AL1368" s="4">
        <v>2</v>
      </c>
      <c r="AM1368" s="4">
        <v>2</v>
      </c>
      <c r="AN1368" s="4">
        <v>0</v>
      </c>
      <c r="AO1368" s="4">
        <v>0</v>
      </c>
      <c r="AP1368" s="3" t="s">
        <v>58</v>
      </c>
      <c r="AQ1368" s="3" t="s">
        <v>87</v>
      </c>
      <c r="AR1368" s="6" t="str">
        <f>HYPERLINK("http://catalog.hathitrust.org/Record/001814901","HathiTrust Record")</f>
        <v>HathiTrust Record</v>
      </c>
      <c r="AS1368" s="6" t="str">
        <f>HYPERLINK("https://creighton-primo.hosted.exlibrisgroup.com/primo-explore/search?tab=default_tab&amp;search_scope=EVERYTHING&amp;vid=01CRU&amp;lang=en_US&amp;offset=0&amp;query=any,contains,991001394189702656","Catalog Record")</f>
        <v>Catalog Record</v>
      </c>
      <c r="AT1368" s="6" t="str">
        <f>HYPERLINK("http://www.worldcat.org/oclc/18780296","WorldCat Record")</f>
        <v>WorldCat Record</v>
      </c>
      <c r="AU1368" s="3" t="s">
        <v>17708</v>
      </c>
      <c r="AV1368" s="3" t="s">
        <v>17709</v>
      </c>
      <c r="AW1368" s="3" t="s">
        <v>17710</v>
      </c>
      <c r="AX1368" s="3" t="s">
        <v>17710</v>
      </c>
      <c r="AY1368" s="3" t="s">
        <v>17711</v>
      </c>
      <c r="AZ1368" s="3" t="s">
        <v>74</v>
      </c>
      <c r="BB1368" s="3" t="s">
        <v>17712</v>
      </c>
      <c r="BC1368" s="3" t="s">
        <v>17713</v>
      </c>
      <c r="BD1368" s="3" t="s">
        <v>17714</v>
      </c>
    </row>
    <row r="1369" spans="1:56" ht="45.75" customHeight="1" x14ac:dyDescent="0.25">
      <c r="A1369" s="7" t="s">
        <v>58</v>
      </c>
      <c r="B1369" s="2" t="s">
        <v>17715</v>
      </c>
      <c r="C1369" s="2" t="s">
        <v>17716</v>
      </c>
      <c r="D1369" s="2" t="s">
        <v>17717</v>
      </c>
      <c r="F1369" s="3" t="s">
        <v>58</v>
      </c>
      <c r="G1369" s="3" t="s">
        <v>59</v>
      </c>
      <c r="H1369" s="3" t="s">
        <v>58</v>
      </c>
      <c r="I1369" s="3" t="s">
        <v>58</v>
      </c>
      <c r="J1369" s="3" t="s">
        <v>60</v>
      </c>
      <c r="K1369" s="2" t="s">
        <v>17718</v>
      </c>
      <c r="L1369" s="2" t="s">
        <v>17719</v>
      </c>
      <c r="M1369" s="3" t="s">
        <v>116</v>
      </c>
      <c r="N1369" s="2" t="s">
        <v>2892</v>
      </c>
      <c r="O1369" s="3" t="s">
        <v>65</v>
      </c>
      <c r="P1369" s="3" t="s">
        <v>336</v>
      </c>
      <c r="R1369" s="3" t="s">
        <v>67</v>
      </c>
      <c r="S1369" s="4">
        <v>6</v>
      </c>
      <c r="T1369" s="4">
        <v>6</v>
      </c>
      <c r="U1369" s="5" t="s">
        <v>6699</v>
      </c>
      <c r="V1369" s="5" t="s">
        <v>6699</v>
      </c>
      <c r="W1369" s="5" t="s">
        <v>17720</v>
      </c>
      <c r="X1369" s="5" t="s">
        <v>17720</v>
      </c>
      <c r="Y1369" s="4">
        <v>28</v>
      </c>
      <c r="Z1369" s="4">
        <v>24</v>
      </c>
      <c r="AA1369" s="4">
        <v>777</v>
      </c>
      <c r="AB1369" s="4">
        <v>1</v>
      </c>
      <c r="AC1369" s="4">
        <v>5</v>
      </c>
      <c r="AD1369" s="4">
        <v>1</v>
      </c>
      <c r="AE1369" s="4">
        <v>40</v>
      </c>
      <c r="AF1369" s="4">
        <v>0</v>
      </c>
      <c r="AG1369" s="4">
        <v>16</v>
      </c>
      <c r="AH1369" s="4">
        <v>0</v>
      </c>
      <c r="AI1369" s="4">
        <v>8</v>
      </c>
      <c r="AJ1369" s="4">
        <v>1</v>
      </c>
      <c r="AK1369" s="4">
        <v>16</v>
      </c>
      <c r="AL1369" s="4">
        <v>0</v>
      </c>
      <c r="AM1369" s="4">
        <v>4</v>
      </c>
      <c r="AN1369" s="4">
        <v>0</v>
      </c>
      <c r="AO1369" s="4">
        <v>6</v>
      </c>
      <c r="AP1369" s="3" t="s">
        <v>58</v>
      </c>
      <c r="AQ1369" s="3" t="s">
        <v>58</v>
      </c>
      <c r="AS1369" s="6" t="str">
        <f>HYPERLINK("https://creighton-primo.hosted.exlibrisgroup.com/primo-explore/search?tab=default_tab&amp;search_scope=EVERYTHING&amp;vid=01CRU&amp;lang=en_US&amp;offset=0&amp;query=any,contains,991003027149702656","Catalog Record")</f>
        <v>Catalog Record</v>
      </c>
      <c r="AT1369" s="6" t="str">
        <f>HYPERLINK("http://www.worldcat.org/oclc/41391118","WorldCat Record")</f>
        <v>WorldCat Record</v>
      </c>
      <c r="AU1369" s="3" t="s">
        <v>17721</v>
      </c>
      <c r="AV1369" s="3" t="s">
        <v>17722</v>
      </c>
      <c r="AW1369" s="3" t="s">
        <v>17723</v>
      </c>
      <c r="AX1369" s="3" t="s">
        <v>17723</v>
      </c>
      <c r="AY1369" s="3" t="s">
        <v>17724</v>
      </c>
      <c r="AZ1369" s="3" t="s">
        <v>74</v>
      </c>
      <c r="BB1369" s="3" t="s">
        <v>17725</v>
      </c>
      <c r="BC1369" s="3" t="s">
        <v>17726</v>
      </c>
      <c r="BD1369" s="3" t="s">
        <v>17727</v>
      </c>
    </row>
    <row r="1370" spans="1:56" ht="45.75" customHeight="1" x14ac:dyDescent="0.25">
      <c r="A1370" s="7" t="s">
        <v>58</v>
      </c>
      <c r="B1370" s="2" t="s">
        <v>17728</v>
      </c>
      <c r="C1370" s="2" t="s">
        <v>17729</v>
      </c>
      <c r="D1370" s="2" t="s">
        <v>17730</v>
      </c>
      <c r="F1370" s="3" t="s">
        <v>58</v>
      </c>
      <c r="G1370" s="3" t="s">
        <v>59</v>
      </c>
      <c r="H1370" s="3" t="s">
        <v>58</v>
      </c>
      <c r="I1370" s="3" t="s">
        <v>58</v>
      </c>
      <c r="J1370" s="3" t="s">
        <v>60</v>
      </c>
      <c r="L1370" s="2" t="s">
        <v>17731</v>
      </c>
      <c r="M1370" s="3" t="s">
        <v>1209</v>
      </c>
      <c r="O1370" s="3" t="s">
        <v>65</v>
      </c>
      <c r="P1370" s="3" t="s">
        <v>84</v>
      </c>
      <c r="Q1370" s="2" t="s">
        <v>17732</v>
      </c>
      <c r="R1370" s="3" t="s">
        <v>67</v>
      </c>
      <c r="S1370" s="4">
        <v>14</v>
      </c>
      <c r="T1370" s="4">
        <v>14</v>
      </c>
      <c r="U1370" s="5" t="s">
        <v>17733</v>
      </c>
      <c r="V1370" s="5" t="s">
        <v>17733</v>
      </c>
      <c r="W1370" s="5" t="s">
        <v>17695</v>
      </c>
      <c r="X1370" s="5" t="s">
        <v>17695</v>
      </c>
      <c r="Y1370" s="4">
        <v>594</v>
      </c>
      <c r="Z1370" s="4">
        <v>479</v>
      </c>
      <c r="AA1370" s="4">
        <v>487</v>
      </c>
      <c r="AB1370" s="4">
        <v>5</v>
      </c>
      <c r="AC1370" s="4">
        <v>5</v>
      </c>
      <c r="AD1370" s="4">
        <v>26</v>
      </c>
      <c r="AE1370" s="4">
        <v>26</v>
      </c>
      <c r="AF1370" s="4">
        <v>9</v>
      </c>
      <c r="AG1370" s="4">
        <v>9</v>
      </c>
      <c r="AH1370" s="4">
        <v>6</v>
      </c>
      <c r="AI1370" s="4">
        <v>6</v>
      </c>
      <c r="AJ1370" s="4">
        <v>12</v>
      </c>
      <c r="AK1370" s="4">
        <v>12</v>
      </c>
      <c r="AL1370" s="4">
        <v>4</v>
      </c>
      <c r="AM1370" s="4">
        <v>4</v>
      </c>
      <c r="AN1370" s="4">
        <v>1</v>
      </c>
      <c r="AO1370" s="4">
        <v>1</v>
      </c>
      <c r="AP1370" s="3" t="s">
        <v>58</v>
      </c>
      <c r="AQ1370" s="3" t="s">
        <v>87</v>
      </c>
      <c r="AR1370" s="6" t="str">
        <f>HYPERLINK("http://catalog.hathitrust.org/Record/000852467","HathiTrust Record")</f>
        <v>HathiTrust Record</v>
      </c>
      <c r="AS1370" s="6" t="str">
        <f>HYPERLINK("https://creighton-primo.hosted.exlibrisgroup.com/primo-explore/search?tab=default_tab&amp;search_scope=EVERYTHING&amp;vid=01CRU&amp;lang=en_US&amp;offset=0&amp;query=any,contains,991000987139702656","Catalog Record")</f>
        <v>Catalog Record</v>
      </c>
      <c r="AT1370" s="6" t="str">
        <f>HYPERLINK("http://www.worldcat.org/oclc/15082992","WorldCat Record")</f>
        <v>WorldCat Record</v>
      </c>
      <c r="AU1370" s="3" t="s">
        <v>17734</v>
      </c>
      <c r="AV1370" s="3" t="s">
        <v>17735</v>
      </c>
      <c r="AW1370" s="3" t="s">
        <v>17736</v>
      </c>
      <c r="AX1370" s="3" t="s">
        <v>17736</v>
      </c>
      <c r="AY1370" s="3" t="s">
        <v>17737</v>
      </c>
      <c r="AZ1370" s="3" t="s">
        <v>74</v>
      </c>
      <c r="BB1370" s="3" t="s">
        <v>17738</v>
      </c>
      <c r="BC1370" s="3" t="s">
        <v>17739</v>
      </c>
      <c r="BD1370" s="3" t="s">
        <v>17740</v>
      </c>
    </row>
    <row r="1371" spans="1:56" ht="45.75" customHeight="1" x14ac:dyDescent="0.25">
      <c r="A1371" s="7" t="s">
        <v>58</v>
      </c>
      <c r="B1371" s="2" t="s">
        <v>17741</v>
      </c>
      <c r="C1371" s="2" t="s">
        <v>17742</v>
      </c>
      <c r="D1371" s="2" t="s">
        <v>17743</v>
      </c>
      <c r="F1371" s="3" t="s">
        <v>58</v>
      </c>
      <c r="G1371" s="3" t="s">
        <v>59</v>
      </c>
      <c r="H1371" s="3" t="s">
        <v>87</v>
      </c>
      <c r="I1371" s="3" t="s">
        <v>58</v>
      </c>
      <c r="J1371" s="3" t="s">
        <v>60</v>
      </c>
      <c r="L1371" s="2" t="s">
        <v>6477</v>
      </c>
      <c r="M1371" s="3" t="s">
        <v>1485</v>
      </c>
      <c r="O1371" s="3" t="s">
        <v>65</v>
      </c>
      <c r="P1371" s="3" t="s">
        <v>132</v>
      </c>
      <c r="Q1371" s="2" t="s">
        <v>17744</v>
      </c>
      <c r="R1371" s="3" t="s">
        <v>67</v>
      </c>
      <c r="S1371" s="4">
        <v>10</v>
      </c>
      <c r="T1371" s="4">
        <v>16</v>
      </c>
      <c r="U1371" s="5" t="s">
        <v>2532</v>
      </c>
      <c r="V1371" s="5" t="s">
        <v>2532</v>
      </c>
      <c r="W1371" s="5" t="s">
        <v>17695</v>
      </c>
      <c r="X1371" s="5" t="s">
        <v>15946</v>
      </c>
      <c r="Y1371" s="4">
        <v>672</v>
      </c>
      <c r="Z1371" s="4">
        <v>578</v>
      </c>
      <c r="AA1371" s="4">
        <v>590</v>
      </c>
      <c r="AB1371" s="4">
        <v>10</v>
      </c>
      <c r="AC1371" s="4">
        <v>10</v>
      </c>
      <c r="AD1371" s="4">
        <v>39</v>
      </c>
      <c r="AE1371" s="4">
        <v>39</v>
      </c>
      <c r="AF1371" s="4">
        <v>10</v>
      </c>
      <c r="AG1371" s="4">
        <v>10</v>
      </c>
      <c r="AH1371" s="4">
        <v>9</v>
      </c>
      <c r="AI1371" s="4">
        <v>9</v>
      </c>
      <c r="AJ1371" s="4">
        <v>10</v>
      </c>
      <c r="AK1371" s="4">
        <v>10</v>
      </c>
      <c r="AL1371" s="4">
        <v>7</v>
      </c>
      <c r="AM1371" s="4">
        <v>7</v>
      </c>
      <c r="AN1371" s="4">
        <v>10</v>
      </c>
      <c r="AO1371" s="4">
        <v>10</v>
      </c>
      <c r="AP1371" s="3" t="s">
        <v>58</v>
      </c>
      <c r="AQ1371" s="3" t="s">
        <v>87</v>
      </c>
      <c r="AR1371" s="6" t="str">
        <f>HYPERLINK("http://catalog.hathitrust.org/Record/000684583","HathiTrust Record")</f>
        <v>HathiTrust Record</v>
      </c>
      <c r="AS1371" s="6" t="str">
        <f>HYPERLINK("https://creighton-primo.hosted.exlibrisgroup.com/primo-explore/search?tab=default_tab&amp;search_scope=EVERYTHING&amp;vid=01CRU&amp;lang=en_US&amp;offset=0&amp;query=any,contains,991001759489702656","Catalog Record")</f>
        <v>Catalog Record</v>
      </c>
      <c r="AT1371" s="6" t="str">
        <f>HYPERLINK("http://www.worldcat.org/oclc/2281942","WorldCat Record")</f>
        <v>WorldCat Record</v>
      </c>
      <c r="AU1371" s="3" t="s">
        <v>17745</v>
      </c>
      <c r="AV1371" s="3" t="s">
        <v>17746</v>
      </c>
      <c r="AW1371" s="3" t="s">
        <v>17747</v>
      </c>
      <c r="AX1371" s="3" t="s">
        <v>17747</v>
      </c>
      <c r="AY1371" s="3" t="s">
        <v>17748</v>
      </c>
      <c r="AZ1371" s="3" t="s">
        <v>74</v>
      </c>
      <c r="BB1371" s="3" t="s">
        <v>17749</v>
      </c>
      <c r="BC1371" s="3" t="s">
        <v>17750</v>
      </c>
      <c r="BD1371" s="3" t="s">
        <v>17751</v>
      </c>
    </row>
    <row r="1372" spans="1:56" ht="45.75" customHeight="1" x14ac:dyDescent="0.25">
      <c r="A1372" s="7" t="s">
        <v>58</v>
      </c>
      <c r="B1372" s="2" t="s">
        <v>17752</v>
      </c>
      <c r="C1372" s="2" t="s">
        <v>17753</v>
      </c>
      <c r="D1372" s="2" t="s">
        <v>17754</v>
      </c>
      <c r="F1372" s="3" t="s">
        <v>58</v>
      </c>
      <c r="G1372" s="3" t="s">
        <v>59</v>
      </c>
      <c r="H1372" s="3" t="s">
        <v>58</v>
      </c>
      <c r="I1372" s="3" t="s">
        <v>58</v>
      </c>
      <c r="J1372" s="3" t="s">
        <v>60</v>
      </c>
      <c r="K1372" s="2" t="s">
        <v>17755</v>
      </c>
      <c r="L1372" s="2" t="s">
        <v>17756</v>
      </c>
      <c r="M1372" s="3" t="s">
        <v>1485</v>
      </c>
      <c r="O1372" s="3" t="s">
        <v>65</v>
      </c>
      <c r="P1372" s="3" t="s">
        <v>148</v>
      </c>
      <c r="R1372" s="3" t="s">
        <v>67</v>
      </c>
      <c r="S1372" s="4">
        <v>9</v>
      </c>
      <c r="T1372" s="4">
        <v>9</v>
      </c>
      <c r="U1372" s="5" t="s">
        <v>2532</v>
      </c>
      <c r="V1372" s="5" t="s">
        <v>2532</v>
      </c>
      <c r="W1372" s="5" t="s">
        <v>9244</v>
      </c>
      <c r="X1372" s="5" t="s">
        <v>9244</v>
      </c>
      <c r="Y1372" s="4">
        <v>392</v>
      </c>
      <c r="Z1372" s="4">
        <v>363</v>
      </c>
      <c r="AA1372" s="4">
        <v>370</v>
      </c>
      <c r="AB1372" s="4">
        <v>6</v>
      </c>
      <c r="AC1372" s="4">
        <v>6</v>
      </c>
      <c r="AD1372" s="4">
        <v>19</v>
      </c>
      <c r="AE1372" s="4">
        <v>19</v>
      </c>
      <c r="AF1372" s="4">
        <v>6</v>
      </c>
      <c r="AG1372" s="4">
        <v>6</v>
      </c>
      <c r="AH1372" s="4">
        <v>3</v>
      </c>
      <c r="AI1372" s="4">
        <v>3</v>
      </c>
      <c r="AJ1372" s="4">
        <v>3</v>
      </c>
      <c r="AK1372" s="4">
        <v>3</v>
      </c>
      <c r="AL1372" s="4">
        <v>4</v>
      </c>
      <c r="AM1372" s="4">
        <v>4</v>
      </c>
      <c r="AN1372" s="4">
        <v>4</v>
      </c>
      <c r="AO1372" s="4">
        <v>4</v>
      </c>
      <c r="AP1372" s="3" t="s">
        <v>58</v>
      </c>
      <c r="AQ1372" s="3" t="s">
        <v>58</v>
      </c>
      <c r="AS1372" s="6" t="str">
        <f>HYPERLINK("https://creighton-primo.hosted.exlibrisgroup.com/primo-explore/search?tab=default_tab&amp;search_scope=EVERYTHING&amp;vid=01CRU&amp;lang=en_US&amp;offset=0&amp;query=any,contains,991004051009702656","Catalog Record")</f>
        <v>Catalog Record</v>
      </c>
      <c r="AT1372" s="6" t="str">
        <f>HYPERLINK("http://www.worldcat.org/oclc/2212883","WorldCat Record")</f>
        <v>WorldCat Record</v>
      </c>
      <c r="AU1372" s="3" t="s">
        <v>17757</v>
      </c>
      <c r="AV1372" s="3" t="s">
        <v>17758</v>
      </c>
      <c r="AW1372" s="3" t="s">
        <v>17759</v>
      </c>
      <c r="AX1372" s="3" t="s">
        <v>17759</v>
      </c>
      <c r="AY1372" s="3" t="s">
        <v>17760</v>
      </c>
      <c r="AZ1372" s="3" t="s">
        <v>74</v>
      </c>
      <c r="BB1372" s="3" t="s">
        <v>17761</v>
      </c>
      <c r="BC1372" s="3" t="s">
        <v>17762</v>
      </c>
      <c r="BD1372" s="3" t="s">
        <v>17763</v>
      </c>
    </row>
    <row r="1373" spans="1:56" ht="45.75" customHeight="1" x14ac:dyDescent="0.25">
      <c r="A1373" s="7" t="s">
        <v>58</v>
      </c>
      <c r="B1373" s="2" t="s">
        <v>17764</v>
      </c>
      <c r="C1373" s="2" t="s">
        <v>17765</v>
      </c>
      <c r="D1373" s="2" t="s">
        <v>17766</v>
      </c>
      <c r="F1373" s="3" t="s">
        <v>58</v>
      </c>
      <c r="G1373" s="3" t="s">
        <v>59</v>
      </c>
      <c r="H1373" s="3" t="s">
        <v>58</v>
      </c>
      <c r="I1373" s="3" t="s">
        <v>58</v>
      </c>
      <c r="J1373" s="3" t="s">
        <v>60</v>
      </c>
      <c r="K1373" s="2" t="s">
        <v>17767</v>
      </c>
      <c r="L1373" s="2" t="s">
        <v>17768</v>
      </c>
      <c r="M1373" s="3" t="s">
        <v>116</v>
      </c>
      <c r="O1373" s="3" t="s">
        <v>65</v>
      </c>
      <c r="P1373" s="3" t="s">
        <v>587</v>
      </c>
      <c r="R1373" s="3" t="s">
        <v>67</v>
      </c>
      <c r="S1373" s="4">
        <v>2</v>
      </c>
      <c r="T1373" s="4">
        <v>2</v>
      </c>
      <c r="U1373" s="5" t="s">
        <v>574</v>
      </c>
      <c r="V1373" s="5" t="s">
        <v>574</v>
      </c>
      <c r="W1373" s="5" t="s">
        <v>17769</v>
      </c>
      <c r="X1373" s="5" t="s">
        <v>17769</v>
      </c>
      <c r="Y1373" s="4">
        <v>1220</v>
      </c>
      <c r="Z1373" s="4">
        <v>1148</v>
      </c>
      <c r="AA1373" s="4">
        <v>1205</v>
      </c>
      <c r="AB1373" s="4">
        <v>12</v>
      </c>
      <c r="AC1373" s="4">
        <v>13</v>
      </c>
      <c r="AD1373" s="4">
        <v>25</v>
      </c>
      <c r="AE1373" s="4">
        <v>25</v>
      </c>
      <c r="AF1373" s="4">
        <v>11</v>
      </c>
      <c r="AG1373" s="4">
        <v>11</v>
      </c>
      <c r="AH1373" s="4">
        <v>4</v>
      </c>
      <c r="AI1373" s="4">
        <v>4</v>
      </c>
      <c r="AJ1373" s="4">
        <v>12</v>
      </c>
      <c r="AK1373" s="4">
        <v>12</v>
      </c>
      <c r="AL1373" s="4">
        <v>4</v>
      </c>
      <c r="AM1373" s="4">
        <v>4</v>
      </c>
      <c r="AN1373" s="4">
        <v>0</v>
      </c>
      <c r="AO1373" s="4">
        <v>0</v>
      </c>
      <c r="AP1373" s="3" t="s">
        <v>58</v>
      </c>
      <c r="AQ1373" s="3" t="s">
        <v>87</v>
      </c>
      <c r="AR1373" s="6" t="str">
        <f>HYPERLINK("http://catalog.hathitrust.org/Record/004011083","HathiTrust Record")</f>
        <v>HathiTrust Record</v>
      </c>
      <c r="AS1373" s="6" t="str">
        <f>HYPERLINK("https://creighton-primo.hosted.exlibrisgroup.com/primo-explore/search?tab=default_tab&amp;search_scope=EVERYTHING&amp;vid=01CRU&amp;lang=en_US&amp;offset=0&amp;query=any,contains,991002936709702656","Catalog Record")</f>
        <v>Catalog Record</v>
      </c>
      <c r="AT1373" s="6" t="str">
        <f>HYPERLINK("http://www.worldcat.org/oclc/39060703","WorldCat Record")</f>
        <v>WorldCat Record</v>
      </c>
      <c r="AU1373" s="3" t="s">
        <v>17770</v>
      </c>
      <c r="AV1373" s="3" t="s">
        <v>17771</v>
      </c>
      <c r="AW1373" s="3" t="s">
        <v>17772</v>
      </c>
      <c r="AX1373" s="3" t="s">
        <v>17772</v>
      </c>
      <c r="AY1373" s="3" t="s">
        <v>17773</v>
      </c>
      <c r="AZ1373" s="3" t="s">
        <v>74</v>
      </c>
      <c r="BB1373" s="3" t="s">
        <v>17774</v>
      </c>
      <c r="BC1373" s="3" t="s">
        <v>17775</v>
      </c>
      <c r="BD1373" s="3" t="s">
        <v>17776</v>
      </c>
    </row>
    <row r="1374" spans="1:56" ht="45.75" customHeight="1" x14ac:dyDescent="0.25">
      <c r="A1374" s="7" t="s">
        <v>58</v>
      </c>
      <c r="B1374" s="2" t="s">
        <v>17777</v>
      </c>
      <c r="C1374" s="2" t="s">
        <v>17778</v>
      </c>
      <c r="D1374" s="2" t="s">
        <v>17779</v>
      </c>
      <c r="F1374" s="3" t="s">
        <v>58</v>
      </c>
      <c r="G1374" s="3" t="s">
        <v>59</v>
      </c>
      <c r="H1374" s="3" t="s">
        <v>58</v>
      </c>
      <c r="I1374" s="3" t="s">
        <v>58</v>
      </c>
      <c r="J1374" s="3" t="s">
        <v>60</v>
      </c>
      <c r="K1374" s="2" t="s">
        <v>17780</v>
      </c>
      <c r="L1374" s="2" t="s">
        <v>17781</v>
      </c>
      <c r="M1374" s="3" t="s">
        <v>220</v>
      </c>
      <c r="N1374" s="2" t="s">
        <v>543</v>
      </c>
      <c r="O1374" s="3" t="s">
        <v>65</v>
      </c>
      <c r="P1374" s="3" t="s">
        <v>132</v>
      </c>
      <c r="R1374" s="3" t="s">
        <v>67</v>
      </c>
      <c r="S1374" s="4">
        <v>3</v>
      </c>
      <c r="T1374" s="4">
        <v>3</v>
      </c>
      <c r="U1374" s="5" t="s">
        <v>17782</v>
      </c>
      <c r="V1374" s="5" t="s">
        <v>17782</v>
      </c>
      <c r="W1374" s="5" t="s">
        <v>3877</v>
      </c>
      <c r="X1374" s="5" t="s">
        <v>3877</v>
      </c>
      <c r="Y1374" s="4">
        <v>861</v>
      </c>
      <c r="Z1374" s="4">
        <v>767</v>
      </c>
      <c r="AA1374" s="4">
        <v>789</v>
      </c>
      <c r="AB1374" s="4">
        <v>6</v>
      </c>
      <c r="AC1374" s="4">
        <v>6</v>
      </c>
      <c r="AD1374" s="4">
        <v>23</v>
      </c>
      <c r="AE1374" s="4">
        <v>23</v>
      </c>
      <c r="AF1374" s="4">
        <v>8</v>
      </c>
      <c r="AG1374" s="4">
        <v>8</v>
      </c>
      <c r="AH1374" s="4">
        <v>4</v>
      </c>
      <c r="AI1374" s="4">
        <v>4</v>
      </c>
      <c r="AJ1374" s="4">
        <v>12</v>
      </c>
      <c r="AK1374" s="4">
        <v>12</v>
      </c>
      <c r="AL1374" s="4">
        <v>5</v>
      </c>
      <c r="AM1374" s="4">
        <v>5</v>
      </c>
      <c r="AN1374" s="4">
        <v>0</v>
      </c>
      <c r="AO1374" s="4">
        <v>0</v>
      </c>
      <c r="AP1374" s="3" t="s">
        <v>58</v>
      </c>
      <c r="AQ1374" s="3" t="s">
        <v>87</v>
      </c>
      <c r="AR1374" s="6" t="str">
        <f>HYPERLINK("http://catalog.hathitrust.org/Record/004053229","HathiTrust Record")</f>
        <v>HathiTrust Record</v>
      </c>
      <c r="AS1374" s="6" t="str">
        <f>HYPERLINK("https://creighton-primo.hosted.exlibrisgroup.com/primo-explore/search?tab=default_tab&amp;search_scope=EVERYTHING&amp;vid=01CRU&amp;lang=en_US&amp;offset=0&amp;query=any,contains,991003014809702656","Catalog Record")</f>
        <v>Catalog Record</v>
      </c>
      <c r="AT1374" s="6" t="str">
        <f>HYPERLINK("http://www.worldcat.org/oclc/40990054","WorldCat Record")</f>
        <v>WorldCat Record</v>
      </c>
      <c r="AU1374" s="3" t="s">
        <v>17783</v>
      </c>
      <c r="AV1374" s="3" t="s">
        <v>17784</v>
      </c>
      <c r="AW1374" s="3" t="s">
        <v>17785</v>
      </c>
      <c r="AX1374" s="3" t="s">
        <v>17785</v>
      </c>
      <c r="AY1374" s="3" t="s">
        <v>17786</v>
      </c>
      <c r="AZ1374" s="3" t="s">
        <v>74</v>
      </c>
      <c r="BB1374" s="3" t="s">
        <v>17787</v>
      </c>
      <c r="BC1374" s="3" t="s">
        <v>17788</v>
      </c>
      <c r="BD1374" s="3" t="s">
        <v>17789</v>
      </c>
    </row>
    <row r="1375" spans="1:56" ht="45.75" customHeight="1" x14ac:dyDescent="0.25">
      <c r="A1375" s="7" t="s">
        <v>58</v>
      </c>
      <c r="B1375" s="2" t="s">
        <v>17790</v>
      </c>
      <c r="C1375" s="2" t="s">
        <v>17791</v>
      </c>
      <c r="D1375" s="2" t="s">
        <v>17792</v>
      </c>
      <c r="F1375" s="3" t="s">
        <v>58</v>
      </c>
      <c r="G1375" s="3" t="s">
        <v>59</v>
      </c>
      <c r="H1375" s="3" t="s">
        <v>58</v>
      </c>
      <c r="I1375" s="3" t="s">
        <v>58</v>
      </c>
      <c r="J1375" s="3" t="s">
        <v>60</v>
      </c>
      <c r="K1375" s="2" t="s">
        <v>17793</v>
      </c>
      <c r="L1375" s="2" t="s">
        <v>17794</v>
      </c>
      <c r="M1375" s="3" t="s">
        <v>557</v>
      </c>
      <c r="N1375" s="2" t="s">
        <v>64</v>
      </c>
      <c r="O1375" s="3" t="s">
        <v>65</v>
      </c>
      <c r="P1375" s="3" t="s">
        <v>84</v>
      </c>
      <c r="R1375" s="3" t="s">
        <v>67</v>
      </c>
      <c r="S1375" s="4">
        <v>13</v>
      </c>
      <c r="T1375" s="4">
        <v>13</v>
      </c>
      <c r="U1375" s="5" t="s">
        <v>5410</v>
      </c>
      <c r="V1375" s="5" t="s">
        <v>5410</v>
      </c>
      <c r="W1375" s="5" t="s">
        <v>17795</v>
      </c>
      <c r="X1375" s="5" t="s">
        <v>17795</v>
      </c>
      <c r="Y1375" s="4">
        <v>363</v>
      </c>
      <c r="Z1375" s="4">
        <v>255</v>
      </c>
      <c r="AA1375" s="4">
        <v>763</v>
      </c>
      <c r="AB1375" s="4">
        <v>3</v>
      </c>
      <c r="AC1375" s="4">
        <v>7</v>
      </c>
      <c r="AD1375" s="4">
        <v>16</v>
      </c>
      <c r="AE1375" s="4">
        <v>37</v>
      </c>
      <c r="AF1375" s="4">
        <v>6</v>
      </c>
      <c r="AG1375" s="4">
        <v>12</v>
      </c>
      <c r="AH1375" s="4">
        <v>2</v>
      </c>
      <c r="AI1375" s="4">
        <v>6</v>
      </c>
      <c r="AJ1375" s="4">
        <v>7</v>
      </c>
      <c r="AK1375" s="4">
        <v>11</v>
      </c>
      <c r="AL1375" s="4">
        <v>2</v>
      </c>
      <c r="AM1375" s="4">
        <v>5</v>
      </c>
      <c r="AN1375" s="4">
        <v>2</v>
      </c>
      <c r="AO1375" s="4">
        <v>7</v>
      </c>
      <c r="AP1375" s="3" t="s">
        <v>58</v>
      </c>
      <c r="AQ1375" s="3" t="s">
        <v>58</v>
      </c>
      <c r="AS1375" s="6" t="str">
        <f>HYPERLINK("https://creighton-primo.hosted.exlibrisgroup.com/primo-explore/search?tab=default_tab&amp;search_scope=EVERYTHING&amp;vid=01CRU&amp;lang=en_US&amp;offset=0&amp;query=any,contains,991002006359702656","Catalog Record")</f>
        <v>Catalog Record</v>
      </c>
      <c r="AT1375" s="6" t="str">
        <f>HYPERLINK("http://www.worldcat.org/oclc/25509200","WorldCat Record")</f>
        <v>WorldCat Record</v>
      </c>
      <c r="AU1375" s="3" t="s">
        <v>17796</v>
      </c>
      <c r="AV1375" s="3" t="s">
        <v>17797</v>
      </c>
      <c r="AW1375" s="3" t="s">
        <v>17798</v>
      </c>
      <c r="AX1375" s="3" t="s">
        <v>17798</v>
      </c>
      <c r="AY1375" s="3" t="s">
        <v>17799</v>
      </c>
      <c r="AZ1375" s="3" t="s">
        <v>74</v>
      </c>
      <c r="BB1375" s="3" t="s">
        <v>17800</v>
      </c>
      <c r="BC1375" s="3" t="s">
        <v>17801</v>
      </c>
      <c r="BD1375" s="3" t="s">
        <v>17802</v>
      </c>
    </row>
    <row r="1376" spans="1:56" ht="45.75" customHeight="1" x14ac:dyDescent="0.25">
      <c r="A1376" s="7" t="s">
        <v>58</v>
      </c>
      <c r="B1376" s="2" t="s">
        <v>17803</v>
      </c>
      <c r="C1376" s="2" t="s">
        <v>17804</v>
      </c>
      <c r="D1376" s="2" t="s">
        <v>17805</v>
      </c>
      <c r="F1376" s="3" t="s">
        <v>58</v>
      </c>
      <c r="G1376" s="3" t="s">
        <v>59</v>
      </c>
      <c r="H1376" s="3" t="s">
        <v>58</v>
      </c>
      <c r="I1376" s="3" t="s">
        <v>58</v>
      </c>
      <c r="J1376" s="3" t="s">
        <v>60</v>
      </c>
      <c r="K1376" s="2" t="s">
        <v>17806</v>
      </c>
      <c r="L1376" s="2" t="s">
        <v>17807</v>
      </c>
      <c r="M1376" s="3" t="s">
        <v>290</v>
      </c>
      <c r="O1376" s="3" t="s">
        <v>65</v>
      </c>
      <c r="P1376" s="3" t="s">
        <v>84</v>
      </c>
      <c r="R1376" s="3" t="s">
        <v>67</v>
      </c>
      <c r="S1376" s="4">
        <v>2</v>
      </c>
      <c r="T1376" s="4">
        <v>2</v>
      </c>
      <c r="U1376" s="5" t="s">
        <v>2229</v>
      </c>
      <c r="V1376" s="5" t="s">
        <v>2229</v>
      </c>
      <c r="W1376" s="5" t="s">
        <v>17808</v>
      </c>
      <c r="X1376" s="5" t="s">
        <v>17808</v>
      </c>
      <c r="Y1376" s="4">
        <v>665</v>
      </c>
      <c r="Z1376" s="4">
        <v>565</v>
      </c>
      <c r="AA1376" s="4">
        <v>572</v>
      </c>
      <c r="AB1376" s="4">
        <v>5</v>
      </c>
      <c r="AC1376" s="4">
        <v>5</v>
      </c>
      <c r="AD1376" s="4">
        <v>27</v>
      </c>
      <c r="AE1376" s="4">
        <v>27</v>
      </c>
      <c r="AF1376" s="4">
        <v>9</v>
      </c>
      <c r="AG1376" s="4">
        <v>9</v>
      </c>
      <c r="AH1376" s="4">
        <v>5</v>
      </c>
      <c r="AI1376" s="4">
        <v>5</v>
      </c>
      <c r="AJ1376" s="4">
        <v>13</v>
      </c>
      <c r="AK1376" s="4">
        <v>13</v>
      </c>
      <c r="AL1376" s="4">
        <v>4</v>
      </c>
      <c r="AM1376" s="4">
        <v>4</v>
      </c>
      <c r="AN1376" s="4">
        <v>1</v>
      </c>
      <c r="AO1376" s="4">
        <v>1</v>
      </c>
      <c r="AP1376" s="3" t="s">
        <v>58</v>
      </c>
      <c r="AQ1376" s="3" t="s">
        <v>58</v>
      </c>
      <c r="AS1376" s="6" t="str">
        <f>HYPERLINK("https://creighton-primo.hosted.exlibrisgroup.com/primo-explore/search?tab=default_tab&amp;search_scope=EVERYTHING&amp;vid=01CRU&amp;lang=en_US&amp;offset=0&amp;query=any,contains,991003467659702656","Catalog Record")</f>
        <v>Catalog Record</v>
      </c>
      <c r="AT1376" s="6" t="str">
        <f>HYPERLINK("http://www.worldcat.org/oclc/43751649","WorldCat Record")</f>
        <v>WorldCat Record</v>
      </c>
      <c r="AU1376" s="3" t="s">
        <v>17809</v>
      </c>
      <c r="AV1376" s="3" t="s">
        <v>17810</v>
      </c>
      <c r="AW1376" s="3" t="s">
        <v>17811</v>
      </c>
      <c r="AX1376" s="3" t="s">
        <v>17811</v>
      </c>
      <c r="AY1376" s="3" t="s">
        <v>17812</v>
      </c>
      <c r="AZ1376" s="3" t="s">
        <v>74</v>
      </c>
      <c r="BB1376" s="3" t="s">
        <v>17813</v>
      </c>
      <c r="BC1376" s="3" t="s">
        <v>17814</v>
      </c>
      <c r="BD1376" s="3" t="s">
        <v>17815</v>
      </c>
    </row>
    <row r="1377" spans="1:56" ht="45.75" customHeight="1" x14ac:dyDescent="0.25">
      <c r="A1377" s="7" t="s">
        <v>58</v>
      </c>
      <c r="B1377" s="2" t="s">
        <v>17816</v>
      </c>
      <c r="C1377" s="2" t="s">
        <v>17817</v>
      </c>
      <c r="D1377" s="2" t="s">
        <v>17818</v>
      </c>
      <c r="F1377" s="3" t="s">
        <v>58</v>
      </c>
      <c r="G1377" s="3" t="s">
        <v>59</v>
      </c>
      <c r="H1377" s="3" t="s">
        <v>58</v>
      </c>
      <c r="I1377" s="3" t="s">
        <v>58</v>
      </c>
      <c r="J1377" s="3" t="s">
        <v>60</v>
      </c>
      <c r="K1377" s="2" t="s">
        <v>17819</v>
      </c>
      <c r="L1377" s="2" t="s">
        <v>16531</v>
      </c>
      <c r="M1377" s="3" t="s">
        <v>742</v>
      </c>
      <c r="O1377" s="3" t="s">
        <v>65</v>
      </c>
      <c r="P1377" s="3" t="s">
        <v>148</v>
      </c>
      <c r="R1377" s="3" t="s">
        <v>67</v>
      </c>
      <c r="S1377" s="4">
        <v>15</v>
      </c>
      <c r="T1377" s="4">
        <v>15</v>
      </c>
      <c r="U1377" s="5" t="s">
        <v>17820</v>
      </c>
      <c r="V1377" s="5" t="s">
        <v>17820</v>
      </c>
      <c r="W1377" s="5" t="s">
        <v>9575</v>
      </c>
      <c r="X1377" s="5" t="s">
        <v>9575</v>
      </c>
      <c r="Y1377" s="4">
        <v>998</v>
      </c>
      <c r="Z1377" s="4">
        <v>928</v>
      </c>
      <c r="AA1377" s="4">
        <v>935</v>
      </c>
      <c r="AB1377" s="4">
        <v>12</v>
      </c>
      <c r="AC1377" s="4">
        <v>12</v>
      </c>
      <c r="AD1377" s="4">
        <v>50</v>
      </c>
      <c r="AE1377" s="4">
        <v>50</v>
      </c>
      <c r="AF1377" s="4">
        <v>13</v>
      </c>
      <c r="AG1377" s="4">
        <v>13</v>
      </c>
      <c r="AH1377" s="4">
        <v>10</v>
      </c>
      <c r="AI1377" s="4">
        <v>10</v>
      </c>
      <c r="AJ1377" s="4">
        <v>19</v>
      </c>
      <c r="AK1377" s="4">
        <v>19</v>
      </c>
      <c r="AL1377" s="4">
        <v>9</v>
      </c>
      <c r="AM1377" s="4">
        <v>9</v>
      </c>
      <c r="AN1377" s="4">
        <v>10</v>
      </c>
      <c r="AO1377" s="4">
        <v>10</v>
      </c>
      <c r="AP1377" s="3" t="s">
        <v>58</v>
      </c>
      <c r="AQ1377" s="3" t="s">
        <v>87</v>
      </c>
      <c r="AR1377" s="6" t="str">
        <f>HYPERLINK("http://catalog.hathitrust.org/Record/001093937","HathiTrust Record")</f>
        <v>HathiTrust Record</v>
      </c>
      <c r="AS1377" s="6" t="str">
        <f>HYPERLINK("https://creighton-primo.hosted.exlibrisgroup.com/primo-explore/search?tab=default_tab&amp;search_scope=EVERYTHING&amp;vid=01CRU&amp;lang=en_US&amp;offset=0&amp;query=any,contains,991001280069702656","Catalog Record")</f>
        <v>Catalog Record</v>
      </c>
      <c r="AT1377" s="6" t="str">
        <f>HYPERLINK("http://www.worldcat.org/oclc/17916650","WorldCat Record")</f>
        <v>WorldCat Record</v>
      </c>
      <c r="AU1377" s="3" t="s">
        <v>17821</v>
      </c>
      <c r="AV1377" s="3" t="s">
        <v>17822</v>
      </c>
      <c r="AW1377" s="3" t="s">
        <v>17823</v>
      </c>
      <c r="AX1377" s="3" t="s">
        <v>17823</v>
      </c>
      <c r="AY1377" s="3" t="s">
        <v>17824</v>
      </c>
      <c r="AZ1377" s="3" t="s">
        <v>74</v>
      </c>
      <c r="BB1377" s="3" t="s">
        <v>17825</v>
      </c>
      <c r="BC1377" s="3" t="s">
        <v>17826</v>
      </c>
      <c r="BD1377" s="3" t="s">
        <v>17827</v>
      </c>
    </row>
    <row r="1378" spans="1:56" ht="45.75" customHeight="1" x14ac:dyDescent="0.25">
      <c r="A1378" s="7" t="s">
        <v>58</v>
      </c>
      <c r="B1378" s="2" t="s">
        <v>17828</v>
      </c>
      <c r="C1378" s="2" t="s">
        <v>17829</v>
      </c>
      <c r="D1378" s="2" t="s">
        <v>17830</v>
      </c>
      <c r="F1378" s="3" t="s">
        <v>58</v>
      </c>
      <c r="G1378" s="3" t="s">
        <v>59</v>
      </c>
      <c r="H1378" s="3" t="s">
        <v>58</v>
      </c>
      <c r="I1378" s="3" t="s">
        <v>58</v>
      </c>
      <c r="J1378" s="3" t="s">
        <v>60</v>
      </c>
      <c r="K1378" s="2" t="s">
        <v>17831</v>
      </c>
      <c r="L1378" s="2" t="s">
        <v>17832</v>
      </c>
      <c r="M1378" s="3" t="s">
        <v>83</v>
      </c>
      <c r="O1378" s="3" t="s">
        <v>65</v>
      </c>
      <c r="P1378" s="3" t="s">
        <v>84</v>
      </c>
      <c r="R1378" s="3" t="s">
        <v>67</v>
      </c>
      <c r="S1378" s="4">
        <v>11</v>
      </c>
      <c r="T1378" s="4">
        <v>11</v>
      </c>
      <c r="U1378" s="5" t="s">
        <v>4871</v>
      </c>
      <c r="V1378" s="5" t="s">
        <v>4871</v>
      </c>
      <c r="W1378" s="5" t="s">
        <v>17695</v>
      </c>
      <c r="X1378" s="5" t="s">
        <v>17695</v>
      </c>
      <c r="Y1378" s="4">
        <v>759</v>
      </c>
      <c r="Z1378" s="4">
        <v>688</v>
      </c>
      <c r="AA1378" s="4">
        <v>695</v>
      </c>
      <c r="AB1378" s="4">
        <v>5</v>
      </c>
      <c r="AC1378" s="4">
        <v>5</v>
      </c>
      <c r="AD1378" s="4">
        <v>36</v>
      </c>
      <c r="AE1378" s="4">
        <v>36</v>
      </c>
      <c r="AF1378" s="4">
        <v>10</v>
      </c>
      <c r="AG1378" s="4">
        <v>10</v>
      </c>
      <c r="AH1378" s="4">
        <v>7</v>
      </c>
      <c r="AI1378" s="4">
        <v>7</v>
      </c>
      <c r="AJ1378" s="4">
        <v>12</v>
      </c>
      <c r="AK1378" s="4">
        <v>12</v>
      </c>
      <c r="AL1378" s="4">
        <v>4</v>
      </c>
      <c r="AM1378" s="4">
        <v>4</v>
      </c>
      <c r="AN1378" s="4">
        <v>9</v>
      </c>
      <c r="AO1378" s="4">
        <v>9</v>
      </c>
      <c r="AP1378" s="3" t="s">
        <v>58</v>
      </c>
      <c r="AQ1378" s="3" t="s">
        <v>58</v>
      </c>
      <c r="AS1378" s="6" t="str">
        <f>HYPERLINK("https://creighton-primo.hosted.exlibrisgroup.com/primo-explore/search?tab=default_tab&amp;search_scope=EVERYTHING&amp;vid=01CRU&amp;lang=en_US&amp;offset=0&amp;query=any,contains,991000813939702656","Catalog Record")</f>
        <v>Catalog Record</v>
      </c>
      <c r="AT1378" s="6" t="str">
        <f>HYPERLINK("http://www.worldcat.org/oclc/13334110","WorldCat Record")</f>
        <v>WorldCat Record</v>
      </c>
      <c r="AU1378" s="3" t="s">
        <v>17833</v>
      </c>
      <c r="AV1378" s="3" t="s">
        <v>17834</v>
      </c>
      <c r="AW1378" s="3" t="s">
        <v>17835</v>
      </c>
      <c r="AX1378" s="3" t="s">
        <v>17835</v>
      </c>
      <c r="AY1378" s="3" t="s">
        <v>17836</v>
      </c>
      <c r="AZ1378" s="3" t="s">
        <v>74</v>
      </c>
      <c r="BB1378" s="3" t="s">
        <v>17837</v>
      </c>
      <c r="BC1378" s="3" t="s">
        <v>17838</v>
      </c>
      <c r="BD1378" s="3" t="s">
        <v>17839</v>
      </c>
    </row>
    <row r="1379" spans="1:56" ht="45.75" customHeight="1" x14ac:dyDescent="0.25">
      <c r="A1379" s="7" t="s">
        <v>58</v>
      </c>
      <c r="B1379" s="2" t="s">
        <v>17840</v>
      </c>
      <c r="C1379" s="2" t="s">
        <v>17841</v>
      </c>
      <c r="D1379" s="2" t="s">
        <v>17842</v>
      </c>
      <c r="F1379" s="3" t="s">
        <v>58</v>
      </c>
      <c r="G1379" s="3" t="s">
        <v>59</v>
      </c>
      <c r="H1379" s="3" t="s">
        <v>58</v>
      </c>
      <c r="I1379" s="3" t="s">
        <v>58</v>
      </c>
      <c r="J1379" s="3" t="s">
        <v>60</v>
      </c>
      <c r="K1379" s="2" t="s">
        <v>17843</v>
      </c>
      <c r="L1379" s="2" t="s">
        <v>17844</v>
      </c>
      <c r="M1379" s="3" t="s">
        <v>63</v>
      </c>
      <c r="O1379" s="3" t="s">
        <v>65</v>
      </c>
      <c r="P1379" s="3" t="s">
        <v>132</v>
      </c>
      <c r="Q1379" s="2" t="s">
        <v>4829</v>
      </c>
      <c r="R1379" s="3" t="s">
        <v>67</v>
      </c>
      <c r="S1379" s="4">
        <v>8</v>
      </c>
      <c r="T1379" s="4">
        <v>8</v>
      </c>
      <c r="U1379" s="5" t="s">
        <v>10205</v>
      </c>
      <c r="V1379" s="5" t="s">
        <v>10205</v>
      </c>
      <c r="W1379" s="5" t="s">
        <v>17845</v>
      </c>
      <c r="X1379" s="5" t="s">
        <v>17845</v>
      </c>
      <c r="Y1379" s="4">
        <v>514</v>
      </c>
      <c r="Z1379" s="4">
        <v>485</v>
      </c>
      <c r="AA1379" s="4">
        <v>1153</v>
      </c>
      <c r="AB1379" s="4">
        <v>5</v>
      </c>
      <c r="AC1379" s="4">
        <v>11</v>
      </c>
      <c r="AD1379" s="4">
        <v>17</v>
      </c>
      <c r="AE1379" s="4">
        <v>34</v>
      </c>
      <c r="AF1379" s="4">
        <v>3</v>
      </c>
      <c r="AG1379" s="4">
        <v>10</v>
      </c>
      <c r="AH1379" s="4">
        <v>3</v>
      </c>
      <c r="AI1379" s="4">
        <v>5</v>
      </c>
      <c r="AJ1379" s="4">
        <v>6</v>
      </c>
      <c r="AK1379" s="4">
        <v>13</v>
      </c>
      <c r="AL1379" s="4">
        <v>3</v>
      </c>
      <c r="AM1379" s="4">
        <v>7</v>
      </c>
      <c r="AN1379" s="4">
        <v>5</v>
      </c>
      <c r="AO1379" s="4">
        <v>7</v>
      </c>
      <c r="AP1379" s="3" t="s">
        <v>58</v>
      </c>
      <c r="AQ1379" s="3" t="s">
        <v>87</v>
      </c>
      <c r="AR1379" s="6" t="str">
        <f>HYPERLINK("http://catalog.hathitrust.org/Record/005100930","HathiTrust Record")</f>
        <v>HathiTrust Record</v>
      </c>
      <c r="AS1379" s="6" t="str">
        <f>HYPERLINK("https://creighton-primo.hosted.exlibrisgroup.com/primo-explore/search?tab=default_tab&amp;search_scope=EVERYTHING&amp;vid=01CRU&amp;lang=en_US&amp;offset=0&amp;query=any,contains,991004694869702656","Catalog Record")</f>
        <v>Catalog Record</v>
      </c>
      <c r="AT1379" s="6" t="str">
        <f>HYPERLINK("http://www.worldcat.org/oclc/61151388","WorldCat Record")</f>
        <v>WorldCat Record</v>
      </c>
      <c r="AU1379" s="3" t="s">
        <v>17846</v>
      </c>
      <c r="AV1379" s="3" t="s">
        <v>17847</v>
      </c>
      <c r="AW1379" s="3" t="s">
        <v>17848</v>
      </c>
      <c r="AX1379" s="3" t="s">
        <v>17848</v>
      </c>
      <c r="AY1379" s="3" t="s">
        <v>17849</v>
      </c>
      <c r="AZ1379" s="3" t="s">
        <v>74</v>
      </c>
      <c r="BB1379" s="3" t="s">
        <v>17850</v>
      </c>
      <c r="BC1379" s="3" t="s">
        <v>17851</v>
      </c>
      <c r="BD1379" s="3" t="s">
        <v>17852</v>
      </c>
    </row>
    <row r="1380" spans="1:56" ht="45.75" customHeight="1" x14ac:dyDescent="0.25">
      <c r="A1380" s="7" t="s">
        <v>58</v>
      </c>
      <c r="B1380" s="2" t="s">
        <v>17853</v>
      </c>
      <c r="C1380" s="2" t="s">
        <v>17854</v>
      </c>
      <c r="D1380" s="2" t="s">
        <v>17855</v>
      </c>
      <c r="F1380" s="3" t="s">
        <v>58</v>
      </c>
      <c r="G1380" s="3" t="s">
        <v>59</v>
      </c>
      <c r="H1380" s="3" t="s">
        <v>58</v>
      </c>
      <c r="I1380" s="3" t="s">
        <v>58</v>
      </c>
      <c r="J1380" s="3" t="s">
        <v>60</v>
      </c>
      <c r="K1380" s="2" t="s">
        <v>17856</v>
      </c>
      <c r="L1380" s="2" t="s">
        <v>17857</v>
      </c>
      <c r="M1380" s="3" t="s">
        <v>800</v>
      </c>
      <c r="N1380" s="2" t="s">
        <v>390</v>
      </c>
      <c r="O1380" s="3" t="s">
        <v>65</v>
      </c>
      <c r="P1380" s="3" t="s">
        <v>84</v>
      </c>
      <c r="R1380" s="3" t="s">
        <v>67</v>
      </c>
      <c r="S1380" s="4">
        <v>36</v>
      </c>
      <c r="T1380" s="4">
        <v>36</v>
      </c>
      <c r="U1380" s="5" t="s">
        <v>2532</v>
      </c>
      <c r="V1380" s="5" t="s">
        <v>2532</v>
      </c>
      <c r="W1380" s="5" t="s">
        <v>17858</v>
      </c>
      <c r="X1380" s="5" t="s">
        <v>17858</v>
      </c>
      <c r="Y1380" s="4">
        <v>250</v>
      </c>
      <c r="Z1380" s="4">
        <v>232</v>
      </c>
      <c r="AA1380" s="4">
        <v>488</v>
      </c>
      <c r="AB1380" s="4">
        <v>1</v>
      </c>
      <c r="AC1380" s="4">
        <v>5</v>
      </c>
      <c r="AD1380" s="4">
        <v>12</v>
      </c>
      <c r="AE1380" s="4">
        <v>29</v>
      </c>
      <c r="AF1380" s="4">
        <v>1</v>
      </c>
      <c r="AG1380" s="4">
        <v>6</v>
      </c>
      <c r="AH1380" s="4">
        <v>2</v>
      </c>
      <c r="AI1380" s="4">
        <v>5</v>
      </c>
      <c r="AJ1380" s="4">
        <v>3</v>
      </c>
      <c r="AK1380" s="4">
        <v>6</v>
      </c>
      <c r="AL1380" s="4">
        <v>0</v>
      </c>
      <c r="AM1380" s="4">
        <v>3</v>
      </c>
      <c r="AN1380" s="4">
        <v>7</v>
      </c>
      <c r="AO1380" s="4">
        <v>13</v>
      </c>
      <c r="AP1380" s="3" t="s">
        <v>58</v>
      </c>
      <c r="AQ1380" s="3" t="s">
        <v>87</v>
      </c>
      <c r="AR1380" s="6" t="str">
        <f>HYPERLINK("http://catalog.hathitrust.org/Record/002712167","HathiTrust Record")</f>
        <v>HathiTrust Record</v>
      </c>
      <c r="AS1380" s="6" t="str">
        <f>HYPERLINK("https://creighton-primo.hosted.exlibrisgroup.com/primo-explore/search?tab=default_tab&amp;search_scope=EVERYTHING&amp;vid=01CRU&amp;lang=en_US&amp;offset=0&amp;query=any,contains,991001628149702656","Catalog Record")</f>
        <v>Catalog Record</v>
      </c>
      <c r="AT1380" s="6" t="str">
        <f>HYPERLINK("http://www.worldcat.org/oclc/20854085","WorldCat Record")</f>
        <v>WorldCat Record</v>
      </c>
      <c r="AU1380" s="3" t="s">
        <v>17859</v>
      </c>
      <c r="AV1380" s="3" t="s">
        <v>17860</v>
      </c>
      <c r="AW1380" s="3" t="s">
        <v>17861</v>
      </c>
      <c r="AX1380" s="3" t="s">
        <v>17861</v>
      </c>
      <c r="AY1380" s="3" t="s">
        <v>17862</v>
      </c>
      <c r="AZ1380" s="3" t="s">
        <v>74</v>
      </c>
      <c r="BB1380" s="3" t="s">
        <v>17863</v>
      </c>
      <c r="BC1380" s="3" t="s">
        <v>17864</v>
      </c>
      <c r="BD1380" s="3" t="s">
        <v>17865</v>
      </c>
    </row>
    <row r="1381" spans="1:56" ht="45.75" customHeight="1" x14ac:dyDescent="0.25">
      <c r="A1381" s="7" t="s">
        <v>58</v>
      </c>
      <c r="B1381" s="2" t="s">
        <v>17866</v>
      </c>
      <c r="C1381" s="2" t="s">
        <v>17867</v>
      </c>
      <c r="D1381" s="2" t="s">
        <v>17868</v>
      </c>
      <c r="F1381" s="3" t="s">
        <v>58</v>
      </c>
      <c r="G1381" s="3" t="s">
        <v>59</v>
      </c>
      <c r="H1381" s="3" t="s">
        <v>58</v>
      </c>
      <c r="I1381" s="3" t="s">
        <v>58</v>
      </c>
      <c r="J1381" s="3" t="s">
        <v>60</v>
      </c>
      <c r="K1381" s="2" t="s">
        <v>17869</v>
      </c>
      <c r="L1381" s="2" t="s">
        <v>9049</v>
      </c>
      <c r="M1381" s="3" t="s">
        <v>63</v>
      </c>
      <c r="N1381" s="2" t="s">
        <v>543</v>
      </c>
      <c r="O1381" s="3" t="s">
        <v>65</v>
      </c>
      <c r="P1381" s="3" t="s">
        <v>84</v>
      </c>
      <c r="R1381" s="3" t="s">
        <v>67</v>
      </c>
      <c r="S1381" s="4">
        <v>1</v>
      </c>
      <c r="T1381" s="4">
        <v>1</v>
      </c>
      <c r="U1381" s="5" t="s">
        <v>17870</v>
      </c>
      <c r="V1381" s="5" t="s">
        <v>17870</v>
      </c>
      <c r="W1381" s="5" t="s">
        <v>17870</v>
      </c>
      <c r="X1381" s="5" t="s">
        <v>17870</v>
      </c>
      <c r="Y1381" s="4">
        <v>775</v>
      </c>
      <c r="Z1381" s="4">
        <v>761</v>
      </c>
      <c r="AA1381" s="4">
        <v>885</v>
      </c>
      <c r="AB1381" s="4">
        <v>5</v>
      </c>
      <c r="AC1381" s="4">
        <v>6</v>
      </c>
      <c r="AD1381" s="4">
        <v>18</v>
      </c>
      <c r="AE1381" s="4">
        <v>21</v>
      </c>
      <c r="AF1381" s="4">
        <v>4</v>
      </c>
      <c r="AG1381" s="4">
        <v>5</v>
      </c>
      <c r="AH1381" s="4">
        <v>5</v>
      </c>
      <c r="AI1381" s="4">
        <v>5</v>
      </c>
      <c r="AJ1381" s="4">
        <v>8</v>
      </c>
      <c r="AK1381" s="4">
        <v>9</v>
      </c>
      <c r="AL1381" s="4">
        <v>4</v>
      </c>
      <c r="AM1381" s="4">
        <v>5</v>
      </c>
      <c r="AN1381" s="4">
        <v>1</v>
      </c>
      <c r="AO1381" s="4">
        <v>1</v>
      </c>
      <c r="AP1381" s="3" t="s">
        <v>58</v>
      </c>
      <c r="AQ1381" s="3" t="s">
        <v>87</v>
      </c>
      <c r="AR1381" s="6" t="str">
        <f>HYPERLINK("http://catalog.hathitrust.org/Record/005071035","HathiTrust Record")</f>
        <v>HathiTrust Record</v>
      </c>
      <c r="AS1381" s="6" t="str">
        <f>HYPERLINK("https://creighton-primo.hosted.exlibrisgroup.com/primo-explore/search?tab=default_tab&amp;search_scope=EVERYTHING&amp;vid=01CRU&amp;lang=en_US&amp;offset=0&amp;query=any,contains,991004614449702656","Catalog Record")</f>
        <v>Catalog Record</v>
      </c>
      <c r="AT1381" s="6" t="str">
        <f>HYPERLINK("http://www.worldcat.org/oclc/58386382","WorldCat Record")</f>
        <v>WorldCat Record</v>
      </c>
      <c r="AU1381" s="3" t="s">
        <v>17871</v>
      </c>
      <c r="AV1381" s="3" t="s">
        <v>17872</v>
      </c>
      <c r="AW1381" s="3" t="s">
        <v>17873</v>
      </c>
      <c r="AX1381" s="3" t="s">
        <v>17873</v>
      </c>
      <c r="AY1381" s="3" t="s">
        <v>17874</v>
      </c>
      <c r="AZ1381" s="3" t="s">
        <v>74</v>
      </c>
      <c r="BB1381" s="3" t="s">
        <v>17875</v>
      </c>
      <c r="BC1381" s="3" t="s">
        <v>17876</v>
      </c>
      <c r="BD1381" s="3" t="s">
        <v>17877</v>
      </c>
    </row>
    <row r="1382" spans="1:56" ht="45.75" customHeight="1" x14ac:dyDescent="0.25">
      <c r="A1382" s="7" t="s">
        <v>58</v>
      </c>
      <c r="B1382" s="2" t="s">
        <v>17878</v>
      </c>
      <c r="C1382" s="2" t="s">
        <v>17879</v>
      </c>
      <c r="D1382" s="2" t="s">
        <v>17880</v>
      </c>
      <c r="F1382" s="3" t="s">
        <v>58</v>
      </c>
      <c r="G1382" s="3" t="s">
        <v>59</v>
      </c>
      <c r="H1382" s="3" t="s">
        <v>58</v>
      </c>
      <c r="I1382" s="3" t="s">
        <v>58</v>
      </c>
      <c r="J1382" s="3" t="s">
        <v>60</v>
      </c>
      <c r="K1382" s="2" t="s">
        <v>17881</v>
      </c>
      <c r="L1382" s="2" t="s">
        <v>17882</v>
      </c>
      <c r="M1382" s="3" t="s">
        <v>4710</v>
      </c>
      <c r="O1382" s="3" t="s">
        <v>65</v>
      </c>
      <c r="P1382" s="3" t="s">
        <v>84</v>
      </c>
      <c r="R1382" s="3" t="s">
        <v>67</v>
      </c>
      <c r="S1382" s="4">
        <v>12</v>
      </c>
      <c r="T1382" s="4">
        <v>12</v>
      </c>
      <c r="U1382" s="5" t="s">
        <v>337</v>
      </c>
      <c r="V1382" s="5" t="s">
        <v>337</v>
      </c>
      <c r="W1382" s="5" t="s">
        <v>1758</v>
      </c>
      <c r="X1382" s="5" t="s">
        <v>1758</v>
      </c>
      <c r="Y1382" s="4">
        <v>584</v>
      </c>
      <c r="Z1382" s="4">
        <v>495</v>
      </c>
      <c r="AA1382" s="4">
        <v>788</v>
      </c>
      <c r="AB1382" s="4">
        <v>5</v>
      </c>
      <c r="AC1382" s="4">
        <v>7</v>
      </c>
      <c r="AD1382" s="4">
        <v>23</v>
      </c>
      <c r="AE1382" s="4">
        <v>36</v>
      </c>
      <c r="AF1382" s="4">
        <v>8</v>
      </c>
      <c r="AG1382" s="4">
        <v>14</v>
      </c>
      <c r="AH1382" s="4">
        <v>4</v>
      </c>
      <c r="AI1382" s="4">
        <v>8</v>
      </c>
      <c r="AJ1382" s="4">
        <v>10</v>
      </c>
      <c r="AK1382" s="4">
        <v>16</v>
      </c>
      <c r="AL1382" s="4">
        <v>4</v>
      </c>
      <c r="AM1382" s="4">
        <v>6</v>
      </c>
      <c r="AN1382" s="4">
        <v>2</v>
      </c>
      <c r="AO1382" s="4">
        <v>3</v>
      </c>
      <c r="AP1382" s="3" t="s">
        <v>58</v>
      </c>
      <c r="AQ1382" s="3" t="s">
        <v>87</v>
      </c>
      <c r="AR1382" s="6" t="str">
        <f>HYPERLINK("http://catalog.hathitrust.org/Record/000814287","HathiTrust Record")</f>
        <v>HathiTrust Record</v>
      </c>
      <c r="AS1382" s="6" t="str">
        <f>HYPERLINK("https://creighton-primo.hosted.exlibrisgroup.com/primo-explore/search?tab=default_tab&amp;search_scope=EVERYTHING&amp;vid=01CRU&amp;lang=en_US&amp;offset=0&amp;query=any,contains,991002095619702656","Catalog Record")</f>
        <v>Catalog Record</v>
      </c>
      <c r="AT1382" s="6" t="str">
        <f>HYPERLINK("http://www.worldcat.org/oclc/265526","WorldCat Record")</f>
        <v>WorldCat Record</v>
      </c>
      <c r="AU1382" s="3" t="s">
        <v>17883</v>
      </c>
      <c r="AV1382" s="3" t="s">
        <v>17884</v>
      </c>
      <c r="AW1382" s="3" t="s">
        <v>17885</v>
      </c>
      <c r="AX1382" s="3" t="s">
        <v>17885</v>
      </c>
      <c r="AY1382" s="3" t="s">
        <v>17886</v>
      </c>
      <c r="AZ1382" s="3" t="s">
        <v>74</v>
      </c>
      <c r="BC1382" s="3" t="s">
        <v>17887</v>
      </c>
      <c r="BD1382" s="3" t="s">
        <v>17888</v>
      </c>
    </row>
    <row r="1383" spans="1:56" ht="45.75" customHeight="1" x14ac:dyDescent="0.25">
      <c r="A1383" s="7" t="s">
        <v>58</v>
      </c>
      <c r="B1383" s="2" t="s">
        <v>17889</v>
      </c>
      <c r="C1383" s="2" t="s">
        <v>17890</v>
      </c>
      <c r="D1383" s="2" t="s">
        <v>17891</v>
      </c>
      <c r="F1383" s="3" t="s">
        <v>58</v>
      </c>
      <c r="G1383" s="3" t="s">
        <v>59</v>
      </c>
      <c r="H1383" s="3" t="s">
        <v>58</v>
      </c>
      <c r="I1383" s="3" t="s">
        <v>58</v>
      </c>
      <c r="J1383" s="3" t="s">
        <v>60</v>
      </c>
      <c r="K1383" s="2" t="s">
        <v>17892</v>
      </c>
      <c r="L1383" s="2" t="s">
        <v>17893</v>
      </c>
      <c r="M1383" s="3" t="s">
        <v>220</v>
      </c>
      <c r="O1383" s="3" t="s">
        <v>65</v>
      </c>
      <c r="P1383" s="3" t="s">
        <v>84</v>
      </c>
      <c r="Q1383" s="2" t="s">
        <v>17894</v>
      </c>
      <c r="R1383" s="3" t="s">
        <v>67</v>
      </c>
      <c r="S1383" s="4">
        <v>1</v>
      </c>
      <c r="T1383" s="4">
        <v>1</v>
      </c>
      <c r="U1383" s="5" t="s">
        <v>17895</v>
      </c>
      <c r="V1383" s="5" t="s">
        <v>17895</v>
      </c>
      <c r="W1383" s="5" t="s">
        <v>17895</v>
      </c>
      <c r="X1383" s="5" t="s">
        <v>17895</v>
      </c>
      <c r="Y1383" s="4">
        <v>262</v>
      </c>
      <c r="Z1383" s="4">
        <v>200</v>
      </c>
      <c r="AA1383" s="4">
        <v>234</v>
      </c>
      <c r="AB1383" s="4">
        <v>2</v>
      </c>
      <c r="AC1383" s="4">
        <v>2</v>
      </c>
      <c r="AD1383" s="4">
        <v>11</v>
      </c>
      <c r="AE1383" s="4">
        <v>15</v>
      </c>
      <c r="AF1383" s="4">
        <v>4</v>
      </c>
      <c r="AG1383" s="4">
        <v>6</v>
      </c>
      <c r="AH1383" s="4">
        <v>4</v>
      </c>
      <c r="AI1383" s="4">
        <v>5</v>
      </c>
      <c r="AJ1383" s="4">
        <v>6</v>
      </c>
      <c r="AK1383" s="4">
        <v>7</v>
      </c>
      <c r="AL1383" s="4">
        <v>1</v>
      </c>
      <c r="AM1383" s="4">
        <v>1</v>
      </c>
      <c r="AN1383" s="4">
        <v>0</v>
      </c>
      <c r="AO1383" s="4">
        <v>0</v>
      </c>
      <c r="AP1383" s="3" t="s">
        <v>58</v>
      </c>
      <c r="AQ1383" s="3" t="s">
        <v>58</v>
      </c>
      <c r="AS1383" s="6" t="str">
        <f>HYPERLINK("https://creighton-primo.hosted.exlibrisgroup.com/primo-explore/search?tab=default_tab&amp;search_scope=EVERYTHING&amp;vid=01CRU&amp;lang=en_US&amp;offset=0&amp;query=any,contains,991003300209702656","Catalog Record")</f>
        <v>Catalog Record</v>
      </c>
      <c r="AT1383" s="6" t="str">
        <f>HYPERLINK("http://www.worldcat.org/oclc/40754937","WorldCat Record")</f>
        <v>WorldCat Record</v>
      </c>
      <c r="AU1383" s="3" t="s">
        <v>17896</v>
      </c>
      <c r="AV1383" s="3" t="s">
        <v>17897</v>
      </c>
      <c r="AW1383" s="3" t="s">
        <v>17898</v>
      </c>
      <c r="AX1383" s="3" t="s">
        <v>17898</v>
      </c>
      <c r="AY1383" s="3" t="s">
        <v>17899</v>
      </c>
      <c r="AZ1383" s="3" t="s">
        <v>74</v>
      </c>
      <c r="BB1383" s="3" t="s">
        <v>17900</v>
      </c>
      <c r="BC1383" s="3" t="s">
        <v>17901</v>
      </c>
      <c r="BD1383" s="3" t="s">
        <v>17902</v>
      </c>
    </row>
    <row r="1384" spans="1:56" ht="45.75" customHeight="1" x14ac:dyDescent="0.25">
      <c r="A1384" s="7" t="s">
        <v>58</v>
      </c>
      <c r="B1384" s="2" t="s">
        <v>17903</v>
      </c>
      <c r="C1384" s="2" t="s">
        <v>17904</v>
      </c>
      <c r="D1384" s="2" t="s">
        <v>17905</v>
      </c>
      <c r="F1384" s="3" t="s">
        <v>58</v>
      </c>
      <c r="G1384" s="3" t="s">
        <v>59</v>
      </c>
      <c r="H1384" s="3" t="s">
        <v>87</v>
      </c>
      <c r="I1384" s="3" t="s">
        <v>58</v>
      </c>
      <c r="J1384" s="3" t="s">
        <v>60</v>
      </c>
      <c r="K1384" s="2" t="s">
        <v>17906</v>
      </c>
      <c r="L1384" s="2" t="s">
        <v>17907</v>
      </c>
      <c r="M1384" s="3" t="s">
        <v>2104</v>
      </c>
      <c r="O1384" s="3" t="s">
        <v>65</v>
      </c>
      <c r="P1384" s="3" t="s">
        <v>336</v>
      </c>
      <c r="R1384" s="3" t="s">
        <v>67</v>
      </c>
      <c r="S1384" s="4">
        <v>3</v>
      </c>
      <c r="T1384" s="4">
        <v>3</v>
      </c>
      <c r="U1384" s="5" t="s">
        <v>17908</v>
      </c>
      <c r="V1384" s="5" t="s">
        <v>17908</v>
      </c>
      <c r="W1384" s="5" t="s">
        <v>17101</v>
      </c>
      <c r="X1384" s="5" t="s">
        <v>17909</v>
      </c>
      <c r="Y1384" s="4">
        <v>711</v>
      </c>
      <c r="Z1384" s="4">
        <v>591</v>
      </c>
      <c r="AA1384" s="4">
        <v>691</v>
      </c>
      <c r="AB1384" s="4">
        <v>12</v>
      </c>
      <c r="AC1384" s="4">
        <v>12</v>
      </c>
      <c r="AD1384" s="4">
        <v>35</v>
      </c>
      <c r="AE1384" s="4">
        <v>37</v>
      </c>
      <c r="AF1384" s="4">
        <v>11</v>
      </c>
      <c r="AG1384" s="4">
        <v>12</v>
      </c>
      <c r="AH1384" s="4">
        <v>5</v>
      </c>
      <c r="AI1384" s="4">
        <v>6</v>
      </c>
      <c r="AJ1384" s="4">
        <v>11</v>
      </c>
      <c r="AK1384" s="4">
        <v>12</v>
      </c>
      <c r="AL1384" s="4">
        <v>8</v>
      </c>
      <c r="AM1384" s="4">
        <v>8</v>
      </c>
      <c r="AN1384" s="4">
        <v>5</v>
      </c>
      <c r="AO1384" s="4">
        <v>5</v>
      </c>
      <c r="AP1384" s="3" t="s">
        <v>58</v>
      </c>
      <c r="AQ1384" s="3" t="s">
        <v>87</v>
      </c>
      <c r="AR1384" s="6" t="str">
        <f>HYPERLINK("http://catalog.hathitrust.org/Record/006205225","HathiTrust Record")</f>
        <v>HathiTrust Record</v>
      </c>
      <c r="AS1384" s="6" t="str">
        <f>HYPERLINK("https://creighton-primo.hosted.exlibrisgroup.com/primo-explore/search?tab=default_tab&amp;search_scope=EVERYTHING&amp;vid=01CRU&amp;lang=en_US&amp;offset=0&amp;query=any,contains,991001628689702656","Catalog Record")</f>
        <v>Catalog Record</v>
      </c>
      <c r="AT1384" s="6" t="str">
        <f>HYPERLINK("http://www.worldcat.org/oclc/265520","WorldCat Record")</f>
        <v>WorldCat Record</v>
      </c>
      <c r="AU1384" s="3" t="s">
        <v>17910</v>
      </c>
      <c r="AV1384" s="3" t="s">
        <v>17911</v>
      </c>
      <c r="AW1384" s="3" t="s">
        <v>17912</v>
      </c>
      <c r="AX1384" s="3" t="s">
        <v>17912</v>
      </c>
      <c r="AY1384" s="3" t="s">
        <v>17913</v>
      </c>
      <c r="AZ1384" s="3" t="s">
        <v>74</v>
      </c>
      <c r="BC1384" s="3" t="s">
        <v>17914</v>
      </c>
      <c r="BD1384" s="3" t="s">
        <v>17915</v>
      </c>
    </row>
    <row r="1385" spans="1:56" ht="45.75" customHeight="1" x14ac:dyDescent="0.25">
      <c r="A1385" s="7" t="s">
        <v>58</v>
      </c>
      <c r="B1385" s="2" t="s">
        <v>17916</v>
      </c>
      <c r="C1385" s="2" t="s">
        <v>17917</v>
      </c>
      <c r="D1385" s="2" t="s">
        <v>17918</v>
      </c>
      <c r="F1385" s="3" t="s">
        <v>58</v>
      </c>
      <c r="G1385" s="3" t="s">
        <v>59</v>
      </c>
      <c r="H1385" s="3" t="s">
        <v>87</v>
      </c>
      <c r="I1385" s="3" t="s">
        <v>58</v>
      </c>
      <c r="J1385" s="3" t="s">
        <v>60</v>
      </c>
      <c r="K1385" s="2" t="s">
        <v>17919</v>
      </c>
      <c r="L1385" s="2" t="s">
        <v>17920</v>
      </c>
      <c r="M1385" s="3" t="s">
        <v>3601</v>
      </c>
      <c r="O1385" s="3" t="s">
        <v>65</v>
      </c>
      <c r="P1385" s="3" t="s">
        <v>84</v>
      </c>
      <c r="R1385" s="3" t="s">
        <v>67</v>
      </c>
      <c r="S1385" s="4">
        <v>2</v>
      </c>
      <c r="T1385" s="4">
        <v>2</v>
      </c>
      <c r="U1385" s="5" t="s">
        <v>17908</v>
      </c>
      <c r="V1385" s="5" t="s">
        <v>17908</v>
      </c>
      <c r="W1385" s="5" t="s">
        <v>17921</v>
      </c>
      <c r="X1385" s="5" t="s">
        <v>15649</v>
      </c>
      <c r="Y1385" s="4">
        <v>702</v>
      </c>
      <c r="Z1385" s="4">
        <v>610</v>
      </c>
      <c r="AA1385" s="4">
        <v>617</v>
      </c>
      <c r="AB1385" s="4">
        <v>5</v>
      </c>
      <c r="AC1385" s="4">
        <v>5</v>
      </c>
      <c r="AD1385" s="4">
        <v>38</v>
      </c>
      <c r="AE1385" s="4">
        <v>38</v>
      </c>
      <c r="AF1385" s="4">
        <v>6</v>
      </c>
      <c r="AG1385" s="4">
        <v>6</v>
      </c>
      <c r="AH1385" s="4">
        <v>4</v>
      </c>
      <c r="AI1385" s="4">
        <v>4</v>
      </c>
      <c r="AJ1385" s="4">
        <v>10</v>
      </c>
      <c r="AK1385" s="4">
        <v>10</v>
      </c>
      <c r="AL1385" s="4">
        <v>2</v>
      </c>
      <c r="AM1385" s="4">
        <v>2</v>
      </c>
      <c r="AN1385" s="4">
        <v>21</v>
      </c>
      <c r="AO1385" s="4">
        <v>21</v>
      </c>
      <c r="AP1385" s="3" t="s">
        <v>58</v>
      </c>
      <c r="AQ1385" s="3" t="s">
        <v>87</v>
      </c>
      <c r="AR1385" s="6" t="str">
        <f>HYPERLINK("http://catalog.hathitrust.org/Record/001135938","HathiTrust Record")</f>
        <v>HathiTrust Record</v>
      </c>
      <c r="AS1385" s="6" t="str">
        <f>HYPERLINK("https://creighton-primo.hosted.exlibrisgroup.com/primo-explore/search?tab=default_tab&amp;search_scope=EVERYTHING&amp;vid=01CRU&amp;lang=en_US&amp;offset=0&amp;query=any,contains,991001647589702656","Catalog Record")</f>
        <v>Catalog Record</v>
      </c>
      <c r="AT1385" s="6" t="str">
        <f>HYPERLINK("http://www.worldcat.org/oclc/1288989","WorldCat Record")</f>
        <v>WorldCat Record</v>
      </c>
      <c r="AU1385" s="3" t="s">
        <v>17922</v>
      </c>
      <c r="AV1385" s="3" t="s">
        <v>17923</v>
      </c>
      <c r="AW1385" s="3" t="s">
        <v>17924</v>
      </c>
      <c r="AX1385" s="3" t="s">
        <v>17924</v>
      </c>
      <c r="AY1385" s="3" t="s">
        <v>17925</v>
      </c>
      <c r="AZ1385" s="3" t="s">
        <v>74</v>
      </c>
      <c r="BC1385" s="3" t="s">
        <v>17926</v>
      </c>
      <c r="BD1385" s="3" t="s">
        <v>17927</v>
      </c>
    </row>
    <row r="1386" spans="1:56" ht="45.75" customHeight="1" x14ac:dyDescent="0.25">
      <c r="A1386" s="7" t="s">
        <v>58</v>
      </c>
      <c r="B1386" s="2" t="s">
        <v>17928</v>
      </c>
      <c r="C1386" s="2" t="s">
        <v>17929</v>
      </c>
      <c r="D1386" s="2" t="s">
        <v>17930</v>
      </c>
      <c r="F1386" s="3" t="s">
        <v>58</v>
      </c>
      <c r="G1386" s="3" t="s">
        <v>59</v>
      </c>
      <c r="H1386" s="3" t="s">
        <v>58</v>
      </c>
      <c r="I1386" s="3" t="s">
        <v>58</v>
      </c>
      <c r="J1386" s="3" t="s">
        <v>60</v>
      </c>
      <c r="K1386" s="2" t="s">
        <v>17931</v>
      </c>
      <c r="L1386" s="2" t="s">
        <v>17932</v>
      </c>
      <c r="M1386" s="3" t="s">
        <v>248</v>
      </c>
      <c r="O1386" s="3" t="s">
        <v>65</v>
      </c>
      <c r="P1386" s="3" t="s">
        <v>175</v>
      </c>
      <c r="Q1386" s="2" t="s">
        <v>17933</v>
      </c>
      <c r="R1386" s="3" t="s">
        <v>67</v>
      </c>
      <c r="S1386" s="4">
        <v>1</v>
      </c>
      <c r="T1386" s="4">
        <v>1</v>
      </c>
      <c r="U1386" s="5" t="s">
        <v>6861</v>
      </c>
      <c r="V1386" s="5" t="s">
        <v>6861</v>
      </c>
      <c r="W1386" s="5" t="s">
        <v>6861</v>
      </c>
      <c r="X1386" s="5" t="s">
        <v>6861</v>
      </c>
      <c r="Y1386" s="4">
        <v>248</v>
      </c>
      <c r="Z1386" s="4">
        <v>122</v>
      </c>
      <c r="AA1386" s="4">
        <v>278</v>
      </c>
      <c r="AB1386" s="4">
        <v>2</v>
      </c>
      <c r="AC1386" s="4">
        <v>2</v>
      </c>
      <c r="AD1386" s="4">
        <v>4</v>
      </c>
      <c r="AE1386" s="4">
        <v>4</v>
      </c>
      <c r="AF1386" s="4">
        <v>1</v>
      </c>
      <c r="AG1386" s="4">
        <v>1</v>
      </c>
      <c r="AH1386" s="4">
        <v>0</v>
      </c>
      <c r="AI1386" s="4">
        <v>0</v>
      </c>
      <c r="AJ1386" s="4">
        <v>2</v>
      </c>
      <c r="AK1386" s="4">
        <v>2</v>
      </c>
      <c r="AL1386" s="4">
        <v>1</v>
      </c>
      <c r="AM1386" s="4">
        <v>1</v>
      </c>
      <c r="AN1386" s="4">
        <v>1</v>
      </c>
      <c r="AO1386" s="4">
        <v>1</v>
      </c>
      <c r="AP1386" s="3" t="s">
        <v>58</v>
      </c>
      <c r="AQ1386" s="3" t="s">
        <v>58</v>
      </c>
      <c r="AS1386" s="6" t="str">
        <f>HYPERLINK("https://creighton-primo.hosted.exlibrisgroup.com/primo-explore/search?tab=default_tab&amp;search_scope=EVERYTHING&amp;vid=01CRU&amp;lang=en_US&amp;offset=0&amp;query=any,contains,991005301389702656","Catalog Record")</f>
        <v>Catalog Record</v>
      </c>
      <c r="AT1386" s="6" t="str">
        <f>HYPERLINK("http://www.worldcat.org/oclc/73993512","WorldCat Record")</f>
        <v>WorldCat Record</v>
      </c>
      <c r="AU1386" s="3" t="s">
        <v>17934</v>
      </c>
      <c r="AV1386" s="3" t="s">
        <v>17935</v>
      </c>
      <c r="AW1386" s="3" t="s">
        <v>17936</v>
      </c>
      <c r="AX1386" s="3" t="s">
        <v>17936</v>
      </c>
      <c r="AY1386" s="3" t="s">
        <v>17937</v>
      </c>
      <c r="AZ1386" s="3" t="s">
        <v>74</v>
      </c>
      <c r="BB1386" s="3" t="s">
        <v>17938</v>
      </c>
      <c r="BC1386" s="3" t="s">
        <v>17939</v>
      </c>
      <c r="BD1386" s="3" t="s">
        <v>17940</v>
      </c>
    </row>
    <row r="1387" spans="1:56" ht="45.75" customHeight="1" x14ac:dyDescent="0.25">
      <c r="A1387" s="7" t="s">
        <v>58</v>
      </c>
      <c r="B1387" s="2" t="s">
        <v>17941</v>
      </c>
      <c r="C1387" s="2" t="s">
        <v>17942</v>
      </c>
      <c r="D1387" s="2" t="s">
        <v>17943</v>
      </c>
      <c r="F1387" s="3" t="s">
        <v>58</v>
      </c>
      <c r="G1387" s="3" t="s">
        <v>59</v>
      </c>
      <c r="H1387" s="3" t="s">
        <v>58</v>
      </c>
      <c r="I1387" s="3" t="s">
        <v>58</v>
      </c>
      <c r="J1387" s="3" t="s">
        <v>60</v>
      </c>
      <c r="K1387" s="2" t="s">
        <v>17944</v>
      </c>
      <c r="L1387" s="2" t="s">
        <v>17945</v>
      </c>
      <c r="M1387" s="3" t="s">
        <v>290</v>
      </c>
      <c r="O1387" s="3" t="s">
        <v>65</v>
      </c>
      <c r="P1387" s="3" t="s">
        <v>66</v>
      </c>
      <c r="Q1387" s="2" t="s">
        <v>17946</v>
      </c>
      <c r="R1387" s="3" t="s">
        <v>67</v>
      </c>
      <c r="S1387" s="4">
        <v>1</v>
      </c>
      <c r="T1387" s="4">
        <v>1</v>
      </c>
      <c r="U1387" s="5" t="s">
        <v>11273</v>
      </c>
      <c r="V1387" s="5" t="s">
        <v>11273</v>
      </c>
      <c r="W1387" s="5" t="s">
        <v>17947</v>
      </c>
      <c r="X1387" s="5" t="s">
        <v>17947</v>
      </c>
      <c r="Y1387" s="4">
        <v>13</v>
      </c>
      <c r="Z1387" s="4">
        <v>13</v>
      </c>
      <c r="AA1387" s="4">
        <v>15</v>
      </c>
      <c r="AB1387" s="4">
        <v>1</v>
      </c>
      <c r="AC1387" s="4">
        <v>1</v>
      </c>
      <c r="AD1387" s="4">
        <v>1</v>
      </c>
      <c r="AE1387" s="4">
        <v>2</v>
      </c>
      <c r="AF1387" s="4">
        <v>0</v>
      </c>
      <c r="AG1387" s="4">
        <v>1</v>
      </c>
      <c r="AH1387" s="4">
        <v>0</v>
      </c>
      <c r="AI1387" s="4">
        <v>0</v>
      </c>
      <c r="AJ1387" s="4">
        <v>0</v>
      </c>
      <c r="AK1387" s="4">
        <v>0</v>
      </c>
      <c r="AL1387" s="4">
        <v>0</v>
      </c>
      <c r="AM1387" s="4">
        <v>0</v>
      </c>
      <c r="AN1387" s="4">
        <v>1</v>
      </c>
      <c r="AO1387" s="4">
        <v>1</v>
      </c>
      <c r="AP1387" s="3" t="s">
        <v>58</v>
      </c>
      <c r="AQ1387" s="3" t="s">
        <v>58</v>
      </c>
      <c r="AS1387" s="6" t="str">
        <f>HYPERLINK("https://creighton-primo.hosted.exlibrisgroup.com/primo-explore/search?tab=default_tab&amp;search_scope=EVERYTHING&amp;vid=01CRU&amp;lang=en_US&amp;offset=0&amp;query=any,contains,991004097609702656","Catalog Record")</f>
        <v>Catalog Record</v>
      </c>
      <c r="AT1387" s="6" t="str">
        <f>HYPERLINK("http://www.worldcat.org/oclc/48085892","WorldCat Record")</f>
        <v>WorldCat Record</v>
      </c>
      <c r="AU1387" s="3" t="s">
        <v>17948</v>
      </c>
      <c r="AV1387" s="3" t="s">
        <v>17949</v>
      </c>
      <c r="AW1387" s="3" t="s">
        <v>17950</v>
      </c>
      <c r="AX1387" s="3" t="s">
        <v>17950</v>
      </c>
      <c r="AY1387" s="3" t="s">
        <v>17951</v>
      </c>
      <c r="AZ1387" s="3" t="s">
        <v>74</v>
      </c>
      <c r="BC1387" s="3" t="s">
        <v>17952</v>
      </c>
      <c r="BD1387" s="3" t="s">
        <v>17953</v>
      </c>
    </row>
    <row r="1388" spans="1:56" ht="45.75" customHeight="1" x14ac:dyDescent="0.25">
      <c r="A1388" s="7" t="s">
        <v>58</v>
      </c>
      <c r="B1388" s="2" t="s">
        <v>17954</v>
      </c>
      <c r="C1388" s="2" t="s">
        <v>17955</v>
      </c>
      <c r="D1388" s="2" t="s">
        <v>17956</v>
      </c>
      <c r="F1388" s="3" t="s">
        <v>58</v>
      </c>
      <c r="G1388" s="3" t="s">
        <v>59</v>
      </c>
      <c r="H1388" s="3" t="s">
        <v>87</v>
      </c>
      <c r="I1388" s="3" t="s">
        <v>58</v>
      </c>
      <c r="J1388" s="3" t="s">
        <v>60</v>
      </c>
      <c r="K1388" s="2" t="s">
        <v>17957</v>
      </c>
      <c r="L1388" s="2" t="s">
        <v>15570</v>
      </c>
      <c r="M1388" s="3" t="s">
        <v>629</v>
      </c>
      <c r="O1388" s="3" t="s">
        <v>65</v>
      </c>
      <c r="P1388" s="3" t="s">
        <v>1282</v>
      </c>
      <c r="Q1388" s="2" t="s">
        <v>17958</v>
      </c>
      <c r="R1388" s="3" t="s">
        <v>67</v>
      </c>
      <c r="S1388" s="4">
        <v>5</v>
      </c>
      <c r="T1388" s="4">
        <v>5</v>
      </c>
      <c r="U1388" s="5" t="s">
        <v>3989</v>
      </c>
      <c r="V1388" s="5" t="s">
        <v>3989</v>
      </c>
      <c r="W1388" s="5" t="s">
        <v>6622</v>
      </c>
      <c r="X1388" s="5" t="s">
        <v>17959</v>
      </c>
      <c r="Y1388" s="4">
        <v>358</v>
      </c>
      <c r="Z1388" s="4">
        <v>305</v>
      </c>
      <c r="AA1388" s="4">
        <v>424</v>
      </c>
      <c r="AB1388" s="4">
        <v>3</v>
      </c>
      <c r="AC1388" s="4">
        <v>3</v>
      </c>
      <c r="AD1388" s="4">
        <v>18</v>
      </c>
      <c r="AE1388" s="4">
        <v>29</v>
      </c>
      <c r="AF1388" s="4">
        <v>4</v>
      </c>
      <c r="AG1388" s="4">
        <v>8</v>
      </c>
      <c r="AH1388" s="4">
        <v>2</v>
      </c>
      <c r="AI1388" s="4">
        <v>6</v>
      </c>
      <c r="AJ1388" s="4">
        <v>7</v>
      </c>
      <c r="AK1388" s="4">
        <v>12</v>
      </c>
      <c r="AL1388" s="4">
        <v>1</v>
      </c>
      <c r="AM1388" s="4">
        <v>1</v>
      </c>
      <c r="AN1388" s="4">
        <v>7</v>
      </c>
      <c r="AO1388" s="4">
        <v>7</v>
      </c>
      <c r="AP1388" s="3" t="s">
        <v>58</v>
      </c>
      <c r="AQ1388" s="3" t="s">
        <v>87</v>
      </c>
      <c r="AR1388" s="6" t="str">
        <f>HYPERLINK("http://catalog.hathitrust.org/Record/002867016","HathiTrust Record")</f>
        <v>HathiTrust Record</v>
      </c>
      <c r="AS1388" s="6" t="str">
        <f>HYPERLINK("https://creighton-primo.hosted.exlibrisgroup.com/primo-explore/search?tab=default_tab&amp;search_scope=EVERYTHING&amp;vid=01CRU&amp;lang=en_US&amp;offset=0&amp;query=any,contains,991001661399702656","Catalog Record")</f>
        <v>Catalog Record</v>
      </c>
      <c r="AT1388" s="6" t="str">
        <f>HYPERLINK("http://www.worldcat.org/oclc/29668246","WorldCat Record")</f>
        <v>WorldCat Record</v>
      </c>
      <c r="AU1388" s="3" t="s">
        <v>17960</v>
      </c>
      <c r="AV1388" s="3" t="s">
        <v>17961</v>
      </c>
      <c r="AW1388" s="3" t="s">
        <v>17962</v>
      </c>
      <c r="AX1388" s="3" t="s">
        <v>17962</v>
      </c>
      <c r="AY1388" s="3" t="s">
        <v>17963</v>
      </c>
      <c r="AZ1388" s="3" t="s">
        <v>74</v>
      </c>
      <c r="BB1388" s="3" t="s">
        <v>17964</v>
      </c>
      <c r="BC1388" s="3" t="s">
        <v>17965</v>
      </c>
      <c r="BD1388" s="3" t="s">
        <v>17966</v>
      </c>
    </row>
    <row r="1389" spans="1:56" ht="45.75" customHeight="1" x14ac:dyDescent="0.25">
      <c r="A1389" s="7" t="s">
        <v>58</v>
      </c>
      <c r="B1389" s="2" t="s">
        <v>17967</v>
      </c>
      <c r="C1389" s="2" t="s">
        <v>17968</v>
      </c>
      <c r="D1389" s="2" t="s">
        <v>17969</v>
      </c>
      <c r="F1389" s="3" t="s">
        <v>58</v>
      </c>
      <c r="G1389" s="3" t="s">
        <v>59</v>
      </c>
      <c r="H1389" s="3" t="s">
        <v>58</v>
      </c>
      <c r="I1389" s="3" t="s">
        <v>58</v>
      </c>
      <c r="J1389" s="3" t="s">
        <v>60</v>
      </c>
      <c r="K1389" s="2" t="s">
        <v>17970</v>
      </c>
      <c r="L1389" s="2" t="s">
        <v>17971</v>
      </c>
      <c r="M1389" s="3" t="s">
        <v>5050</v>
      </c>
      <c r="O1389" s="3" t="s">
        <v>65</v>
      </c>
      <c r="P1389" s="3" t="s">
        <v>84</v>
      </c>
      <c r="R1389" s="3" t="s">
        <v>67</v>
      </c>
      <c r="S1389" s="4">
        <v>12</v>
      </c>
      <c r="T1389" s="4">
        <v>12</v>
      </c>
      <c r="U1389" s="5" t="s">
        <v>350</v>
      </c>
      <c r="V1389" s="5" t="s">
        <v>350</v>
      </c>
      <c r="W1389" s="5" t="s">
        <v>17972</v>
      </c>
      <c r="X1389" s="5" t="s">
        <v>17972</v>
      </c>
      <c r="Y1389" s="4">
        <v>433</v>
      </c>
      <c r="Z1389" s="4">
        <v>382</v>
      </c>
      <c r="AA1389" s="4">
        <v>756</v>
      </c>
      <c r="AB1389" s="4">
        <v>4</v>
      </c>
      <c r="AC1389" s="4">
        <v>4</v>
      </c>
      <c r="AD1389" s="4">
        <v>26</v>
      </c>
      <c r="AE1389" s="4">
        <v>41</v>
      </c>
      <c r="AF1389" s="4">
        <v>8</v>
      </c>
      <c r="AG1389" s="4">
        <v>14</v>
      </c>
      <c r="AH1389" s="4">
        <v>4</v>
      </c>
      <c r="AI1389" s="4">
        <v>7</v>
      </c>
      <c r="AJ1389" s="4">
        <v>11</v>
      </c>
      <c r="AK1389" s="4">
        <v>17</v>
      </c>
      <c r="AL1389" s="4">
        <v>2</v>
      </c>
      <c r="AM1389" s="4">
        <v>2</v>
      </c>
      <c r="AN1389" s="4">
        <v>7</v>
      </c>
      <c r="AO1389" s="4">
        <v>11</v>
      </c>
      <c r="AP1389" s="3" t="s">
        <v>58</v>
      </c>
      <c r="AQ1389" s="3" t="s">
        <v>58</v>
      </c>
      <c r="AR1389" s="6" t="str">
        <f>HYPERLINK("http://catalog.hathitrust.org/Record/001135948","HathiTrust Record")</f>
        <v>HathiTrust Record</v>
      </c>
      <c r="AS1389" s="6" t="str">
        <f>HYPERLINK("https://creighton-primo.hosted.exlibrisgroup.com/primo-explore/search?tab=default_tab&amp;search_scope=EVERYTHING&amp;vid=01CRU&amp;lang=en_US&amp;offset=0&amp;query=any,contains,991002116019702656","Catalog Record")</f>
        <v>Catalog Record</v>
      </c>
      <c r="AT1389" s="6" t="str">
        <f>HYPERLINK("http://www.worldcat.org/oclc/268325","WorldCat Record")</f>
        <v>WorldCat Record</v>
      </c>
      <c r="AU1389" s="3" t="s">
        <v>17973</v>
      </c>
      <c r="AV1389" s="3" t="s">
        <v>17974</v>
      </c>
      <c r="AW1389" s="3" t="s">
        <v>17975</v>
      </c>
      <c r="AX1389" s="3" t="s">
        <v>17975</v>
      </c>
      <c r="AY1389" s="3" t="s">
        <v>17976</v>
      </c>
      <c r="AZ1389" s="3" t="s">
        <v>74</v>
      </c>
      <c r="BC1389" s="3" t="s">
        <v>17977</v>
      </c>
      <c r="BD1389" s="3" t="s">
        <v>17978</v>
      </c>
    </row>
    <row r="1390" spans="1:56" ht="45.75" customHeight="1" x14ac:dyDescent="0.25">
      <c r="A1390" s="7" t="s">
        <v>58</v>
      </c>
      <c r="B1390" s="2" t="s">
        <v>17979</v>
      </c>
      <c r="C1390" s="2" t="s">
        <v>17980</v>
      </c>
      <c r="D1390" s="2" t="s">
        <v>17981</v>
      </c>
      <c r="F1390" s="3" t="s">
        <v>58</v>
      </c>
      <c r="G1390" s="3" t="s">
        <v>59</v>
      </c>
      <c r="H1390" s="3" t="s">
        <v>58</v>
      </c>
      <c r="I1390" s="3" t="s">
        <v>58</v>
      </c>
      <c r="J1390" s="3" t="s">
        <v>60</v>
      </c>
      <c r="K1390" s="2" t="s">
        <v>17982</v>
      </c>
      <c r="L1390" s="2" t="s">
        <v>17983</v>
      </c>
      <c r="M1390" s="3" t="s">
        <v>1623</v>
      </c>
      <c r="N1390" s="2" t="s">
        <v>1624</v>
      </c>
      <c r="O1390" s="3" t="s">
        <v>65</v>
      </c>
      <c r="P1390" s="3" t="s">
        <v>190</v>
      </c>
      <c r="R1390" s="3" t="s">
        <v>67</v>
      </c>
      <c r="S1390" s="4">
        <v>6</v>
      </c>
      <c r="T1390" s="4">
        <v>6</v>
      </c>
      <c r="U1390" s="5" t="s">
        <v>350</v>
      </c>
      <c r="V1390" s="5" t="s">
        <v>350</v>
      </c>
      <c r="W1390" s="5" t="s">
        <v>9244</v>
      </c>
      <c r="X1390" s="5" t="s">
        <v>9244</v>
      </c>
      <c r="Y1390" s="4">
        <v>179</v>
      </c>
      <c r="Z1390" s="4">
        <v>154</v>
      </c>
      <c r="AA1390" s="4">
        <v>585</v>
      </c>
      <c r="AB1390" s="4">
        <v>1</v>
      </c>
      <c r="AC1390" s="4">
        <v>4</v>
      </c>
      <c r="AD1390" s="4">
        <v>7</v>
      </c>
      <c r="AE1390" s="4">
        <v>36</v>
      </c>
      <c r="AF1390" s="4">
        <v>2</v>
      </c>
      <c r="AG1390" s="4">
        <v>12</v>
      </c>
      <c r="AH1390" s="4">
        <v>1</v>
      </c>
      <c r="AI1390" s="4">
        <v>5</v>
      </c>
      <c r="AJ1390" s="4">
        <v>2</v>
      </c>
      <c r="AK1390" s="4">
        <v>11</v>
      </c>
      <c r="AL1390" s="4">
        <v>0</v>
      </c>
      <c r="AM1390" s="4">
        <v>2</v>
      </c>
      <c r="AN1390" s="4">
        <v>2</v>
      </c>
      <c r="AO1390" s="4">
        <v>12</v>
      </c>
      <c r="AP1390" s="3" t="s">
        <v>58</v>
      </c>
      <c r="AQ1390" s="3" t="s">
        <v>87</v>
      </c>
      <c r="AR1390" s="6" t="str">
        <f>HYPERLINK("http://catalog.hathitrust.org/Record/006235641","HathiTrust Record")</f>
        <v>HathiTrust Record</v>
      </c>
      <c r="AS1390" s="6" t="str">
        <f>HYPERLINK("https://creighton-primo.hosted.exlibrisgroup.com/primo-explore/search?tab=default_tab&amp;search_scope=EVERYTHING&amp;vid=01CRU&amp;lang=en_US&amp;offset=0&amp;query=any,contains,991002095759702656","Catalog Record")</f>
        <v>Catalog Record</v>
      </c>
      <c r="AT1390" s="6" t="str">
        <f>HYPERLINK("http://www.worldcat.org/oclc/265592","WorldCat Record")</f>
        <v>WorldCat Record</v>
      </c>
      <c r="AU1390" s="3" t="s">
        <v>17984</v>
      </c>
      <c r="AV1390" s="3" t="s">
        <v>17985</v>
      </c>
      <c r="AW1390" s="3" t="s">
        <v>17986</v>
      </c>
      <c r="AX1390" s="3" t="s">
        <v>17986</v>
      </c>
      <c r="AY1390" s="3" t="s">
        <v>17987</v>
      </c>
      <c r="AZ1390" s="3" t="s">
        <v>74</v>
      </c>
      <c r="BC1390" s="3" t="s">
        <v>17988</v>
      </c>
      <c r="BD1390" s="3" t="s">
        <v>17989</v>
      </c>
    </row>
    <row r="1391" spans="1:56" ht="45.75" customHeight="1" x14ac:dyDescent="0.25">
      <c r="A1391" s="7" t="s">
        <v>58</v>
      </c>
      <c r="B1391" s="2" t="s">
        <v>17990</v>
      </c>
      <c r="C1391" s="2" t="s">
        <v>17991</v>
      </c>
      <c r="D1391" s="2" t="s">
        <v>17992</v>
      </c>
      <c r="F1391" s="3" t="s">
        <v>58</v>
      </c>
      <c r="G1391" s="3" t="s">
        <v>59</v>
      </c>
      <c r="H1391" s="3" t="s">
        <v>58</v>
      </c>
      <c r="I1391" s="3" t="s">
        <v>58</v>
      </c>
      <c r="J1391" s="3" t="s">
        <v>60</v>
      </c>
      <c r="K1391" s="2" t="s">
        <v>17993</v>
      </c>
      <c r="L1391" s="2" t="s">
        <v>17994</v>
      </c>
      <c r="M1391" s="3" t="s">
        <v>2146</v>
      </c>
      <c r="O1391" s="3" t="s">
        <v>65</v>
      </c>
      <c r="P1391" s="3" t="s">
        <v>84</v>
      </c>
      <c r="R1391" s="3" t="s">
        <v>67</v>
      </c>
      <c r="S1391" s="4">
        <v>4</v>
      </c>
      <c r="T1391" s="4">
        <v>4</v>
      </c>
      <c r="U1391" s="5" t="s">
        <v>17908</v>
      </c>
      <c r="V1391" s="5" t="s">
        <v>17908</v>
      </c>
      <c r="W1391" s="5" t="s">
        <v>17921</v>
      </c>
      <c r="X1391" s="5" t="s">
        <v>17921</v>
      </c>
      <c r="Y1391" s="4">
        <v>219</v>
      </c>
      <c r="Z1391" s="4">
        <v>189</v>
      </c>
      <c r="AA1391" s="4">
        <v>404</v>
      </c>
      <c r="AB1391" s="4">
        <v>2</v>
      </c>
      <c r="AC1391" s="4">
        <v>2</v>
      </c>
      <c r="AD1391" s="4">
        <v>13</v>
      </c>
      <c r="AE1391" s="4">
        <v>24</v>
      </c>
      <c r="AF1391" s="4">
        <v>4</v>
      </c>
      <c r="AG1391" s="4">
        <v>6</v>
      </c>
      <c r="AH1391" s="4">
        <v>4</v>
      </c>
      <c r="AI1391" s="4">
        <v>8</v>
      </c>
      <c r="AJ1391" s="4">
        <v>5</v>
      </c>
      <c r="AK1391" s="4">
        <v>13</v>
      </c>
      <c r="AL1391" s="4">
        <v>1</v>
      </c>
      <c r="AM1391" s="4">
        <v>1</v>
      </c>
      <c r="AN1391" s="4">
        <v>2</v>
      </c>
      <c r="AO1391" s="4">
        <v>3</v>
      </c>
      <c r="AP1391" s="3" t="s">
        <v>58</v>
      </c>
      <c r="AQ1391" s="3" t="s">
        <v>58</v>
      </c>
      <c r="AS1391" s="6" t="str">
        <f>HYPERLINK("https://creighton-primo.hosted.exlibrisgroup.com/primo-explore/search?tab=default_tab&amp;search_scope=EVERYTHING&amp;vid=01CRU&amp;lang=en_US&amp;offset=0&amp;query=any,contains,991000423709702656","Catalog Record")</f>
        <v>Catalog Record</v>
      </c>
      <c r="AT1391" s="6" t="str">
        <f>HYPERLINK("http://www.worldcat.org/oclc/74481","WorldCat Record")</f>
        <v>WorldCat Record</v>
      </c>
      <c r="AU1391" s="3" t="s">
        <v>17995</v>
      </c>
      <c r="AV1391" s="3" t="s">
        <v>17996</v>
      </c>
      <c r="AW1391" s="3" t="s">
        <v>17997</v>
      </c>
      <c r="AX1391" s="3" t="s">
        <v>17997</v>
      </c>
      <c r="AY1391" s="3" t="s">
        <v>17998</v>
      </c>
      <c r="AZ1391" s="3" t="s">
        <v>74</v>
      </c>
      <c r="BC1391" s="3" t="s">
        <v>17999</v>
      </c>
      <c r="BD1391" s="3" t="s">
        <v>18000</v>
      </c>
    </row>
    <row r="1392" spans="1:56" ht="45.75" customHeight="1" x14ac:dyDescent="0.25">
      <c r="A1392" s="7" t="s">
        <v>58</v>
      </c>
      <c r="B1392" s="2" t="s">
        <v>18001</v>
      </c>
      <c r="C1392" s="2" t="s">
        <v>18002</v>
      </c>
      <c r="D1392" s="2" t="s">
        <v>18003</v>
      </c>
      <c r="F1392" s="3" t="s">
        <v>58</v>
      </c>
      <c r="G1392" s="3" t="s">
        <v>59</v>
      </c>
      <c r="H1392" s="3" t="s">
        <v>58</v>
      </c>
      <c r="I1392" s="3" t="s">
        <v>58</v>
      </c>
      <c r="J1392" s="3" t="s">
        <v>60</v>
      </c>
      <c r="K1392" s="2" t="s">
        <v>18004</v>
      </c>
      <c r="L1392" s="2" t="s">
        <v>18005</v>
      </c>
      <c r="M1392" s="3" t="s">
        <v>100</v>
      </c>
      <c r="O1392" s="3" t="s">
        <v>65</v>
      </c>
      <c r="P1392" s="3" t="s">
        <v>204</v>
      </c>
      <c r="R1392" s="3" t="s">
        <v>67</v>
      </c>
      <c r="S1392" s="4">
        <v>3</v>
      </c>
      <c r="T1392" s="4">
        <v>3</v>
      </c>
      <c r="U1392" s="5" t="s">
        <v>4871</v>
      </c>
      <c r="V1392" s="5" t="s">
        <v>4871</v>
      </c>
      <c r="W1392" s="5" t="s">
        <v>18006</v>
      </c>
      <c r="X1392" s="5" t="s">
        <v>18006</v>
      </c>
      <c r="Y1392" s="4">
        <v>351</v>
      </c>
      <c r="Z1392" s="4">
        <v>322</v>
      </c>
      <c r="AA1392" s="4">
        <v>324</v>
      </c>
      <c r="AB1392" s="4">
        <v>6</v>
      </c>
      <c r="AC1392" s="4">
        <v>6</v>
      </c>
      <c r="AD1392" s="4">
        <v>23</v>
      </c>
      <c r="AE1392" s="4">
        <v>23</v>
      </c>
      <c r="AF1392" s="4">
        <v>6</v>
      </c>
      <c r="AG1392" s="4">
        <v>6</v>
      </c>
      <c r="AH1392" s="4">
        <v>6</v>
      </c>
      <c r="AI1392" s="4">
        <v>6</v>
      </c>
      <c r="AJ1392" s="4">
        <v>8</v>
      </c>
      <c r="AK1392" s="4">
        <v>8</v>
      </c>
      <c r="AL1392" s="4">
        <v>4</v>
      </c>
      <c r="AM1392" s="4">
        <v>4</v>
      </c>
      <c r="AN1392" s="4">
        <v>4</v>
      </c>
      <c r="AO1392" s="4">
        <v>4</v>
      </c>
      <c r="AP1392" s="3" t="s">
        <v>58</v>
      </c>
      <c r="AQ1392" s="3" t="s">
        <v>87</v>
      </c>
      <c r="AR1392" s="6" t="str">
        <f>HYPERLINK("http://catalog.hathitrust.org/Record/000041199","HathiTrust Record")</f>
        <v>HathiTrust Record</v>
      </c>
      <c r="AS1392" s="6" t="str">
        <f>HYPERLINK("https://creighton-primo.hosted.exlibrisgroup.com/primo-explore/search?tab=default_tab&amp;search_scope=EVERYTHING&amp;vid=01CRU&amp;lang=en_US&amp;offset=0&amp;query=any,contains,991003592379702656","Catalog Record")</f>
        <v>Catalog Record</v>
      </c>
      <c r="AT1392" s="6" t="str">
        <f>HYPERLINK("http://www.worldcat.org/oclc/1174596","WorldCat Record")</f>
        <v>WorldCat Record</v>
      </c>
      <c r="AU1392" s="3" t="s">
        <v>18007</v>
      </c>
      <c r="AV1392" s="3" t="s">
        <v>18008</v>
      </c>
      <c r="AW1392" s="3" t="s">
        <v>18009</v>
      </c>
      <c r="AX1392" s="3" t="s">
        <v>18009</v>
      </c>
      <c r="AY1392" s="3" t="s">
        <v>18010</v>
      </c>
      <c r="AZ1392" s="3" t="s">
        <v>74</v>
      </c>
      <c r="BB1392" s="3" t="s">
        <v>18011</v>
      </c>
      <c r="BC1392" s="3" t="s">
        <v>18012</v>
      </c>
      <c r="BD1392" s="3" t="s">
        <v>18013</v>
      </c>
    </row>
    <row r="1393" spans="1:56" ht="45.75" customHeight="1" x14ac:dyDescent="0.25">
      <c r="A1393" s="7" t="s">
        <v>58</v>
      </c>
      <c r="B1393" s="2" t="s">
        <v>18014</v>
      </c>
      <c r="C1393" s="2" t="s">
        <v>18015</v>
      </c>
      <c r="D1393" s="2" t="s">
        <v>18016</v>
      </c>
      <c r="F1393" s="3" t="s">
        <v>58</v>
      </c>
      <c r="G1393" s="3" t="s">
        <v>59</v>
      </c>
      <c r="H1393" s="3" t="s">
        <v>58</v>
      </c>
      <c r="I1393" s="3" t="s">
        <v>58</v>
      </c>
      <c r="J1393" s="3" t="s">
        <v>60</v>
      </c>
      <c r="L1393" s="2" t="s">
        <v>18017</v>
      </c>
      <c r="M1393" s="3" t="s">
        <v>1088</v>
      </c>
      <c r="O1393" s="3" t="s">
        <v>65</v>
      </c>
      <c r="P1393" s="3" t="s">
        <v>84</v>
      </c>
      <c r="R1393" s="3" t="s">
        <v>67</v>
      </c>
      <c r="S1393" s="4">
        <v>22</v>
      </c>
      <c r="T1393" s="4">
        <v>22</v>
      </c>
      <c r="U1393" s="5" t="s">
        <v>350</v>
      </c>
      <c r="V1393" s="5" t="s">
        <v>350</v>
      </c>
      <c r="W1393" s="5" t="s">
        <v>18018</v>
      </c>
      <c r="X1393" s="5" t="s">
        <v>18018</v>
      </c>
      <c r="Y1393" s="4">
        <v>321</v>
      </c>
      <c r="Z1393" s="4">
        <v>297</v>
      </c>
      <c r="AA1393" s="4">
        <v>302</v>
      </c>
      <c r="AB1393" s="4">
        <v>4</v>
      </c>
      <c r="AC1393" s="4">
        <v>4</v>
      </c>
      <c r="AD1393" s="4">
        <v>7</v>
      </c>
      <c r="AE1393" s="4">
        <v>7</v>
      </c>
      <c r="AF1393" s="4">
        <v>2</v>
      </c>
      <c r="AG1393" s="4">
        <v>2</v>
      </c>
      <c r="AH1393" s="4">
        <v>1</v>
      </c>
      <c r="AI1393" s="4">
        <v>1</v>
      </c>
      <c r="AJ1393" s="4">
        <v>2</v>
      </c>
      <c r="AK1393" s="4">
        <v>2</v>
      </c>
      <c r="AL1393" s="4">
        <v>2</v>
      </c>
      <c r="AM1393" s="4">
        <v>2</v>
      </c>
      <c r="AN1393" s="4">
        <v>2</v>
      </c>
      <c r="AO1393" s="4">
        <v>2</v>
      </c>
      <c r="AP1393" s="3" t="s">
        <v>58</v>
      </c>
      <c r="AQ1393" s="3" t="s">
        <v>58</v>
      </c>
      <c r="AS1393" s="6" t="str">
        <f>HYPERLINK("https://creighton-primo.hosted.exlibrisgroup.com/primo-explore/search?tab=default_tab&amp;search_scope=EVERYTHING&amp;vid=01CRU&amp;lang=en_US&amp;offset=0&amp;query=any,contains,991000636859702656","Catalog Record")</f>
        <v>Catalog Record</v>
      </c>
      <c r="AT1393" s="6" t="str">
        <f>HYPERLINK("http://www.worldcat.org/oclc/12081833","WorldCat Record")</f>
        <v>WorldCat Record</v>
      </c>
      <c r="AU1393" s="3" t="s">
        <v>18019</v>
      </c>
      <c r="AV1393" s="3" t="s">
        <v>18020</v>
      </c>
      <c r="AW1393" s="3" t="s">
        <v>18021</v>
      </c>
      <c r="AX1393" s="3" t="s">
        <v>18021</v>
      </c>
      <c r="AY1393" s="3" t="s">
        <v>18022</v>
      </c>
      <c r="AZ1393" s="3" t="s">
        <v>74</v>
      </c>
      <c r="BB1393" s="3" t="s">
        <v>18023</v>
      </c>
      <c r="BC1393" s="3" t="s">
        <v>18024</v>
      </c>
      <c r="BD1393" s="3" t="s">
        <v>18025</v>
      </c>
    </row>
    <row r="1394" spans="1:56" ht="45.75" customHeight="1" x14ac:dyDescent="0.25">
      <c r="A1394" s="7" t="s">
        <v>58</v>
      </c>
      <c r="B1394" s="2" t="s">
        <v>18026</v>
      </c>
      <c r="C1394" s="2" t="s">
        <v>18027</v>
      </c>
      <c r="D1394" s="2" t="s">
        <v>18028</v>
      </c>
      <c r="F1394" s="3" t="s">
        <v>58</v>
      </c>
      <c r="G1394" s="3" t="s">
        <v>59</v>
      </c>
      <c r="H1394" s="3" t="s">
        <v>87</v>
      </c>
      <c r="I1394" s="3" t="s">
        <v>58</v>
      </c>
      <c r="J1394" s="3" t="s">
        <v>60</v>
      </c>
      <c r="K1394" s="2" t="s">
        <v>18029</v>
      </c>
      <c r="L1394" s="2" t="s">
        <v>5951</v>
      </c>
      <c r="M1394" s="3" t="s">
        <v>557</v>
      </c>
      <c r="O1394" s="3" t="s">
        <v>65</v>
      </c>
      <c r="P1394" s="3" t="s">
        <v>190</v>
      </c>
      <c r="Q1394" s="2" t="s">
        <v>15673</v>
      </c>
      <c r="R1394" s="3" t="s">
        <v>67</v>
      </c>
      <c r="S1394" s="4">
        <v>8</v>
      </c>
      <c r="T1394" s="4">
        <v>9</v>
      </c>
      <c r="U1394" s="5" t="s">
        <v>5077</v>
      </c>
      <c r="V1394" s="5" t="s">
        <v>5077</v>
      </c>
      <c r="W1394" s="5" t="s">
        <v>17921</v>
      </c>
      <c r="X1394" s="5" t="s">
        <v>17921</v>
      </c>
      <c r="Y1394" s="4">
        <v>548</v>
      </c>
      <c r="Z1394" s="4">
        <v>450</v>
      </c>
      <c r="AA1394" s="4">
        <v>450</v>
      </c>
      <c r="AB1394" s="4">
        <v>4</v>
      </c>
      <c r="AC1394" s="4">
        <v>4</v>
      </c>
      <c r="AD1394" s="4">
        <v>29</v>
      </c>
      <c r="AE1394" s="4">
        <v>29</v>
      </c>
      <c r="AF1394" s="4">
        <v>7</v>
      </c>
      <c r="AG1394" s="4">
        <v>7</v>
      </c>
      <c r="AH1394" s="4">
        <v>5</v>
      </c>
      <c r="AI1394" s="4">
        <v>5</v>
      </c>
      <c r="AJ1394" s="4">
        <v>12</v>
      </c>
      <c r="AK1394" s="4">
        <v>12</v>
      </c>
      <c r="AL1394" s="4">
        <v>2</v>
      </c>
      <c r="AM1394" s="4">
        <v>2</v>
      </c>
      <c r="AN1394" s="4">
        <v>8</v>
      </c>
      <c r="AO1394" s="4">
        <v>8</v>
      </c>
      <c r="AP1394" s="3" t="s">
        <v>58</v>
      </c>
      <c r="AQ1394" s="3" t="s">
        <v>58</v>
      </c>
      <c r="AS1394" s="6" t="str">
        <f>HYPERLINK("https://creighton-primo.hosted.exlibrisgroup.com/primo-explore/search?tab=default_tab&amp;search_scope=EVERYTHING&amp;vid=01CRU&amp;lang=en_US&amp;offset=0&amp;query=any,contains,991001658229702656","Catalog Record")</f>
        <v>Catalog Record</v>
      </c>
      <c r="AT1394" s="6" t="str">
        <f>HYPERLINK("http://www.worldcat.org/oclc/28025808","WorldCat Record")</f>
        <v>WorldCat Record</v>
      </c>
      <c r="AU1394" s="3" t="s">
        <v>18030</v>
      </c>
      <c r="AV1394" s="3" t="s">
        <v>18031</v>
      </c>
      <c r="AW1394" s="3" t="s">
        <v>18032</v>
      </c>
      <c r="AX1394" s="3" t="s">
        <v>18032</v>
      </c>
      <c r="AY1394" s="3" t="s">
        <v>18033</v>
      </c>
      <c r="AZ1394" s="3" t="s">
        <v>74</v>
      </c>
      <c r="BB1394" s="3" t="s">
        <v>18034</v>
      </c>
      <c r="BC1394" s="3" t="s">
        <v>18035</v>
      </c>
      <c r="BD1394" s="3" t="s">
        <v>18036</v>
      </c>
    </row>
    <row r="1395" spans="1:56" ht="45.75" customHeight="1" x14ac:dyDescent="0.25">
      <c r="A1395" s="7" t="s">
        <v>58</v>
      </c>
      <c r="B1395" s="2" t="s">
        <v>18037</v>
      </c>
      <c r="C1395" s="2" t="s">
        <v>18038</v>
      </c>
      <c r="D1395" s="2" t="s">
        <v>18039</v>
      </c>
      <c r="F1395" s="3" t="s">
        <v>58</v>
      </c>
      <c r="G1395" s="3" t="s">
        <v>59</v>
      </c>
      <c r="H1395" s="3" t="s">
        <v>58</v>
      </c>
      <c r="I1395" s="3" t="s">
        <v>58</v>
      </c>
      <c r="J1395" s="3" t="s">
        <v>60</v>
      </c>
      <c r="K1395" s="2" t="s">
        <v>18040</v>
      </c>
      <c r="L1395" s="2" t="s">
        <v>18041</v>
      </c>
      <c r="M1395" s="3" t="s">
        <v>2146</v>
      </c>
      <c r="O1395" s="3" t="s">
        <v>65</v>
      </c>
      <c r="P1395" s="3" t="s">
        <v>772</v>
      </c>
      <c r="Q1395" s="2" t="s">
        <v>18042</v>
      </c>
      <c r="R1395" s="3" t="s">
        <v>67</v>
      </c>
      <c r="S1395" s="4">
        <v>3</v>
      </c>
      <c r="T1395" s="4">
        <v>3</v>
      </c>
      <c r="U1395" s="5" t="s">
        <v>18043</v>
      </c>
      <c r="V1395" s="5" t="s">
        <v>18043</v>
      </c>
      <c r="W1395" s="5" t="s">
        <v>17101</v>
      </c>
      <c r="X1395" s="5" t="s">
        <v>17101</v>
      </c>
      <c r="Y1395" s="4">
        <v>492</v>
      </c>
      <c r="Z1395" s="4">
        <v>395</v>
      </c>
      <c r="AA1395" s="4">
        <v>397</v>
      </c>
      <c r="AB1395" s="4">
        <v>3</v>
      </c>
      <c r="AC1395" s="4">
        <v>3</v>
      </c>
      <c r="AD1395" s="4">
        <v>21</v>
      </c>
      <c r="AE1395" s="4">
        <v>21</v>
      </c>
      <c r="AF1395" s="4">
        <v>4</v>
      </c>
      <c r="AG1395" s="4">
        <v>4</v>
      </c>
      <c r="AH1395" s="4">
        <v>3</v>
      </c>
      <c r="AI1395" s="4">
        <v>3</v>
      </c>
      <c r="AJ1395" s="4">
        <v>9</v>
      </c>
      <c r="AK1395" s="4">
        <v>9</v>
      </c>
      <c r="AL1395" s="4">
        <v>1</v>
      </c>
      <c r="AM1395" s="4">
        <v>1</v>
      </c>
      <c r="AN1395" s="4">
        <v>9</v>
      </c>
      <c r="AO1395" s="4">
        <v>9</v>
      </c>
      <c r="AP1395" s="3" t="s">
        <v>58</v>
      </c>
      <c r="AQ1395" s="3" t="s">
        <v>87</v>
      </c>
      <c r="AR1395" s="6" t="str">
        <f>HYPERLINK("http://catalog.hathitrust.org/Record/001136016","HathiTrust Record")</f>
        <v>HathiTrust Record</v>
      </c>
      <c r="AS1395" s="6" t="str">
        <f>HYPERLINK("https://creighton-primo.hosted.exlibrisgroup.com/primo-explore/search?tab=default_tab&amp;search_scope=EVERYTHING&amp;vid=01CRU&amp;lang=en_US&amp;offset=0&amp;query=any,contains,991002098779702656","Catalog Record")</f>
        <v>Catalog Record</v>
      </c>
      <c r="AT1395" s="6" t="str">
        <f>HYPERLINK("http://www.worldcat.org/oclc/265973","WorldCat Record")</f>
        <v>WorldCat Record</v>
      </c>
      <c r="AU1395" s="3" t="s">
        <v>18044</v>
      </c>
      <c r="AV1395" s="3" t="s">
        <v>18045</v>
      </c>
      <c r="AW1395" s="3" t="s">
        <v>18046</v>
      </c>
      <c r="AX1395" s="3" t="s">
        <v>18046</v>
      </c>
      <c r="AY1395" s="3" t="s">
        <v>18047</v>
      </c>
      <c r="AZ1395" s="3" t="s">
        <v>74</v>
      </c>
      <c r="BC1395" s="3" t="s">
        <v>18048</v>
      </c>
      <c r="BD1395" s="3" t="s">
        <v>18049</v>
      </c>
    </row>
    <row r="1396" spans="1:56" ht="45.75" customHeight="1" x14ac:dyDescent="0.25">
      <c r="A1396" s="7" t="s">
        <v>58</v>
      </c>
      <c r="B1396" s="2" t="s">
        <v>18050</v>
      </c>
      <c r="C1396" s="2" t="s">
        <v>18051</v>
      </c>
      <c r="D1396" s="2" t="s">
        <v>18052</v>
      </c>
      <c r="F1396" s="3" t="s">
        <v>58</v>
      </c>
      <c r="G1396" s="3" t="s">
        <v>59</v>
      </c>
      <c r="H1396" s="3" t="s">
        <v>58</v>
      </c>
      <c r="I1396" s="3" t="s">
        <v>58</v>
      </c>
      <c r="J1396" s="3" t="s">
        <v>60</v>
      </c>
      <c r="K1396" s="2" t="s">
        <v>18053</v>
      </c>
      <c r="L1396" s="2" t="s">
        <v>18054</v>
      </c>
      <c r="M1396" s="3" t="s">
        <v>16301</v>
      </c>
      <c r="N1396" s="2" t="s">
        <v>543</v>
      </c>
      <c r="O1396" s="3" t="s">
        <v>65</v>
      </c>
      <c r="P1396" s="3" t="s">
        <v>84</v>
      </c>
      <c r="Q1396" s="2" t="s">
        <v>18055</v>
      </c>
      <c r="R1396" s="3" t="s">
        <v>67</v>
      </c>
      <c r="S1396" s="4">
        <v>6</v>
      </c>
      <c r="T1396" s="4">
        <v>6</v>
      </c>
      <c r="U1396" s="5" t="s">
        <v>18056</v>
      </c>
      <c r="V1396" s="5" t="s">
        <v>18056</v>
      </c>
      <c r="W1396" s="5" t="s">
        <v>18057</v>
      </c>
      <c r="X1396" s="5" t="s">
        <v>18057</v>
      </c>
      <c r="Y1396" s="4">
        <v>251</v>
      </c>
      <c r="Z1396" s="4">
        <v>224</v>
      </c>
      <c r="AA1396" s="4">
        <v>231</v>
      </c>
      <c r="AB1396" s="4">
        <v>2</v>
      </c>
      <c r="AC1396" s="4">
        <v>2</v>
      </c>
      <c r="AD1396" s="4">
        <v>10</v>
      </c>
      <c r="AE1396" s="4">
        <v>10</v>
      </c>
      <c r="AF1396" s="4">
        <v>3</v>
      </c>
      <c r="AG1396" s="4">
        <v>3</v>
      </c>
      <c r="AH1396" s="4">
        <v>1</v>
      </c>
      <c r="AI1396" s="4">
        <v>1</v>
      </c>
      <c r="AJ1396" s="4">
        <v>5</v>
      </c>
      <c r="AK1396" s="4">
        <v>5</v>
      </c>
      <c r="AL1396" s="4">
        <v>1</v>
      </c>
      <c r="AM1396" s="4">
        <v>1</v>
      </c>
      <c r="AN1396" s="4">
        <v>0</v>
      </c>
      <c r="AO1396" s="4">
        <v>0</v>
      </c>
      <c r="AP1396" s="3" t="s">
        <v>58</v>
      </c>
      <c r="AQ1396" s="3" t="s">
        <v>58</v>
      </c>
      <c r="AS1396" s="6" t="str">
        <f>HYPERLINK("https://creighton-primo.hosted.exlibrisgroup.com/primo-explore/search?tab=default_tab&amp;search_scope=EVERYTHING&amp;vid=01CRU&amp;lang=en_US&amp;offset=0&amp;query=any,contains,991002638539702656","Catalog Record")</f>
        <v>Catalog Record</v>
      </c>
      <c r="AT1396" s="6" t="str">
        <f>HYPERLINK("http://www.worldcat.org/oclc/383316","WorldCat Record")</f>
        <v>WorldCat Record</v>
      </c>
      <c r="AU1396" s="3" t="s">
        <v>18058</v>
      </c>
      <c r="AV1396" s="3" t="s">
        <v>18059</v>
      </c>
      <c r="AW1396" s="3" t="s">
        <v>18060</v>
      </c>
      <c r="AX1396" s="3" t="s">
        <v>18060</v>
      </c>
      <c r="AY1396" s="3" t="s">
        <v>18061</v>
      </c>
      <c r="AZ1396" s="3" t="s">
        <v>74</v>
      </c>
      <c r="BC1396" s="3" t="s">
        <v>18062</v>
      </c>
      <c r="BD1396" s="3" t="s">
        <v>18063</v>
      </c>
    </row>
    <row r="1397" spans="1:56" ht="45.75" customHeight="1" x14ac:dyDescent="0.25">
      <c r="A1397" s="7" t="s">
        <v>58</v>
      </c>
      <c r="B1397" s="2" t="s">
        <v>18064</v>
      </c>
      <c r="C1397" s="2" t="s">
        <v>18065</v>
      </c>
      <c r="D1397" s="2" t="s">
        <v>18066</v>
      </c>
      <c r="F1397" s="3" t="s">
        <v>58</v>
      </c>
      <c r="G1397" s="3" t="s">
        <v>59</v>
      </c>
      <c r="H1397" s="3" t="s">
        <v>58</v>
      </c>
      <c r="I1397" s="3" t="s">
        <v>58</v>
      </c>
      <c r="J1397" s="3" t="s">
        <v>60</v>
      </c>
      <c r="K1397" s="2" t="s">
        <v>18067</v>
      </c>
      <c r="L1397" s="2" t="s">
        <v>18068</v>
      </c>
      <c r="M1397" s="3" t="s">
        <v>2146</v>
      </c>
      <c r="O1397" s="3" t="s">
        <v>65</v>
      </c>
      <c r="P1397" s="3" t="s">
        <v>336</v>
      </c>
      <c r="Q1397" s="2" t="s">
        <v>18069</v>
      </c>
      <c r="R1397" s="3" t="s">
        <v>67</v>
      </c>
      <c r="S1397" s="4">
        <v>4</v>
      </c>
      <c r="T1397" s="4">
        <v>4</v>
      </c>
      <c r="U1397" s="5" t="s">
        <v>1141</v>
      </c>
      <c r="V1397" s="5" t="s">
        <v>1141</v>
      </c>
      <c r="W1397" s="5" t="s">
        <v>18070</v>
      </c>
      <c r="X1397" s="5" t="s">
        <v>18070</v>
      </c>
      <c r="Y1397" s="4">
        <v>312</v>
      </c>
      <c r="Z1397" s="4">
        <v>280</v>
      </c>
      <c r="AA1397" s="4">
        <v>546</v>
      </c>
      <c r="AB1397" s="4">
        <v>4</v>
      </c>
      <c r="AC1397" s="4">
        <v>7</v>
      </c>
      <c r="AD1397" s="4">
        <v>16</v>
      </c>
      <c r="AE1397" s="4">
        <v>32</v>
      </c>
      <c r="AF1397" s="4">
        <v>4</v>
      </c>
      <c r="AG1397" s="4">
        <v>10</v>
      </c>
      <c r="AH1397" s="4">
        <v>2</v>
      </c>
      <c r="AI1397" s="4">
        <v>4</v>
      </c>
      <c r="AJ1397" s="4">
        <v>5</v>
      </c>
      <c r="AK1397" s="4">
        <v>12</v>
      </c>
      <c r="AL1397" s="4">
        <v>2</v>
      </c>
      <c r="AM1397" s="4">
        <v>5</v>
      </c>
      <c r="AN1397" s="4">
        <v>5</v>
      </c>
      <c r="AO1397" s="4">
        <v>6</v>
      </c>
      <c r="AP1397" s="3" t="s">
        <v>58</v>
      </c>
      <c r="AQ1397" s="3" t="s">
        <v>87</v>
      </c>
      <c r="AR1397" s="6" t="str">
        <f>HYPERLINK("http://catalog.hathitrust.org/Record/004403607","HathiTrust Record")</f>
        <v>HathiTrust Record</v>
      </c>
      <c r="AS1397" s="6" t="str">
        <f>HYPERLINK("https://creighton-primo.hosted.exlibrisgroup.com/primo-explore/search?tab=default_tab&amp;search_scope=EVERYTHING&amp;vid=01CRU&amp;lang=en_US&amp;offset=0&amp;query=any,contains,991002809259702656","Catalog Record")</f>
        <v>Catalog Record</v>
      </c>
      <c r="AT1397" s="6" t="str">
        <f>HYPERLINK("http://www.worldcat.org/oclc/451747","WorldCat Record")</f>
        <v>WorldCat Record</v>
      </c>
      <c r="AU1397" s="3" t="s">
        <v>18071</v>
      </c>
      <c r="AV1397" s="3" t="s">
        <v>18072</v>
      </c>
      <c r="AW1397" s="3" t="s">
        <v>18073</v>
      </c>
      <c r="AX1397" s="3" t="s">
        <v>18073</v>
      </c>
      <c r="AY1397" s="3" t="s">
        <v>18074</v>
      </c>
      <c r="AZ1397" s="3" t="s">
        <v>74</v>
      </c>
      <c r="BC1397" s="3" t="s">
        <v>18075</v>
      </c>
      <c r="BD1397" s="3" t="s">
        <v>18076</v>
      </c>
    </row>
    <row r="1398" spans="1:56" ht="45.75" customHeight="1" x14ac:dyDescent="0.25">
      <c r="A1398" s="7" t="s">
        <v>58</v>
      </c>
      <c r="B1398" s="2" t="s">
        <v>18077</v>
      </c>
      <c r="C1398" s="2" t="s">
        <v>18078</v>
      </c>
      <c r="D1398" s="2" t="s">
        <v>18079</v>
      </c>
      <c r="F1398" s="3" t="s">
        <v>58</v>
      </c>
      <c r="G1398" s="3" t="s">
        <v>59</v>
      </c>
      <c r="H1398" s="3" t="s">
        <v>58</v>
      </c>
      <c r="I1398" s="3" t="s">
        <v>58</v>
      </c>
      <c r="J1398" s="3" t="s">
        <v>60</v>
      </c>
      <c r="K1398" s="2" t="s">
        <v>18080</v>
      </c>
      <c r="L1398" s="2" t="s">
        <v>18081</v>
      </c>
      <c r="M1398" s="3" t="s">
        <v>908</v>
      </c>
      <c r="O1398" s="3" t="s">
        <v>65</v>
      </c>
      <c r="P1398" s="3" t="s">
        <v>190</v>
      </c>
      <c r="R1398" s="3" t="s">
        <v>67</v>
      </c>
      <c r="S1398" s="4">
        <v>7</v>
      </c>
      <c r="T1398" s="4">
        <v>7</v>
      </c>
      <c r="U1398" s="5" t="s">
        <v>16584</v>
      </c>
      <c r="V1398" s="5" t="s">
        <v>16584</v>
      </c>
      <c r="W1398" s="5" t="s">
        <v>17695</v>
      </c>
      <c r="X1398" s="5" t="s">
        <v>17695</v>
      </c>
      <c r="Y1398" s="4">
        <v>495</v>
      </c>
      <c r="Z1398" s="4">
        <v>466</v>
      </c>
      <c r="AA1398" s="4">
        <v>477</v>
      </c>
      <c r="AB1398" s="4">
        <v>3</v>
      </c>
      <c r="AC1398" s="4">
        <v>4</v>
      </c>
      <c r="AD1398" s="4">
        <v>23</v>
      </c>
      <c r="AE1398" s="4">
        <v>24</v>
      </c>
      <c r="AF1398" s="4">
        <v>4</v>
      </c>
      <c r="AG1398" s="4">
        <v>4</v>
      </c>
      <c r="AH1398" s="4">
        <v>3</v>
      </c>
      <c r="AI1398" s="4">
        <v>3</v>
      </c>
      <c r="AJ1398" s="4">
        <v>10</v>
      </c>
      <c r="AK1398" s="4">
        <v>10</v>
      </c>
      <c r="AL1398" s="4">
        <v>2</v>
      </c>
      <c r="AM1398" s="4">
        <v>3</v>
      </c>
      <c r="AN1398" s="4">
        <v>7</v>
      </c>
      <c r="AO1398" s="4">
        <v>7</v>
      </c>
      <c r="AP1398" s="3" t="s">
        <v>58</v>
      </c>
      <c r="AQ1398" s="3" t="s">
        <v>58</v>
      </c>
      <c r="AS1398" s="6" t="str">
        <f>HYPERLINK("https://creighton-primo.hosted.exlibrisgroup.com/primo-explore/search?tab=default_tab&amp;search_scope=EVERYTHING&amp;vid=01CRU&amp;lang=en_US&amp;offset=0&amp;query=any,contains,991004816679702656","Catalog Record")</f>
        <v>Catalog Record</v>
      </c>
      <c r="AT1398" s="6" t="str">
        <f>HYPERLINK("http://www.worldcat.org/oclc/5310693","WorldCat Record")</f>
        <v>WorldCat Record</v>
      </c>
      <c r="AU1398" s="3" t="s">
        <v>18082</v>
      </c>
      <c r="AV1398" s="3" t="s">
        <v>18083</v>
      </c>
      <c r="AW1398" s="3" t="s">
        <v>18084</v>
      </c>
      <c r="AX1398" s="3" t="s">
        <v>18084</v>
      </c>
      <c r="AY1398" s="3" t="s">
        <v>18085</v>
      </c>
      <c r="AZ1398" s="3" t="s">
        <v>74</v>
      </c>
      <c r="BB1398" s="3" t="s">
        <v>18086</v>
      </c>
      <c r="BC1398" s="3" t="s">
        <v>18087</v>
      </c>
      <c r="BD1398" s="3" t="s">
        <v>18088</v>
      </c>
    </row>
    <row r="1399" spans="1:56" ht="45.75" customHeight="1" x14ac:dyDescent="0.25">
      <c r="A1399" s="7" t="s">
        <v>58</v>
      </c>
      <c r="B1399" s="2" t="s">
        <v>18089</v>
      </c>
      <c r="C1399" s="2" t="s">
        <v>18090</v>
      </c>
      <c r="D1399" s="2" t="s">
        <v>18091</v>
      </c>
      <c r="F1399" s="3" t="s">
        <v>58</v>
      </c>
      <c r="G1399" s="3" t="s">
        <v>59</v>
      </c>
      <c r="H1399" s="3" t="s">
        <v>58</v>
      </c>
      <c r="I1399" s="3" t="s">
        <v>58</v>
      </c>
      <c r="J1399" s="3" t="s">
        <v>60</v>
      </c>
      <c r="K1399" s="2" t="s">
        <v>18092</v>
      </c>
      <c r="L1399" s="2" t="s">
        <v>18093</v>
      </c>
      <c r="M1399" s="3" t="s">
        <v>1088</v>
      </c>
      <c r="O1399" s="3" t="s">
        <v>65</v>
      </c>
      <c r="P1399" s="3" t="s">
        <v>148</v>
      </c>
      <c r="R1399" s="3" t="s">
        <v>67</v>
      </c>
      <c r="S1399" s="4">
        <v>1</v>
      </c>
      <c r="T1399" s="4">
        <v>1</v>
      </c>
      <c r="U1399" s="5" t="s">
        <v>18094</v>
      </c>
      <c r="V1399" s="5" t="s">
        <v>18094</v>
      </c>
      <c r="W1399" s="5" t="s">
        <v>17695</v>
      </c>
      <c r="X1399" s="5" t="s">
        <v>17695</v>
      </c>
      <c r="Y1399" s="4">
        <v>634</v>
      </c>
      <c r="Z1399" s="4">
        <v>575</v>
      </c>
      <c r="AA1399" s="4">
        <v>581</v>
      </c>
      <c r="AB1399" s="4">
        <v>7</v>
      </c>
      <c r="AC1399" s="4">
        <v>7</v>
      </c>
      <c r="AD1399" s="4">
        <v>31</v>
      </c>
      <c r="AE1399" s="4">
        <v>31</v>
      </c>
      <c r="AF1399" s="4">
        <v>10</v>
      </c>
      <c r="AG1399" s="4">
        <v>10</v>
      </c>
      <c r="AH1399" s="4">
        <v>5</v>
      </c>
      <c r="AI1399" s="4">
        <v>5</v>
      </c>
      <c r="AJ1399" s="4">
        <v>10</v>
      </c>
      <c r="AK1399" s="4">
        <v>10</v>
      </c>
      <c r="AL1399" s="4">
        <v>4</v>
      </c>
      <c r="AM1399" s="4">
        <v>4</v>
      </c>
      <c r="AN1399" s="4">
        <v>7</v>
      </c>
      <c r="AO1399" s="4">
        <v>7</v>
      </c>
      <c r="AP1399" s="3" t="s">
        <v>58</v>
      </c>
      <c r="AQ1399" s="3" t="s">
        <v>58</v>
      </c>
      <c r="AS1399" s="6" t="str">
        <f>HYPERLINK("https://creighton-primo.hosted.exlibrisgroup.com/primo-explore/search?tab=default_tab&amp;search_scope=EVERYTHING&amp;vid=01CRU&amp;lang=en_US&amp;offset=0&amp;query=any,contains,991000417659702656","Catalog Record")</f>
        <v>Catalog Record</v>
      </c>
      <c r="AT1399" s="6" t="str">
        <f>HYPERLINK("http://www.worldcat.org/oclc/10725673","WorldCat Record")</f>
        <v>WorldCat Record</v>
      </c>
      <c r="AU1399" s="3" t="s">
        <v>18095</v>
      </c>
      <c r="AV1399" s="3" t="s">
        <v>18096</v>
      </c>
      <c r="AW1399" s="3" t="s">
        <v>18097</v>
      </c>
      <c r="AX1399" s="3" t="s">
        <v>18097</v>
      </c>
      <c r="AY1399" s="3" t="s">
        <v>18098</v>
      </c>
      <c r="AZ1399" s="3" t="s">
        <v>74</v>
      </c>
      <c r="BB1399" s="3" t="s">
        <v>18099</v>
      </c>
      <c r="BC1399" s="3" t="s">
        <v>18100</v>
      </c>
      <c r="BD1399" s="3" t="s">
        <v>18101</v>
      </c>
    </row>
    <row r="1400" spans="1:56" ht="45.75" customHeight="1" x14ac:dyDescent="0.25">
      <c r="A1400" s="7" t="s">
        <v>58</v>
      </c>
      <c r="B1400" s="2" t="s">
        <v>18102</v>
      </c>
      <c r="C1400" s="2" t="s">
        <v>18103</v>
      </c>
      <c r="D1400" s="2" t="s">
        <v>18104</v>
      </c>
      <c r="F1400" s="3" t="s">
        <v>58</v>
      </c>
      <c r="G1400" s="3" t="s">
        <v>59</v>
      </c>
      <c r="H1400" s="3" t="s">
        <v>58</v>
      </c>
      <c r="I1400" s="3" t="s">
        <v>58</v>
      </c>
      <c r="J1400" s="3" t="s">
        <v>60</v>
      </c>
      <c r="K1400" s="2" t="s">
        <v>18105</v>
      </c>
      <c r="L1400" s="2" t="s">
        <v>18106</v>
      </c>
      <c r="M1400" s="3" t="s">
        <v>131</v>
      </c>
      <c r="O1400" s="3" t="s">
        <v>65</v>
      </c>
      <c r="P1400" s="3" t="s">
        <v>3930</v>
      </c>
      <c r="R1400" s="3" t="s">
        <v>67</v>
      </c>
      <c r="S1400" s="4">
        <v>1</v>
      </c>
      <c r="T1400" s="4">
        <v>1</v>
      </c>
      <c r="U1400" s="5" t="s">
        <v>8687</v>
      </c>
      <c r="V1400" s="5" t="s">
        <v>8687</v>
      </c>
      <c r="W1400" s="5" t="s">
        <v>8687</v>
      </c>
      <c r="X1400" s="5" t="s">
        <v>8687</v>
      </c>
      <c r="Y1400" s="4">
        <v>313</v>
      </c>
      <c r="Z1400" s="4">
        <v>277</v>
      </c>
      <c r="AA1400" s="4">
        <v>985</v>
      </c>
      <c r="AB1400" s="4">
        <v>3</v>
      </c>
      <c r="AC1400" s="4">
        <v>24</v>
      </c>
      <c r="AD1400" s="4">
        <v>15</v>
      </c>
      <c r="AE1400" s="4">
        <v>45</v>
      </c>
      <c r="AF1400" s="4">
        <v>5</v>
      </c>
      <c r="AG1400" s="4">
        <v>16</v>
      </c>
      <c r="AH1400" s="4">
        <v>5</v>
      </c>
      <c r="AI1400" s="4">
        <v>9</v>
      </c>
      <c r="AJ1400" s="4">
        <v>6</v>
      </c>
      <c r="AK1400" s="4">
        <v>14</v>
      </c>
      <c r="AL1400" s="4">
        <v>2</v>
      </c>
      <c r="AM1400" s="4">
        <v>12</v>
      </c>
      <c r="AN1400" s="4">
        <v>0</v>
      </c>
      <c r="AO1400" s="4">
        <v>1</v>
      </c>
      <c r="AP1400" s="3" t="s">
        <v>58</v>
      </c>
      <c r="AQ1400" s="3" t="s">
        <v>58</v>
      </c>
      <c r="AS1400" s="6" t="str">
        <f>HYPERLINK("https://creighton-primo.hosted.exlibrisgroup.com/primo-explore/search?tab=default_tab&amp;search_scope=EVERYTHING&amp;vid=01CRU&amp;lang=en_US&amp;offset=0&amp;query=any,contains,991004991539702656","Catalog Record")</f>
        <v>Catalog Record</v>
      </c>
      <c r="AT1400" s="6" t="str">
        <f>HYPERLINK("http://www.worldcat.org/oclc/61461513","WorldCat Record")</f>
        <v>WorldCat Record</v>
      </c>
      <c r="AU1400" s="3" t="s">
        <v>18107</v>
      </c>
      <c r="AV1400" s="3" t="s">
        <v>18108</v>
      </c>
      <c r="AW1400" s="3" t="s">
        <v>18109</v>
      </c>
      <c r="AX1400" s="3" t="s">
        <v>18109</v>
      </c>
      <c r="AY1400" s="3" t="s">
        <v>18110</v>
      </c>
      <c r="AZ1400" s="3" t="s">
        <v>74</v>
      </c>
      <c r="BB1400" s="3" t="s">
        <v>18111</v>
      </c>
      <c r="BC1400" s="3" t="s">
        <v>18112</v>
      </c>
      <c r="BD1400" s="3" t="s">
        <v>18113</v>
      </c>
    </row>
    <row r="1401" spans="1:56" ht="45.75" customHeight="1" x14ac:dyDescent="0.25">
      <c r="A1401" s="7" t="s">
        <v>58</v>
      </c>
      <c r="B1401" s="2" t="s">
        <v>18114</v>
      </c>
      <c r="C1401" s="2" t="s">
        <v>18115</v>
      </c>
      <c r="D1401" s="2" t="s">
        <v>18116</v>
      </c>
      <c r="F1401" s="3" t="s">
        <v>58</v>
      </c>
      <c r="G1401" s="3" t="s">
        <v>59</v>
      </c>
      <c r="H1401" s="3" t="s">
        <v>58</v>
      </c>
      <c r="I1401" s="3" t="s">
        <v>58</v>
      </c>
      <c r="J1401" s="3" t="s">
        <v>60</v>
      </c>
      <c r="K1401" s="2" t="s">
        <v>18117</v>
      </c>
      <c r="L1401" s="2" t="s">
        <v>18118</v>
      </c>
      <c r="M1401" s="3" t="s">
        <v>131</v>
      </c>
      <c r="O1401" s="3" t="s">
        <v>65</v>
      </c>
      <c r="P1401" s="3" t="s">
        <v>175</v>
      </c>
      <c r="R1401" s="3" t="s">
        <v>67</v>
      </c>
      <c r="S1401" s="4">
        <v>2</v>
      </c>
      <c r="T1401" s="4">
        <v>2</v>
      </c>
      <c r="U1401" s="5" t="s">
        <v>18119</v>
      </c>
      <c r="V1401" s="5" t="s">
        <v>18119</v>
      </c>
      <c r="W1401" s="5" t="s">
        <v>10773</v>
      </c>
      <c r="X1401" s="5" t="s">
        <v>10773</v>
      </c>
      <c r="Y1401" s="4">
        <v>762</v>
      </c>
      <c r="Z1401" s="4">
        <v>695</v>
      </c>
      <c r="AA1401" s="4">
        <v>695</v>
      </c>
      <c r="AB1401" s="4">
        <v>6</v>
      </c>
      <c r="AC1401" s="4">
        <v>6</v>
      </c>
      <c r="AD1401" s="4">
        <v>20</v>
      </c>
      <c r="AE1401" s="4">
        <v>20</v>
      </c>
      <c r="AF1401" s="4">
        <v>9</v>
      </c>
      <c r="AG1401" s="4">
        <v>9</v>
      </c>
      <c r="AH1401" s="4">
        <v>1</v>
      </c>
      <c r="AI1401" s="4">
        <v>1</v>
      </c>
      <c r="AJ1401" s="4">
        <v>7</v>
      </c>
      <c r="AK1401" s="4">
        <v>7</v>
      </c>
      <c r="AL1401" s="4">
        <v>3</v>
      </c>
      <c r="AM1401" s="4">
        <v>3</v>
      </c>
      <c r="AN1401" s="4">
        <v>3</v>
      </c>
      <c r="AO1401" s="4">
        <v>3</v>
      </c>
      <c r="AP1401" s="3" t="s">
        <v>58</v>
      </c>
      <c r="AQ1401" s="3" t="s">
        <v>58</v>
      </c>
      <c r="AS1401" s="6" t="str">
        <f>HYPERLINK("https://creighton-primo.hosted.exlibrisgroup.com/primo-explore/search?tab=default_tab&amp;search_scope=EVERYTHING&amp;vid=01CRU&amp;lang=en_US&amp;offset=0&amp;query=any,contains,991004953399702656","Catalog Record")</f>
        <v>Catalog Record</v>
      </c>
      <c r="AT1401" s="6" t="str">
        <f>HYPERLINK("http://www.worldcat.org/oclc/63186137","WorldCat Record")</f>
        <v>WorldCat Record</v>
      </c>
      <c r="AU1401" s="3" t="s">
        <v>18120</v>
      </c>
      <c r="AV1401" s="3" t="s">
        <v>18121</v>
      </c>
      <c r="AW1401" s="3" t="s">
        <v>18122</v>
      </c>
      <c r="AX1401" s="3" t="s">
        <v>18122</v>
      </c>
      <c r="AY1401" s="3" t="s">
        <v>18123</v>
      </c>
      <c r="AZ1401" s="3" t="s">
        <v>74</v>
      </c>
      <c r="BB1401" s="3" t="s">
        <v>18124</v>
      </c>
      <c r="BC1401" s="3" t="s">
        <v>18125</v>
      </c>
      <c r="BD1401" s="3" t="s">
        <v>18126</v>
      </c>
    </row>
    <row r="1402" spans="1:56" ht="45.75" customHeight="1" x14ac:dyDescent="0.25">
      <c r="A1402" s="7" t="s">
        <v>58</v>
      </c>
      <c r="B1402" s="2" t="s">
        <v>18127</v>
      </c>
      <c r="C1402" s="2" t="s">
        <v>18128</v>
      </c>
      <c r="D1402" s="2" t="s">
        <v>18129</v>
      </c>
      <c r="F1402" s="3" t="s">
        <v>58</v>
      </c>
      <c r="G1402" s="3" t="s">
        <v>59</v>
      </c>
      <c r="H1402" s="3" t="s">
        <v>58</v>
      </c>
      <c r="I1402" s="3" t="s">
        <v>58</v>
      </c>
      <c r="J1402" s="3" t="s">
        <v>60</v>
      </c>
      <c r="K1402" s="2" t="s">
        <v>18130</v>
      </c>
      <c r="L1402" s="2" t="s">
        <v>18131</v>
      </c>
      <c r="M1402" s="3" t="s">
        <v>573</v>
      </c>
      <c r="O1402" s="3" t="s">
        <v>65</v>
      </c>
      <c r="P1402" s="3" t="s">
        <v>84</v>
      </c>
      <c r="R1402" s="3" t="s">
        <v>67</v>
      </c>
      <c r="S1402" s="4">
        <v>2</v>
      </c>
      <c r="T1402" s="4">
        <v>2</v>
      </c>
      <c r="U1402" s="5" t="s">
        <v>18132</v>
      </c>
      <c r="V1402" s="5" t="s">
        <v>18132</v>
      </c>
      <c r="W1402" s="5" t="s">
        <v>18132</v>
      </c>
      <c r="X1402" s="5" t="s">
        <v>18132</v>
      </c>
      <c r="Y1402" s="4">
        <v>781</v>
      </c>
      <c r="Z1402" s="4">
        <v>735</v>
      </c>
      <c r="AA1402" s="4">
        <v>1342</v>
      </c>
      <c r="AB1402" s="4">
        <v>6</v>
      </c>
      <c r="AC1402" s="4">
        <v>32</v>
      </c>
      <c r="AD1402" s="4">
        <v>38</v>
      </c>
      <c r="AE1402" s="4">
        <v>55</v>
      </c>
      <c r="AF1402" s="4">
        <v>15</v>
      </c>
      <c r="AG1402" s="4">
        <v>20</v>
      </c>
      <c r="AH1402" s="4">
        <v>6</v>
      </c>
      <c r="AI1402" s="4">
        <v>8</v>
      </c>
      <c r="AJ1402" s="4">
        <v>15</v>
      </c>
      <c r="AK1402" s="4">
        <v>17</v>
      </c>
      <c r="AL1402" s="4">
        <v>4</v>
      </c>
      <c r="AM1402" s="4">
        <v>12</v>
      </c>
      <c r="AN1402" s="4">
        <v>6</v>
      </c>
      <c r="AO1402" s="4">
        <v>7</v>
      </c>
      <c r="AP1402" s="3" t="s">
        <v>58</v>
      </c>
      <c r="AQ1402" s="3" t="s">
        <v>58</v>
      </c>
      <c r="AS1402" s="6" t="str">
        <f>HYPERLINK("https://creighton-primo.hosted.exlibrisgroup.com/primo-explore/search?tab=default_tab&amp;search_scope=EVERYTHING&amp;vid=01CRU&amp;lang=en_US&amp;offset=0&amp;query=any,contains,991004213779702656","Catalog Record")</f>
        <v>Catalog Record</v>
      </c>
      <c r="AT1402" s="6" t="str">
        <f>HYPERLINK("http://www.worldcat.org/oclc/50520521","WorldCat Record")</f>
        <v>WorldCat Record</v>
      </c>
      <c r="AU1402" s="3" t="s">
        <v>18133</v>
      </c>
      <c r="AV1402" s="3" t="s">
        <v>18134</v>
      </c>
      <c r="AW1402" s="3" t="s">
        <v>18135</v>
      </c>
      <c r="AX1402" s="3" t="s">
        <v>18135</v>
      </c>
      <c r="AY1402" s="3" t="s">
        <v>18136</v>
      </c>
      <c r="AZ1402" s="3" t="s">
        <v>74</v>
      </c>
      <c r="BB1402" s="3" t="s">
        <v>18137</v>
      </c>
      <c r="BC1402" s="3" t="s">
        <v>18138</v>
      </c>
      <c r="BD1402" s="3" t="s">
        <v>18139</v>
      </c>
    </row>
    <row r="1403" spans="1:56" ht="45.75" customHeight="1" x14ac:dyDescent="0.25">
      <c r="A1403" s="7" t="s">
        <v>58</v>
      </c>
      <c r="B1403" s="2" t="s">
        <v>18140</v>
      </c>
      <c r="C1403" s="2" t="s">
        <v>18141</v>
      </c>
      <c r="D1403" s="2" t="s">
        <v>18142</v>
      </c>
      <c r="F1403" s="3" t="s">
        <v>58</v>
      </c>
      <c r="G1403" s="3" t="s">
        <v>59</v>
      </c>
      <c r="H1403" s="3" t="s">
        <v>58</v>
      </c>
      <c r="I1403" s="3" t="s">
        <v>58</v>
      </c>
      <c r="J1403" s="3" t="s">
        <v>60</v>
      </c>
      <c r="K1403" s="2" t="s">
        <v>18143</v>
      </c>
      <c r="L1403" s="2" t="s">
        <v>18144</v>
      </c>
      <c r="M1403" s="3" t="s">
        <v>1998</v>
      </c>
      <c r="N1403" s="2" t="s">
        <v>4473</v>
      </c>
      <c r="O1403" s="3" t="s">
        <v>65</v>
      </c>
      <c r="P1403" s="3" t="s">
        <v>148</v>
      </c>
      <c r="R1403" s="3" t="s">
        <v>67</v>
      </c>
      <c r="S1403" s="4">
        <v>0</v>
      </c>
      <c r="T1403" s="4">
        <v>0</v>
      </c>
      <c r="U1403" s="5" t="s">
        <v>18145</v>
      </c>
      <c r="V1403" s="5" t="s">
        <v>18145</v>
      </c>
      <c r="W1403" s="5" t="s">
        <v>17101</v>
      </c>
      <c r="X1403" s="5" t="s">
        <v>17101</v>
      </c>
      <c r="Y1403" s="4">
        <v>296</v>
      </c>
      <c r="Z1403" s="4">
        <v>270</v>
      </c>
      <c r="AA1403" s="4">
        <v>270</v>
      </c>
      <c r="AB1403" s="4">
        <v>5</v>
      </c>
      <c r="AC1403" s="4">
        <v>5</v>
      </c>
      <c r="AD1403" s="4">
        <v>11</v>
      </c>
      <c r="AE1403" s="4">
        <v>11</v>
      </c>
      <c r="AF1403" s="4">
        <v>2</v>
      </c>
      <c r="AG1403" s="4">
        <v>2</v>
      </c>
      <c r="AH1403" s="4">
        <v>1</v>
      </c>
      <c r="AI1403" s="4">
        <v>1</v>
      </c>
      <c r="AJ1403" s="4">
        <v>5</v>
      </c>
      <c r="AK1403" s="4">
        <v>5</v>
      </c>
      <c r="AL1403" s="4">
        <v>2</v>
      </c>
      <c r="AM1403" s="4">
        <v>2</v>
      </c>
      <c r="AN1403" s="4">
        <v>2</v>
      </c>
      <c r="AO1403" s="4">
        <v>2</v>
      </c>
      <c r="AP1403" s="3" t="s">
        <v>58</v>
      </c>
      <c r="AQ1403" s="3" t="s">
        <v>58</v>
      </c>
      <c r="AS1403" s="6" t="str">
        <f>HYPERLINK("https://creighton-primo.hosted.exlibrisgroup.com/primo-explore/search?tab=default_tab&amp;search_scope=EVERYTHING&amp;vid=01CRU&amp;lang=en_US&amp;offset=0&amp;query=any,contains,991003289339702656","Catalog Record")</f>
        <v>Catalog Record</v>
      </c>
      <c r="AT1403" s="6" t="str">
        <f>HYPERLINK("http://www.worldcat.org/oclc/811008","WorldCat Record")</f>
        <v>WorldCat Record</v>
      </c>
      <c r="AU1403" s="3" t="s">
        <v>18146</v>
      </c>
      <c r="AV1403" s="3" t="s">
        <v>18147</v>
      </c>
      <c r="AW1403" s="3" t="s">
        <v>18148</v>
      </c>
      <c r="AX1403" s="3" t="s">
        <v>18148</v>
      </c>
      <c r="AY1403" s="3" t="s">
        <v>18149</v>
      </c>
      <c r="AZ1403" s="3" t="s">
        <v>74</v>
      </c>
      <c r="BB1403" s="3" t="s">
        <v>18150</v>
      </c>
      <c r="BC1403" s="3" t="s">
        <v>18151</v>
      </c>
      <c r="BD1403" s="3" t="s">
        <v>18152</v>
      </c>
    </row>
    <row r="1404" spans="1:56" ht="45.75" customHeight="1" x14ac:dyDescent="0.25">
      <c r="A1404" s="7" t="s">
        <v>58</v>
      </c>
      <c r="B1404" s="2" t="s">
        <v>18153</v>
      </c>
      <c r="C1404" s="2" t="s">
        <v>18154</v>
      </c>
      <c r="D1404" s="2" t="s">
        <v>18155</v>
      </c>
      <c r="F1404" s="3" t="s">
        <v>58</v>
      </c>
      <c r="G1404" s="3" t="s">
        <v>59</v>
      </c>
      <c r="H1404" s="3" t="s">
        <v>58</v>
      </c>
      <c r="I1404" s="3" t="s">
        <v>58</v>
      </c>
      <c r="J1404" s="3" t="s">
        <v>60</v>
      </c>
      <c r="K1404" s="2" t="s">
        <v>18156</v>
      </c>
      <c r="L1404" s="2" t="s">
        <v>18157</v>
      </c>
      <c r="M1404" s="3" t="s">
        <v>1058</v>
      </c>
      <c r="O1404" s="3" t="s">
        <v>65</v>
      </c>
      <c r="P1404" s="3" t="s">
        <v>84</v>
      </c>
      <c r="R1404" s="3" t="s">
        <v>67</v>
      </c>
      <c r="S1404" s="4">
        <v>5</v>
      </c>
      <c r="T1404" s="4">
        <v>5</v>
      </c>
      <c r="U1404" s="5" t="s">
        <v>2572</v>
      </c>
      <c r="V1404" s="5" t="s">
        <v>2572</v>
      </c>
      <c r="W1404" s="5" t="s">
        <v>17695</v>
      </c>
      <c r="X1404" s="5" t="s">
        <v>17695</v>
      </c>
      <c r="Y1404" s="4">
        <v>1066</v>
      </c>
      <c r="Z1404" s="4">
        <v>1016</v>
      </c>
      <c r="AA1404" s="4">
        <v>1052</v>
      </c>
      <c r="AB1404" s="4">
        <v>10</v>
      </c>
      <c r="AC1404" s="4">
        <v>10</v>
      </c>
      <c r="AD1404" s="4">
        <v>14</v>
      </c>
      <c r="AE1404" s="4">
        <v>15</v>
      </c>
      <c r="AF1404" s="4">
        <v>5</v>
      </c>
      <c r="AG1404" s="4">
        <v>5</v>
      </c>
      <c r="AH1404" s="4">
        <v>2</v>
      </c>
      <c r="AI1404" s="4">
        <v>2</v>
      </c>
      <c r="AJ1404" s="4">
        <v>8</v>
      </c>
      <c r="AK1404" s="4">
        <v>9</v>
      </c>
      <c r="AL1404" s="4">
        <v>2</v>
      </c>
      <c r="AM1404" s="4">
        <v>2</v>
      </c>
      <c r="AN1404" s="4">
        <v>1</v>
      </c>
      <c r="AO1404" s="4">
        <v>1</v>
      </c>
      <c r="AP1404" s="3" t="s">
        <v>58</v>
      </c>
      <c r="AQ1404" s="3" t="s">
        <v>58</v>
      </c>
      <c r="AS1404" s="6" t="str">
        <f>HYPERLINK("https://creighton-primo.hosted.exlibrisgroup.com/primo-explore/search?tab=default_tab&amp;search_scope=EVERYTHING&amp;vid=01CRU&amp;lang=en_US&amp;offset=0&amp;query=any,contains,991001270819702656","Catalog Record")</f>
        <v>Catalog Record</v>
      </c>
      <c r="AT1404" s="6" t="str">
        <f>HYPERLINK("http://www.worldcat.org/oclc/17841282","WorldCat Record")</f>
        <v>WorldCat Record</v>
      </c>
      <c r="AU1404" s="3" t="s">
        <v>18158</v>
      </c>
      <c r="AV1404" s="3" t="s">
        <v>18159</v>
      </c>
      <c r="AW1404" s="3" t="s">
        <v>18160</v>
      </c>
      <c r="AX1404" s="3" t="s">
        <v>18160</v>
      </c>
      <c r="AY1404" s="3" t="s">
        <v>18161</v>
      </c>
      <c r="AZ1404" s="3" t="s">
        <v>74</v>
      </c>
      <c r="BB1404" s="3" t="s">
        <v>18162</v>
      </c>
      <c r="BC1404" s="3" t="s">
        <v>18163</v>
      </c>
      <c r="BD1404" s="3" t="s">
        <v>18164</v>
      </c>
    </row>
    <row r="1405" spans="1:56" ht="45.75" customHeight="1" x14ac:dyDescent="0.25">
      <c r="A1405" s="7" t="s">
        <v>58</v>
      </c>
      <c r="B1405" s="2" t="s">
        <v>18165</v>
      </c>
      <c r="C1405" s="2" t="s">
        <v>18166</v>
      </c>
      <c r="D1405" s="2" t="s">
        <v>18167</v>
      </c>
      <c r="F1405" s="3" t="s">
        <v>58</v>
      </c>
      <c r="G1405" s="3" t="s">
        <v>59</v>
      </c>
      <c r="H1405" s="3" t="s">
        <v>58</v>
      </c>
      <c r="I1405" s="3" t="s">
        <v>58</v>
      </c>
      <c r="J1405" s="3" t="s">
        <v>60</v>
      </c>
      <c r="K1405" s="2" t="s">
        <v>18168</v>
      </c>
      <c r="L1405" s="2" t="s">
        <v>18169</v>
      </c>
      <c r="M1405" s="3" t="s">
        <v>1485</v>
      </c>
      <c r="O1405" s="3" t="s">
        <v>65</v>
      </c>
      <c r="P1405" s="3" t="s">
        <v>4200</v>
      </c>
      <c r="Q1405" s="2" t="s">
        <v>18170</v>
      </c>
      <c r="R1405" s="3" t="s">
        <v>67</v>
      </c>
      <c r="S1405" s="4">
        <v>5</v>
      </c>
      <c r="T1405" s="4">
        <v>5</v>
      </c>
      <c r="U1405" s="5" t="s">
        <v>6992</v>
      </c>
      <c r="V1405" s="5" t="s">
        <v>6992</v>
      </c>
      <c r="W1405" s="5" t="s">
        <v>8044</v>
      </c>
      <c r="X1405" s="5" t="s">
        <v>8044</v>
      </c>
      <c r="Y1405" s="4">
        <v>182</v>
      </c>
      <c r="Z1405" s="4">
        <v>170</v>
      </c>
      <c r="AA1405" s="4">
        <v>428</v>
      </c>
      <c r="AB1405" s="4">
        <v>2</v>
      </c>
      <c r="AC1405" s="4">
        <v>5</v>
      </c>
      <c r="AD1405" s="4">
        <v>9</v>
      </c>
      <c r="AE1405" s="4">
        <v>32</v>
      </c>
      <c r="AF1405" s="4">
        <v>2</v>
      </c>
      <c r="AG1405" s="4">
        <v>5</v>
      </c>
      <c r="AH1405" s="4">
        <v>1</v>
      </c>
      <c r="AI1405" s="4">
        <v>5</v>
      </c>
      <c r="AJ1405" s="4">
        <v>2</v>
      </c>
      <c r="AK1405" s="4">
        <v>5</v>
      </c>
      <c r="AL1405" s="4">
        <v>1</v>
      </c>
      <c r="AM1405" s="4">
        <v>2</v>
      </c>
      <c r="AN1405" s="4">
        <v>3</v>
      </c>
      <c r="AO1405" s="4">
        <v>18</v>
      </c>
      <c r="AP1405" s="3" t="s">
        <v>58</v>
      </c>
      <c r="AQ1405" s="3" t="s">
        <v>58</v>
      </c>
      <c r="AS1405" s="6" t="str">
        <f>HYPERLINK("https://creighton-primo.hosted.exlibrisgroup.com/primo-explore/search?tab=default_tab&amp;search_scope=EVERYTHING&amp;vid=01CRU&amp;lang=en_US&amp;offset=0&amp;query=any,contains,991004292669702656","Catalog Record")</f>
        <v>Catalog Record</v>
      </c>
      <c r="AT1405" s="6" t="str">
        <f>HYPERLINK("http://www.worldcat.org/oclc/2953012","WorldCat Record")</f>
        <v>WorldCat Record</v>
      </c>
      <c r="AU1405" s="3" t="s">
        <v>18171</v>
      </c>
      <c r="AV1405" s="3" t="s">
        <v>18172</v>
      </c>
      <c r="AW1405" s="3" t="s">
        <v>18173</v>
      </c>
      <c r="AX1405" s="3" t="s">
        <v>18173</v>
      </c>
      <c r="AY1405" s="3" t="s">
        <v>18174</v>
      </c>
      <c r="AZ1405" s="3" t="s">
        <v>74</v>
      </c>
      <c r="BB1405" s="3" t="s">
        <v>18175</v>
      </c>
      <c r="BC1405" s="3" t="s">
        <v>18176</v>
      </c>
      <c r="BD1405" s="3" t="s">
        <v>18177</v>
      </c>
    </row>
    <row r="1406" spans="1:56" ht="45.75" customHeight="1" x14ac:dyDescent="0.25">
      <c r="A1406" s="7" t="s">
        <v>58</v>
      </c>
      <c r="B1406" s="2" t="s">
        <v>18178</v>
      </c>
      <c r="C1406" s="2" t="s">
        <v>18179</v>
      </c>
      <c r="D1406" s="2" t="s">
        <v>18180</v>
      </c>
      <c r="F1406" s="3" t="s">
        <v>58</v>
      </c>
      <c r="G1406" s="3" t="s">
        <v>59</v>
      </c>
      <c r="H1406" s="3" t="s">
        <v>58</v>
      </c>
      <c r="I1406" s="3" t="s">
        <v>58</v>
      </c>
      <c r="J1406" s="3" t="s">
        <v>60</v>
      </c>
      <c r="K1406" s="2" t="s">
        <v>18181</v>
      </c>
      <c r="L1406" s="2" t="s">
        <v>14616</v>
      </c>
      <c r="M1406" s="3" t="s">
        <v>290</v>
      </c>
      <c r="O1406" s="3" t="s">
        <v>65</v>
      </c>
      <c r="P1406" s="3" t="s">
        <v>148</v>
      </c>
      <c r="R1406" s="3" t="s">
        <v>67</v>
      </c>
      <c r="S1406" s="4">
        <v>5</v>
      </c>
      <c r="T1406" s="4">
        <v>5</v>
      </c>
      <c r="U1406" s="5" t="s">
        <v>18182</v>
      </c>
      <c r="V1406" s="5" t="s">
        <v>18182</v>
      </c>
      <c r="W1406" s="5" t="s">
        <v>9295</v>
      </c>
      <c r="X1406" s="5" t="s">
        <v>9295</v>
      </c>
      <c r="Y1406" s="4">
        <v>503</v>
      </c>
      <c r="Z1406" s="4">
        <v>476</v>
      </c>
      <c r="AA1406" s="4">
        <v>493</v>
      </c>
      <c r="AB1406" s="4">
        <v>4</v>
      </c>
      <c r="AC1406" s="4">
        <v>5</v>
      </c>
      <c r="AD1406" s="4">
        <v>16</v>
      </c>
      <c r="AE1406" s="4">
        <v>17</v>
      </c>
      <c r="AF1406" s="4">
        <v>5</v>
      </c>
      <c r="AG1406" s="4">
        <v>5</v>
      </c>
      <c r="AH1406" s="4">
        <v>5</v>
      </c>
      <c r="AI1406" s="4">
        <v>5</v>
      </c>
      <c r="AJ1406" s="4">
        <v>7</v>
      </c>
      <c r="AK1406" s="4">
        <v>7</v>
      </c>
      <c r="AL1406" s="4">
        <v>3</v>
      </c>
      <c r="AM1406" s="4">
        <v>4</v>
      </c>
      <c r="AN1406" s="4">
        <v>1</v>
      </c>
      <c r="AO1406" s="4">
        <v>1</v>
      </c>
      <c r="AP1406" s="3" t="s">
        <v>58</v>
      </c>
      <c r="AQ1406" s="3" t="s">
        <v>58</v>
      </c>
      <c r="AS1406" s="6" t="str">
        <f>HYPERLINK("https://creighton-primo.hosted.exlibrisgroup.com/primo-explore/search?tab=default_tab&amp;search_scope=EVERYTHING&amp;vid=01CRU&amp;lang=en_US&amp;offset=0&amp;query=any,contains,991003755809702656","Catalog Record")</f>
        <v>Catalog Record</v>
      </c>
      <c r="AT1406" s="6" t="str">
        <f>HYPERLINK("http://www.worldcat.org/oclc/46394174","WorldCat Record")</f>
        <v>WorldCat Record</v>
      </c>
      <c r="AU1406" s="3" t="s">
        <v>18183</v>
      </c>
      <c r="AV1406" s="3" t="s">
        <v>18184</v>
      </c>
      <c r="AW1406" s="3" t="s">
        <v>18185</v>
      </c>
      <c r="AX1406" s="3" t="s">
        <v>18185</v>
      </c>
      <c r="AY1406" s="3" t="s">
        <v>18186</v>
      </c>
      <c r="AZ1406" s="3" t="s">
        <v>74</v>
      </c>
      <c r="BB1406" s="3" t="s">
        <v>18187</v>
      </c>
      <c r="BC1406" s="3" t="s">
        <v>18188</v>
      </c>
      <c r="BD1406" s="3" t="s">
        <v>18189</v>
      </c>
    </row>
    <row r="1407" spans="1:56" ht="45.75" customHeight="1" x14ac:dyDescent="0.25">
      <c r="A1407" s="7" t="s">
        <v>58</v>
      </c>
      <c r="B1407" s="2" t="s">
        <v>18190</v>
      </c>
      <c r="C1407" s="2" t="s">
        <v>18191</v>
      </c>
      <c r="D1407" s="2" t="s">
        <v>18192</v>
      </c>
      <c r="F1407" s="3" t="s">
        <v>58</v>
      </c>
      <c r="G1407" s="3" t="s">
        <v>59</v>
      </c>
      <c r="H1407" s="3" t="s">
        <v>58</v>
      </c>
      <c r="I1407" s="3" t="s">
        <v>58</v>
      </c>
      <c r="J1407" s="3" t="s">
        <v>60</v>
      </c>
      <c r="K1407" s="2" t="s">
        <v>18193</v>
      </c>
      <c r="L1407" s="2" t="s">
        <v>4487</v>
      </c>
      <c r="M1407" s="3" t="s">
        <v>1209</v>
      </c>
      <c r="O1407" s="3" t="s">
        <v>65</v>
      </c>
      <c r="P1407" s="3" t="s">
        <v>84</v>
      </c>
      <c r="R1407" s="3" t="s">
        <v>67</v>
      </c>
      <c r="S1407" s="4">
        <v>19</v>
      </c>
      <c r="T1407" s="4">
        <v>19</v>
      </c>
      <c r="U1407" s="5" t="s">
        <v>18194</v>
      </c>
      <c r="V1407" s="5" t="s">
        <v>18194</v>
      </c>
      <c r="W1407" s="5" t="s">
        <v>17695</v>
      </c>
      <c r="X1407" s="5" t="s">
        <v>17695</v>
      </c>
      <c r="Y1407" s="4">
        <v>776</v>
      </c>
      <c r="Z1407" s="4">
        <v>689</v>
      </c>
      <c r="AA1407" s="4">
        <v>757</v>
      </c>
      <c r="AB1407" s="4">
        <v>7</v>
      </c>
      <c r="AC1407" s="4">
        <v>8</v>
      </c>
      <c r="AD1407" s="4">
        <v>36</v>
      </c>
      <c r="AE1407" s="4">
        <v>38</v>
      </c>
      <c r="AF1407" s="4">
        <v>13</v>
      </c>
      <c r="AG1407" s="4">
        <v>14</v>
      </c>
      <c r="AH1407" s="4">
        <v>8</v>
      </c>
      <c r="AI1407" s="4">
        <v>8</v>
      </c>
      <c r="AJ1407" s="4">
        <v>14</v>
      </c>
      <c r="AK1407" s="4">
        <v>14</v>
      </c>
      <c r="AL1407" s="4">
        <v>6</v>
      </c>
      <c r="AM1407" s="4">
        <v>7</v>
      </c>
      <c r="AN1407" s="4">
        <v>4</v>
      </c>
      <c r="AO1407" s="4">
        <v>4</v>
      </c>
      <c r="AP1407" s="3" t="s">
        <v>58</v>
      </c>
      <c r="AQ1407" s="3" t="s">
        <v>87</v>
      </c>
      <c r="AR1407" s="6" t="str">
        <f>HYPERLINK("http://catalog.hathitrust.org/Record/000876112","HathiTrust Record")</f>
        <v>HathiTrust Record</v>
      </c>
      <c r="AS1407" s="6" t="str">
        <f>HYPERLINK("https://creighton-primo.hosted.exlibrisgroup.com/primo-explore/search?tab=default_tab&amp;search_scope=EVERYTHING&amp;vid=01CRU&amp;lang=en_US&amp;offset=0&amp;query=any,contains,991001036119702656","Catalog Record")</f>
        <v>Catalog Record</v>
      </c>
      <c r="AT1407" s="6" t="str">
        <f>HYPERLINK("http://www.worldcat.org/oclc/15549219","WorldCat Record")</f>
        <v>WorldCat Record</v>
      </c>
      <c r="AU1407" s="3" t="s">
        <v>18195</v>
      </c>
      <c r="AV1407" s="3" t="s">
        <v>18196</v>
      </c>
      <c r="AW1407" s="3" t="s">
        <v>18197</v>
      </c>
      <c r="AX1407" s="3" t="s">
        <v>18197</v>
      </c>
      <c r="AY1407" s="3" t="s">
        <v>18198</v>
      </c>
      <c r="AZ1407" s="3" t="s">
        <v>74</v>
      </c>
      <c r="BB1407" s="3" t="s">
        <v>18199</v>
      </c>
      <c r="BC1407" s="3" t="s">
        <v>18200</v>
      </c>
      <c r="BD1407" s="3" t="s">
        <v>18201</v>
      </c>
    </row>
    <row r="1408" spans="1:56" ht="45.75" customHeight="1" x14ac:dyDescent="0.25">
      <c r="A1408" s="7" t="s">
        <v>58</v>
      </c>
      <c r="B1408" s="2" t="s">
        <v>18202</v>
      </c>
      <c r="C1408" s="2" t="s">
        <v>18203</v>
      </c>
      <c r="D1408" s="2" t="s">
        <v>18204</v>
      </c>
      <c r="F1408" s="3" t="s">
        <v>58</v>
      </c>
      <c r="G1408" s="3" t="s">
        <v>59</v>
      </c>
      <c r="H1408" s="3" t="s">
        <v>58</v>
      </c>
      <c r="I1408" s="3" t="s">
        <v>58</v>
      </c>
      <c r="J1408" s="3" t="s">
        <v>60</v>
      </c>
      <c r="K1408" s="2" t="s">
        <v>18205</v>
      </c>
      <c r="L1408" s="2" t="s">
        <v>18206</v>
      </c>
      <c r="M1408" s="3" t="s">
        <v>290</v>
      </c>
      <c r="N1408" s="2" t="s">
        <v>543</v>
      </c>
      <c r="O1408" s="3" t="s">
        <v>65</v>
      </c>
      <c r="P1408" s="3" t="s">
        <v>84</v>
      </c>
      <c r="R1408" s="3" t="s">
        <v>67</v>
      </c>
      <c r="S1408" s="4">
        <v>2</v>
      </c>
      <c r="T1408" s="4">
        <v>2</v>
      </c>
      <c r="U1408" s="5" t="s">
        <v>18207</v>
      </c>
      <c r="V1408" s="5" t="s">
        <v>18207</v>
      </c>
      <c r="W1408" s="5" t="s">
        <v>6582</v>
      </c>
      <c r="X1408" s="5" t="s">
        <v>6582</v>
      </c>
      <c r="Y1408" s="4">
        <v>1515</v>
      </c>
      <c r="Z1408" s="4">
        <v>1456</v>
      </c>
      <c r="AA1408" s="4">
        <v>1572</v>
      </c>
      <c r="AB1408" s="4">
        <v>8</v>
      </c>
      <c r="AC1408" s="4">
        <v>9</v>
      </c>
      <c r="AD1408" s="4">
        <v>42</v>
      </c>
      <c r="AE1408" s="4">
        <v>43</v>
      </c>
      <c r="AF1408" s="4">
        <v>16</v>
      </c>
      <c r="AG1408" s="4">
        <v>16</v>
      </c>
      <c r="AH1408" s="4">
        <v>8</v>
      </c>
      <c r="AI1408" s="4">
        <v>8</v>
      </c>
      <c r="AJ1408" s="4">
        <v>22</v>
      </c>
      <c r="AK1408" s="4">
        <v>22</v>
      </c>
      <c r="AL1408" s="4">
        <v>5</v>
      </c>
      <c r="AM1408" s="4">
        <v>6</v>
      </c>
      <c r="AN1408" s="4">
        <v>2</v>
      </c>
      <c r="AO1408" s="4">
        <v>2</v>
      </c>
      <c r="AP1408" s="3" t="s">
        <v>58</v>
      </c>
      <c r="AQ1408" s="3" t="s">
        <v>58</v>
      </c>
      <c r="AS1408" s="6" t="str">
        <f>HYPERLINK("https://creighton-primo.hosted.exlibrisgroup.com/primo-explore/search?tab=default_tab&amp;search_scope=EVERYTHING&amp;vid=01CRU&amp;lang=en_US&amp;offset=0&amp;query=any,contains,991003491459702656","Catalog Record")</f>
        <v>Catalog Record</v>
      </c>
      <c r="AT1408" s="6" t="str">
        <f>HYPERLINK("http://www.worldcat.org/oclc/44750836","WorldCat Record")</f>
        <v>WorldCat Record</v>
      </c>
      <c r="AU1408" s="3" t="s">
        <v>18208</v>
      </c>
      <c r="AV1408" s="3" t="s">
        <v>18209</v>
      </c>
      <c r="AW1408" s="3" t="s">
        <v>18210</v>
      </c>
      <c r="AX1408" s="3" t="s">
        <v>18210</v>
      </c>
      <c r="AY1408" s="3" t="s">
        <v>18211</v>
      </c>
      <c r="AZ1408" s="3" t="s">
        <v>74</v>
      </c>
      <c r="BB1408" s="3" t="s">
        <v>18212</v>
      </c>
      <c r="BC1408" s="3" t="s">
        <v>18213</v>
      </c>
      <c r="BD1408" s="3" t="s">
        <v>18214</v>
      </c>
    </row>
    <row r="1409" spans="1:56" ht="45.75" customHeight="1" x14ac:dyDescent="0.25">
      <c r="A1409" s="7" t="s">
        <v>58</v>
      </c>
      <c r="B1409" s="2" t="s">
        <v>18215</v>
      </c>
      <c r="C1409" s="2" t="s">
        <v>18216</v>
      </c>
      <c r="D1409" s="2" t="s">
        <v>18217</v>
      </c>
      <c r="F1409" s="3" t="s">
        <v>58</v>
      </c>
      <c r="G1409" s="3" t="s">
        <v>59</v>
      </c>
      <c r="H1409" s="3" t="s">
        <v>58</v>
      </c>
      <c r="I1409" s="3" t="s">
        <v>58</v>
      </c>
      <c r="J1409" s="3" t="s">
        <v>60</v>
      </c>
      <c r="K1409" s="2" t="s">
        <v>18218</v>
      </c>
      <c r="L1409" s="2" t="s">
        <v>18219</v>
      </c>
      <c r="M1409" s="3" t="s">
        <v>220</v>
      </c>
      <c r="O1409" s="3" t="s">
        <v>65</v>
      </c>
      <c r="P1409" s="3" t="s">
        <v>84</v>
      </c>
      <c r="Q1409" s="2" t="s">
        <v>18220</v>
      </c>
      <c r="R1409" s="3" t="s">
        <v>67</v>
      </c>
      <c r="S1409" s="4">
        <v>2</v>
      </c>
      <c r="T1409" s="4">
        <v>2</v>
      </c>
      <c r="U1409" s="5" t="s">
        <v>3751</v>
      </c>
      <c r="V1409" s="5" t="s">
        <v>3751</v>
      </c>
      <c r="W1409" s="5" t="s">
        <v>18221</v>
      </c>
      <c r="X1409" s="5" t="s">
        <v>18221</v>
      </c>
      <c r="Y1409" s="4">
        <v>100</v>
      </c>
      <c r="Z1409" s="4">
        <v>85</v>
      </c>
      <c r="AA1409" s="4">
        <v>86</v>
      </c>
      <c r="AB1409" s="4">
        <v>2</v>
      </c>
      <c r="AC1409" s="4">
        <v>2</v>
      </c>
      <c r="AD1409" s="4">
        <v>1</v>
      </c>
      <c r="AE1409" s="4">
        <v>1</v>
      </c>
      <c r="AF1409" s="4">
        <v>0</v>
      </c>
      <c r="AG1409" s="4">
        <v>0</v>
      </c>
      <c r="AH1409" s="4">
        <v>0</v>
      </c>
      <c r="AI1409" s="4">
        <v>0</v>
      </c>
      <c r="AJ1409" s="4">
        <v>0</v>
      </c>
      <c r="AK1409" s="4">
        <v>0</v>
      </c>
      <c r="AL1409" s="4">
        <v>1</v>
      </c>
      <c r="AM1409" s="4">
        <v>1</v>
      </c>
      <c r="AN1409" s="4">
        <v>0</v>
      </c>
      <c r="AO1409" s="4">
        <v>0</v>
      </c>
      <c r="AP1409" s="3" t="s">
        <v>58</v>
      </c>
      <c r="AQ1409" s="3" t="s">
        <v>58</v>
      </c>
      <c r="AS1409" s="6" t="str">
        <f>HYPERLINK("https://creighton-primo.hosted.exlibrisgroup.com/primo-explore/search?tab=default_tab&amp;search_scope=EVERYTHING&amp;vid=01CRU&amp;lang=en_US&amp;offset=0&amp;query=any,contains,991005429819702656","Catalog Record")</f>
        <v>Catalog Record</v>
      </c>
      <c r="AT1409" s="6" t="str">
        <f>HYPERLINK("http://www.worldcat.org/oclc/40481191","WorldCat Record")</f>
        <v>WorldCat Record</v>
      </c>
      <c r="AU1409" s="3" t="s">
        <v>18222</v>
      </c>
      <c r="AV1409" s="3" t="s">
        <v>18223</v>
      </c>
      <c r="AW1409" s="3" t="s">
        <v>18224</v>
      </c>
      <c r="AX1409" s="3" t="s">
        <v>18224</v>
      </c>
      <c r="AY1409" s="3" t="s">
        <v>18225</v>
      </c>
      <c r="AZ1409" s="3" t="s">
        <v>74</v>
      </c>
      <c r="BB1409" s="3" t="s">
        <v>18226</v>
      </c>
      <c r="BC1409" s="3" t="s">
        <v>18227</v>
      </c>
      <c r="BD1409" s="3" t="s">
        <v>18228</v>
      </c>
    </row>
    <row r="1410" spans="1:56" ht="45.75" customHeight="1" x14ac:dyDescent="0.25">
      <c r="A1410" s="7" t="s">
        <v>58</v>
      </c>
      <c r="B1410" s="2" t="s">
        <v>18229</v>
      </c>
      <c r="C1410" s="2" t="s">
        <v>18230</v>
      </c>
      <c r="D1410" s="2" t="s">
        <v>18231</v>
      </c>
      <c r="F1410" s="3" t="s">
        <v>58</v>
      </c>
      <c r="G1410" s="3" t="s">
        <v>59</v>
      </c>
      <c r="H1410" s="3" t="s">
        <v>58</v>
      </c>
      <c r="I1410" s="3" t="s">
        <v>58</v>
      </c>
      <c r="J1410" s="3" t="s">
        <v>60</v>
      </c>
      <c r="L1410" s="2" t="s">
        <v>18232</v>
      </c>
      <c r="M1410" s="3" t="s">
        <v>557</v>
      </c>
      <c r="O1410" s="3" t="s">
        <v>65</v>
      </c>
      <c r="P1410" s="3" t="s">
        <v>336</v>
      </c>
      <c r="R1410" s="3" t="s">
        <v>67</v>
      </c>
      <c r="S1410" s="4">
        <v>7</v>
      </c>
      <c r="T1410" s="4">
        <v>7</v>
      </c>
      <c r="U1410" s="5" t="s">
        <v>18233</v>
      </c>
      <c r="V1410" s="5" t="s">
        <v>18233</v>
      </c>
      <c r="W1410" s="5" t="s">
        <v>3890</v>
      </c>
      <c r="X1410" s="5" t="s">
        <v>3890</v>
      </c>
      <c r="Y1410" s="4">
        <v>406</v>
      </c>
      <c r="Z1410" s="4">
        <v>354</v>
      </c>
      <c r="AA1410" s="4">
        <v>357</v>
      </c>
      <c r="AB1410" s="4">
        <v>3</v>
      </c>
      <c r="AC1410" s="4">
        <v>3</v>
      </c>
      <c r="AD1410" s="4">
        <v>14</v>
      </c>
      <c r="AE1410" s="4">
        <v>14</v>
      </c>
      <c r="AF1410" s="4">
        <v>2</v>
      </c>
      <c r="AG1410" s="4">
        <v>2</v>
      </c>
      <c r="AH1410" s="4">
        <v>4</v>
      </c>
      <c r="AI1410" s="4">
        <v>4</v>
      </c>
      <c r="AJ1410" s="4">
        <v>5</v>
      </c>
      <c r="AK1410" s="4">
        <v>5</v>
      </c>
      <c r="AL1410" s="4">
        <v>2</v>
      </c>
      <c r="AM1410" s="4">
        <v>2</v>
      </c>
      <c r="AN1410" s="4">
        <v>4</v>
      </c>
      <c r="AO1410" s="4">
        <v>4</v>
      </c>
      <c r="AP1410" s="3" t="s">
        <v>58</v>
      </c>
      <c r="AQ1410" s="3" t="s">
        <v>58</v>
      </c>
      <c r="AS1410" s="6" t="str">
        <f>HYPERLINK("https://creighton-primo.hosted.exlibrisgroup.com/primo-explore/search?tab=default_tab&amp;search_scope=EVERYTHING&amp;vid=01CRU&amp;lang=en_US&amp;offset=0&amp;query=any,contains,991001971359702656","Catalog Record")</f>
        <v>Catalog Record</v>
      </c>
      <c r="AT1410" s="6" t="str">
        <f>HYPERLINK("http://www.worldcat.org/oclc/25009283","WorldCat Record")</f>
        <v>WorldCat Record</v>
      </c>
      <c r="AU1410" s="3" t="s">
        <v>18234</v>
      </c>
      <c r="AV1410" s="3" t="s">
        <v>18235</v>
      </c>
      <c r="AW1410" s="3" t="s">
        <v>18236</v>
      </c>
      <c r="AX1410" s="3" t="s">
        <v>18236</v>
      </c>
      <c r="AY1410" s="3" t="s">
        <v>18237</v>
      </c>
      <c r="AZ1410" s="3" t="s">
        <v>74</v>
      </c>
      <c r="BB1410" s="3" t="s">
        <v>18238</v>
      </c>
      <c r="BC1410" s="3" t="s">
        <v>18239</v>
      </c>
      <c r="BD1410" s="3" t="s">
        <v>18240</v>
      </c>
    </row>
    <row r="1411" spans="1:56" ht="45.75" customHeight="1" x14ac:dyDescent="0.25">
      <c r="A1411" s="7" t="s">
        <v>58</v>
      </c>
      <c r="B1411" s="2" t="s">
        <v>18241</v>
      </c>
      <c r="C1411" s="2" t="s">
        <v>18242</v>
      </c>
      <c r="D1411" s="2" t="s">
        <v>18243</v>
      </c>
      <c r="F1411" s="3" t="s">
        <v>58</v>
      </c>
      <c r="G1411" s="3" t="s">
        <v>59</v>
      </c>
      <c r="H1411" s="3" t="s">
        <v>87</v>
      </c>
      <c r="I1411" s="3" t="s">
        <v>58</v>
      </c>
      <c r="J1411" s="3" t="s">
        <v>60</v>
      </c>
      <c r="K1411" s="2" t="s">
        <v>18244</v>
      </c>
      <c r="L1411" s="2" t="s">
        <v>12797</v>
      </c>
      <c r="M1411" s="3" t="s">
        <v>713</v>
      </c>
      <c r="O1411" s="3" t="s">
        <v>65</v>
      </c>
      <c r="P1411" s="3" t="s">
        <v>190</v>
      </c>
      <c r="Q1411" s="2" t="s">
        <v>15673</v>
      </c>
      <c r="R1411" s="3" t="s">
        <v>67</v>
      </c>
      <c r="S1411" s="4">
        <v>11</v>
      </c>
      <c r="T1411" s="4">
        <v>11</v>
      </c>
      <c r="U1411" s="5" t="s">
        <v>18233</v>
      </c>
      <c r="V1411" s="5" t="s">
        <v>18233</v>
      </c>
      <c r="W1411" s="5" t="s">
        <v>5890</v>
      </c>
      <c r="X1411" s="5" t="s">
        <v>17909</v>
      </c>
      <c r="Y1411" s="4">
        <v>842</v>
      </c>
      <c r="Z1411" s="4">
        <v>757</v>
      </c>
      <c r="AA1411" s="4">
        <v>762</v>
      </c>
      <c r="AB1411" s="4">
        <v>6</v>
      </c>
      <c r="AC1411" s="4">
        <v>6</v>
      </c>
      <c r="AD1411" s="4">
        <v>39</v>
      </c>
      <c r="AE1411" s="4">
        <v>39</v>
      </c>
      <c r="AF1411" s="4">
        <v>10</v>
      </c>
      <c r="AG1411" s="4">
        <v>10</v>
      </c>
      <c r="AH1411" s="4">
        <v>4</v>
      </c>
      <c r="AI1411" s="4">
        <v>4</v>
      </c>
      <c r="AJ1411" s="4">
        <v>12</v>
      </c>
      <c r="AK1411" s="4">
        <v>12</v>
      </c>
      <c r="AL1411" s="4">
        <v>3</v>
      </c>
      <c r="AM1411" s="4">
        <v>3</v>
      </c>
      <c r="AN1411" s="4">
        <v>16</v>
      </c>
      <c r="AO1411" s="4">
        <v>16</v>
      </c>
      <c r="AP1411" s="3" t="s">
        <v>58</v>
      </c>
      <c r="AQ1411" s="3" t="s">
        <v>58</v>
      </c>
      <c r="AS1411" s="6" t="str">
        <f>HYPERLINK("https://creighton-primo.hosted.exlibrisgroup.com/primo-explore/search?tab=default_tab&amp;search_scope=EVERYTHING&amp;vid=01CRU&amp;lang=en_US&amp;offset=0&amp;query=any,contains,991001672199702656","Catalog Record")</f>
        <v>Catalog Record</v>
      </c>
      <c r="AT1411" s="6" t="str">
        <f>HYPERLINK("http://www.worldcat.org/oclc/7572793","WorldCat Record")</f>
        <v>WorldCat Record</v>
      </c>
      <c r="AU1411" s="3" t="s">
        <v>18245</v>
      </c>
      <c r="AV1411" s="3" t="s">
        <v>18246</v>
      </c>
      <c r="AW1411" s="3" t="s">
        <v>18247</v>
      </c>
      <c r="AX1411" s="3" t="s">
        <v>18247</v>
      </c>
      <c r="AY1411" s="3" t="s">
        <v>18248</v>
      </c>
      <c r="AZ1411" s="3" t="s">
        <v>74</v>
      </c>
      <c r="BB1411" s="3" t="s">
        <v>18249</v>
      </c>
      <c r="BC1411" s="3" t="s">
        <v>18250</v>
      </c>
      <c r="BD1411" s="3" t="s">
        <v>18251</v>
      </c>
    </row>
    <row r="1412" spans="1:56" ht="45.75" customHeight="1" x14ac:dyDescent="0.25">
      <c r="A1412" s="7" t="s">
        <v>58</v>
      </c>
      <c r="B1412" s="2" t="s">
        <v>18252</v>
      </c>
      <c r="C1412" s="2" t="s">
        <v>18253</v>
      </c>
      <c r="D1412" s="2" t="s">
        <v>18254</v>
      </c>
      <c r="F1412" s="3" t="s">
        <v>58</v>
      </c>
      <c r="G1412" s="3" t="s">
        <v>59</v>
      </c>
      <c r="H1412" s="3" t="s">
        <v>58</v>
      </c>
      <c r="I1412" s="3" t="s">
        <v>58</v>
      </c>
      <c r="J1412" s="3" t="s">
        <v>60</v>
      </c>
      <c r="K1412" s="2" t="s">
        <v>18255</v>
      </c>
      <c r="L1412" s="2" t="s">
        <v>18256</v>
      </c>
      <c r="M1412" s="3" t="s">
        <v>162</v>
      </c>
      <c r="O1412" s="3" t="s">
        <v>65</v>
      </c>
      <c r="P1412" s="3" t="s">
        <v>84</v>
      </c>
      <c r="R1412" s="3" t="s">
        <v>67</v>
      </c>
      <c r="S1412" s="4">
        <v>1</v>
      </c>
      <c r="T1412" s="4">
        <v>1</v>
      </c>
      <c r="U1412" s="5" t="s">
        <v>364</v>
      </c>
      <c r="V1412" s="5" t="s">
        <v>364</v>
      </c>
      <c r="W1412" s="5" t="s">
        <v>364</v>
      </c>
      <c r="X1412" s="5" t="s">
        <v>364</v>
      </c>
      <c r="Y1412" s="4">
        <v>104</v>
      </c>
      <c r="Z1412" s="4">
        <v>95</v>
      </c>
      <c r="AA1412" s="4">
        <v>95</v>
      </c>
      <c r="AB1412" s="4">
        <v>1</v>
      </c>
      <c r="AC1412" s="4">
        <v>1</v>
      </c>
      <c r="AD1412" s="4">
        <v>2</v>
      </c>
      <c r="AE1412" s="4">
        <v>2</v>
      </c>
      <c r="AF1412" s="4">
        <v>1</v>
      </c>
      <c r="AG1412" s="4">
        <v>1</v>
      </c>
      <c r="AH1412" s="4">
        <v>0</v>
      </c>
      <c r="AI1412" s="4">
        <v>0</v>
      </c>
      <c r="AJ1412" s="4">
        <v>2</v>
      </c>
      <c r="AK1412" s="4">
        <v>2</v>
      </c>
      <c r="AL1412" s="4">
        <v>0</v>
      </c>
      <c r="AM1412" s="4">
        <v>0</v>
      </c>
      <c r="AN1412" s="4">
        <v>0</v>
      </c>
      <c r="AO1412" s="4">
        <v>0</v>
      </c>
      <c r="AP1412" s="3" t="s">
        <v>58</v>
      </c>
      <c r="AQ1412" s="3" t="s">
        <v>58</v>
      </c>
      <c r="AS1412" s="6" t="str">
        <f>HYPERLINK("https://creighton-primo.hosted.exlibrisgroup.com/primo-explore/search?tab=default_tab&amp;search_scope=EVERYTHING&amp;vid=01CRU&amp;lang=en_US&amp;offset=0&amp;query=any,contains,991005334599702656","Catalog Record")</f>
        <v>Catalog Record</v>
      </c>
      <c r="AT1412" s="6" t="str">
        <f>HYPERLINK("http://www.worldcat.org/oclc/271104113","WorldCat Record")</f>
        <v>WorldCat Record</v>
      </c>
      <c r="AU1412" s="3" t="s">
        <v>18257</v>
      </c>
      <c r="AV1412" s="3" t="s">
        <v>18258</v>
      </c>
      <c r="AW1412" s="3" t="s">
        <v>18259</v>
      </c>
      <c r="AX1412" s="3" t="s">
        <v>18259</v>
      </c>
      <c r="AY1412" s="3" t="s">
        <v>18260</v>
      </c>
      <c r="AZ1412" s="3" t="s">
        <v>74</v>
      </c>
      <c r="BB1412" s="3" t="s">
        <v>18261</v>
      </c>
      <c r="BC1412" s="3" t="s">
        <v>18262</v>
      </c>
      <c r="BD1412" s="3" t="s">
        <v>18263</v>
      </c>
    </row>
    <row r="1413" spans="1:56" ht="45.75" customHeight="1" x14ac:dyDescent="0.25">
      <c r="A1413" s="7" t="s">
        <v>58</v>
      </c>
      <c r="B1413" s="2" t="s">
        <v>18264</v>
      </c>
      <c r="C1413" s="2" t="s">
        <v>18265</v>
      </c>
      <c r="D1413" s="2" t="s">
        <v>18266</v>
      </c>
      <c r="F1413" s="3" t="s">
        <v>58</v>
      </c>
      <c r="G1413" s="3" t="s">
        <v>59</v>
      </c>
      <c r="H1413" s="3" t="s">
        <v>58</v>
      </c>
      <c r="I1413" s="3" t="s">
        <v>58</v>
      </c>
      <c r="J1413" s="3" t="s">
        <v>60</v>
      </c>
      <c r="L1413" s="2" t="s">
        <v>18267</v>
      </c>
      <c r="M1413" s="3" t="s">
        <v>63</v>
      </c>
      <c r="N1413" s="2" t="s">
        <v>543</v>
      </c>
      <c r="O1413" s="3" t="s">
        <v>65</v>
      </c>
      <c r="P1413" s="3" t="s">
        <v>84</v>
      </c>
      <c r="Q1413" s="2" t="s">
        <v>18268</v>
      </c>
      <c r="R1413" s="3" t="s">
        <v>67</v>
      </c>
      <c r="S1413" s="4">
        <v>4</v>
      </c>
      <c r="T1413" s="4">
        <v>4</v>
      </c>
      <c r="U1413" s="5" t="s">
        <v>18269</v>
      </c>
      <c r="V1413" s="5" t="s">
        <v>18269</v>
      </c>
      <c r="W1413" s="5" t="s">
        <v>18270</v>
      </c>
      <c r="X1413" s="5" t="s">
        <v>18270</v>
      </c>
      <c r="Y1413" s="4">
        <v>288</v>
      </c>
      <c r="Z1413" s="4">
        <v>254</v>
      </c>
      <c r="AA1413" s="4">
        <v>278</v>
      </c>
      <c r="AB1413" s="4">
        <v>3</v>
      </c>
      <c r="AC1413" s="4">
        <v>3</v>
      </c>
      <c r="AD1413" s="4">
        <v>11</v>
      </c>
      <c r="AE1413" s="4">
        <v>11</v>
      </c>
      <c r="AF1413" s="4">
        <v>3</v>
      </c>
      <c r="AG1413" s="4">
        <v>3</v>
      </c>
      <c r="AH1413" s="4">
        <v>4</v>
      </c>
      <c r="AI1413" s="4">
        <v>4</v>
      </c>
      <c r="AJ1413" s="4">
        <v>5</v>
      </c>
      <c r="AK1413" s="4">
        <v>5</v>
      </c>
      <c r="AL1413" s="4">
        <v>2</v>
      </c>
      <c r="AM1413" s="4">
        <v>2</v>
      </c>
      <c r="AN1413" s="4">
        <v>0</v>
      </c>
      <c r="AO1413" s="4">
        <v>0</v>
      </c>
      <c r="AP1413" s="3" t="s">
        <v>58</v>
      </c>
      <c r="AQ1413" s="3" t="s">
        <v>58</v>
      </c>
      <c r="AS1413" s="6" t="str">
        <f>HYPERLINK("https://creighton-primo.hosted.exlibrisgroup.com/primo-explore/search?tab=default_tab&amp;search_scope=EVERYTHING&amp;vid=01CRU&amp;lang=en_US&amp;offset=0&amp;query=any,contains,991005018579702656","Catalog Record")</f>
        <v>Catalog Record</v>
      </c>
      <c r="AT1413" s="6" t="str">
        <f>HYPERLINK("http://www.worldcat.org/oclc/57193021","WorldCat Record")</f>
        <v>WorldCat Record</v>
      </c>
      <c r="AU1413" s="3" t="s">
        <v>18271</v>
      </c>
      <c r="AV1413" s="3" t="s">
        <v>18272</v>
      </c>
      <c r="AW1413" s="3" t="s">
        <v>18273</v>
      </c>
      <c r="AX1413" s="3" t="s">
        <v>18273</v>
      </c>
      <c r="AY1413" s="3" t="s">
        <v>18274</v>
      </c>
      <c r="AZ1413" s="3" t="s">
        <v>74</v>
      </c>
      <c r="BB1413" s="3" t="s">
        <v>18275</v>
      </c>
      <c r="BC1413" s="3" t="s">
        <v>18276</v>
      </c>
      <c r="BD1413" s="3" t="s">
        <v>18277</v>
      </c>
    </row>
    <row r="1414" spans="1:56" ht="45.75" customHeight="1" x14ac:dyDescent="0.25">
      <c r="A1414" s="7" t="s">
        <v>58</v>
      </c>
      <c r="B1414" s="2" t="s">
        <v>18278</v>
      </c>
      <c r="C1414" s="2" t="s">
        <v>18279</v>
      </c>
      <c r="D1414" s="2" t="s">
        <v>18280</v>
      </c>
      <c r="F1414" s="3" t="s">
        <v>58</v>
      </c>
      <c r="G1414" s="3" t="s">
        <v>59</v>
      </c>
      <c r="H1414" s="3" t="s">
        <v>58</v>
      </c>
      <c r="I1414" s="3" t="s">
        <v>58</v>
      </c>
      <c r="J1414" s="3" t="s">
        <v>60</v>
      </c>
      <c r="K1414" s="2" t="s">
        <v>18281</v>
      </c>
      <c r="L1414" s="2" t="s">
        <v>18282</v>
      </c>
      <c r="M1414" s="3" t="s">
        <v>1088</v>
      </c>
      <c r="O1414" s="3" t="s">
        <v>65</v>
      </c>
      <c r="P1414" s="3" t="s">
        <v>336</v>
      </c>
      <c r="R1414" s="3" t="s">
        <v>67</v>
      </c>
      <c r="S1414" s="4">
        <v>16</v>
      </c>
      <c r="T1414" s="4">
        <v>16</v>
      </c>
      <c r="U1414" s="5" t="s">
        <v>18283</v>
      </c>
      <c r="V1414" s="5" t="s">
        <v>18283</v>
      </c>
      <c r="W1414" s="5" t="s">
        <v>17695</v>
      </c>
      <c r="X1414" s="5" t="s">
        <v>17695</v>
      </c>
      <c r="Y1414" s="4">
        <v>592</v>
      </c>
      <c r="Z1414" s="4">
        <v>525</v>
      </c>
      <c r="AA1414" s="4">
        <v>532</v>
      </c>
      <c r="AB1414" s="4">
        <v>6</v>
      </c>
      <c r="AC1414" s="4">
        <v>6</v>
      </c>
      <c r="AD1414" s="4">
        <v>25</v>
      </c>
      <c r="AE1414" s="4">
        <v>25</v>
      </c>
      <c r="AF1414" s="4">
        <v>5</v>
      </c>
      <c r="AG1414" s="4">
        <v>5</v>
      </c>
      <c r="AH1414" s="4">
        <v>6</v>
      </c>
      <c r="AI1414" s="4">
        <v>6</v>
      </c>
      <c r="AJ1414" s="4">
        <v>11</v>
      </c>
      <c r="AK1414" s="4">
        <v>11</v>
      </c>
      <c r="AL1414" s="4">
        <v>4</v>
      </c>
      <c r="AM1414" s="4">
        <v>4</v>
      </c>
      <c r="AN1414" s="4">
        <v>5</v>
      </c>
      <c r="AO1414" s="4">
        <v>5</v>
      </c>
      <c r="AP1414" s="3" t="s">
        <v>58</v>
      </c>
      <c r="AQ1414" s="3" t="s">
        <v>58</v>
      </c>
      <c r="AS1414" s="6" t="str">
        <f>HYPERLINK("https://creighton-primo.hosted.exlibrisgroup.com/primo-explore/search?tab=default_tab&amp;search_scope=EVERYTHING&amp;vid=01CRU&amp;lang=en_US&amp;offset=0&amp;query=any,contains,991000491819702656","Catalog Record")</f>
        <v>Catalog Record</v>
      </c>
      <c r="AT1414" s="6" t="str">
        <f>HYPERLINK("http://www.worldcat.org/oclc/11113297","WorldCat Record")</f>
        <v>WorldCat Record</v>
      </c>
      <c r="AU1414" s="3" t="s">
        <v>18284</v>
      </c>
      <c r="AV1414" s="3" t="s">
        <v>18285</v>
      </c>
      <c r="AW1414" s="3" t="s">
        <v>18286</v>
      </c>
      <c r="AX1414" s="3" t="s">
        <v>18286</v>
      </c>
      <c r="AY1414" s="3" t="s">
        <v>18287</v>
      </c>
      <c r="AZ1414" s="3" t="s">
        <v>74</v>
      </c>
      <c r="BB1414" s="3" t="s">
        <v>18288</v>
      </c>
      <c r="BC1414" s="3" t="s">
        <v>18289</v>
      </c>
      <c r="BD1414" s="3" t="s">
        <v>18290</v>
      </c>
    </row>
    <row r="1415" spans="1:56" ht="45.75" customHeight="1" x14ac:dyDescent="0.25">
      <c r="A1415" s="7" t="s">
        <v>58</v>
      </c>
      <c r="B1415" s="2" t="s">
        <v>18291</v>
      </c>
      <c r="C1415" s="2" t="s">
        <v>18292</v>
      </c>
      <c r="D1415" s="2" t="s">
        <v>18293</v>
      </c>
      <c r="F1415" s="3" t="s">
        <v>58</v>
      </c>
      <c r="G1415" s="3" t="s">
        <v>59</v>
      </c>
      <c r="H1415" s="3" t="s">
        <v>58</v>
      </c>
      <c r="I1415" s="3" t="s">
        <v>58</v>
      </c>
      <c r="J1415" s="3" t="s">
        <v>60</v>
      </c>
      <c r="L1415" s="2" t="s">
        <v>11346</v>
      </c>
      <c r="M1415" s="3" t="s">
        <v>923</v>
      </c>
      <c r="O1415" s="3" t="s">
        <v>65</v>
      </c>
      <c r="P1415" s="3" t="s">
        <v>132</v>
      </c>
      <c r="Q1415" s="2" t="s">
        <v>18294</v>
      </c>
      <c r="R1415" s="3" t="s">
        <v>67</v>
      </c>
      <c r="S1415" s="4">
        <v>7</v>
      </c>
      <c r="T1415" s="4">
        <v>7</v>
      </c>
      <c r="U1415" s="5" t="s">
        <v>7074</v>
      </c>
      <c r="V1415" s="5" t="s">
        <v>7074</v>
      </c>
      <c r="W1415" s="5" t="s">
        <v>18295</v>
      </c>
      <c r="X1415" s="5" t="s">
        <v>18295</v>
      </c>
      <c r="Y1415" s="4">
        <v>355</v>
      </c>
      <c r="Z1415" s="4">
        <v>281</v>
      </c>
      <c r="AA1415" s="4">
        <v>281</v>
      </c>
      <c r="AB1415" s="4">
        <v>3</v>
      </c>
      <c r="AC1415" s="4">
        <v>3</v>
      </c>
      <c r="AD1415" s="4">
        <v>18</v>
      </c>
      <c r="AE1415" s="4">
        <v>18</v>
      </c>
      <c r="AF1415" s="4">
        <v>8</v>
      </c>
      <c r="AG1415" s="4">
        <v>8</v>
      </c>
      <c r="AH1415" s="4">
        <v>2</v>
      </c>
      <c r="AI1415" s="4">
        <v>2</v>
      </c>
      <c r="AJ1415" s="4">
        <v>9</v>
      </c>
      <c r="AK1415" s="4">
        <v>9</v>
      </c>
      <c r="AL1415" s="4">
        <v>2</v>
      </c>
      <c r="AM1415" s="4">
        <v>2</v>
      </c>
      <c r="AN1415" s="4">
        <v>3</v>
      </c>
      <c r="AO1415" s="4">
        <v>3</v>
      </c>
      <c r="AP1415" s="3" t="s">
        <v>58</v>
      </c>
      <c r="AQ1415" s="3" t="s">
        <v>58</v>
      </c>
      <c r="AS1415" s="6" t="str">
        <f>HYPERLINK("https://creighton-primo.hosted.exlibrisgroup.com/primo-explore/search?tab=default_tab&amp;search_scope=EVERYTHING&amp;vid=01CRU&amp;lang=en_US&amp;offset=0&amp;query=any,contains,991005190049702656","Catalog Record")</f>
        <v>Catalog Record</v>
      </c>
      <c r="AT1415" s="6" t="str">
        <f>HYPERLINK("http://www.worldcat.org/oclc/7998177","WorldCat Record")</f>
        <v>WorldCat Record</v>
      </c>
      <c r="AU1415" s="3" t="s">
        <v>18296</v>
      </c>
      <c r="AV1415" s="3" t="s">
        <v>18297</v>
      </c>
      <c r="AW1415" s="3" t="s">
        <v>18298</v>
      </c>
      <c r="AX1415" s="3" t="s">
        <v>18298</v>
      </c>
      <c r="AY1415" s="3" t="s">
        <v>18299</v>
      </c>
      <c r="AZ1415" s="3" t="s">
        <v>74</v>
      </c>
      <c r="BB1415" s="3" t="s">
        <v>18300</v>
      </c>
      <c r="BC1415" s="3" t="s">
        <v>18301</v>
      </c>
      <c r="BD1415" s="3" t="s">
        <v>18302</v>
      </c>
    </row>
    <row r="1416" spans="1:56" ht="45.75" customHeight="1" x14ac:dyDescent="0.25">
      <c r="A1416" s="7" t="s">
        <v>58</v>
      </c>
      <c r="B1416" s="2" t="s">
        <v>18303</v>
      </c>
      <c r="C1416" s="2" t="s">
        <v>18304</v>
      </c>
      <c r="D1416" s="2" t="s">
        <v>18305</v>
      </c>
      <c r="F1416" s="3" t="s">
        <v>58</v>
      </c>
      <c r="G1416" s="3" t="s">
        <v>59</v>
      </c>
      <c r="H1416" s="3" t="s">
        <v>58</v>
      </c>
      <c r="I1416" s="3" t="s">
        <v>58</v>
      </c>
      <c r="J1416" s="3" t="s">
        <v>60</v>
      </c>
      <c r="L1416" s="2" t="s">
        <v>18306</v>
      </c>
      <c r="M1416" s="3" t="s">
        <v>867</v>
      </c>
      <c r="O1416" s="3" t="s">
        <v>65</v>
      </c>
      <c r="P1416" s="3" t="s">
        <v>6674</v>
      </c>
      <c r="Q1416" s="2" t="s">
        <v>5501</v>
      </c>
      <c r="R1416" s="3" t="s">
        <v>67</v>
      </c>
      <c r="S1416" s="4">
        <v>5</v>
      </c>
      <c r="T1416" s="4">
        <v>5</v>
      </c>
      <c r="U1416" s="5" t="s">
        <v>18233</v>
      </c>
      <c r="V1416" s="5" t="s">
        <v>18233</v>
      </c>
      <c r="W1416" s="5" t="s">
        <v>5503</v>
      </c>
      <c r="X1416" s="5" t="s">
        <v>5503</v>
      </c>
      <c r="Y1416" s="4">
        <v>227</v>
      </c>
      <c r="Z1416" s="4">
        <v>205</v>
      </c>
      <c r="AA1416" s="4">
        <v>207</v>
      </c>
      <c r="AB1416" s="4">
        <v>2</v>
      </c>
      <c r="AC1416" s="4">
        <v>2</v>
      </c>
      <c r="AD1416" s="4">
        <v>7</v>
      </c>
      <c r="AE1416" s="4">
        <v>7</v>
      </c>
      <c r="AF1416" s="4">
        <v>2</v>
      </c>
      <c r="AG1416" s="4">
        <v>2</v>
      </c>
      <c r="AH1416" s="4">
        <v>1</v>
      </c>
      <c r="AI1416" s="4">
        <v>1</v>
      </c>
      <c r="AJ1416" s="4">
        <v>4</v>
      </c>
      <c r="AK1416" s="4">
        <v>4</v>
      </c>
      <c r="AL1416" s="4">
        <v>1</v>
      </c>
      <c r="AM1416" s="4">
        <v>1</v>
      </c>
      <c r="AN1416" s="4">
        <v>0</v>
      </c>
      <c r="AO1416" s="4">
        <v>0</v>
      </c>
      <c r="AP1416" s="3" t="s">
        <v>58</v>
      </c>
      <c r="AQ1416" s="3" t="s">
        <v>87</v>
      </c>
      <c r="AR1416" s="6" t="str">
        <f>HYPERLINK("http://catalog.hathitrust.org/Record/009808013","HathiTrust Record")</f>
        <v>HathiTrust Record</v>
      </c>
      <c r="AS1416" s="6" t="str">
        <f>HYPERLINK("https://creighton-primo.hosted.exlibrisgroup.com/primo-explore/search?tab=default_tab&amp;search_scope=EVERYTHING&amp;vid=01CRU&amp;lang=en_US&amp;offset=0&amp;query=any,contains,991002110439702656","Catalog Record")</f>
        <v>Catalog Record</v>
      </c>
      <c r="AT1416" s="6" t="str">
        <f>HYPERLINK("http://www.worldcat.org/oclc/27041396","WorldCat Record")</f>
        <v>WorldCat Record</v>
      </c>
      <c r="AU1416" s="3" t="s">
        <v>18307</v>
      </c>
      <c r="AV1416" s="3" t="s">
        <v>18308</v>
      </c>
      <c r="AW1416" s="3" t="s">
        <v>18309</v>
      </c>
      <c r="AX1416" s="3" t="s">
        <v>18309</v>
      </c>
      <c r="AY1416" s="3" t="s">
        <v>18310</v>
      </c>
      <c r="AZ1416" s="3" t="s">
        <v>74</v>
      </c>
      <c r="BB1416" s="3" t="s">
        <v>18311</v>
      </c>
      <c r="BC1416" s="3" t="s">
        <v>18312</v>
      </c>
      <c r="BD1416" s="3" t="s">
        <v>18313</v>
      </c>
    </row>
    <row r="1417" spans="1:56" ht="45.75" customHeight="1" x14ac:dyDescent="0.25">
      <c r="A1417" s="7" t="s">
        <v>58</v>
      </c>
      <c r="B1417" s="2" t="s">
        <v>18314</v>
      </c>
      <c r="C1417" s="2" t="s">
        <v>18315</v>
      </c>
      <c r="D1417" s="2" t="s">
        <v>18316</v>
      </c>
      <c r="F1417" s="3" t="s">
        <v>58</v>
      </c>
      <c r="G1417" s="3" t="s">
        <v>59</v>
      </c>
      <c r="H1417" s="3" t="s">
        <v>58</v>
      </c>
      <c r="I1417" s="3" t="s">
        <v>58</v>
      </c>
      <c r="J1417" s="3" t="s">
        <v>60</v>
      </c>
      <c r="K1417" s="2" t="s">
        <v>18317</v>
      </c>
      <c r="L1417" s="2" t="s">
        <v>18318</v>
      </c>
      <c r="M1417" s="3" t="s">
        <v>116</v>
      </c>
      <c r="N1417" s="2" t="s">
        <v>543</v>
      </c>
      <c r="O1417" s="3" t="s">
        <v>65</v>
      </c>
      <c r="P1417" s="3" t="s">
        <v>84</v>
      </c>
      <c r="R1417" s="3" t="s">
        <v>67</v>
      </c>
      <c r="S1417" s="4">
        <v>6</v>
      </c>
      <c r="T1417" s="4">
        <v>6</v>
      </c>
      <c r="U1417" s="5" t="s">
        <v>18233</v>
      </c>
      <c r="V1417" s="5" t="s">
        <v>18233</v>
      </c>
      <c r="W1417" s="5" t="s">
        <v>18319</v>
      </c>
      <c r="X1417" s="5" t="s">
        <v>18319</v>
      </c>
      <c r="Y1417" s="4">
        <v>1180</v>
      </c>
      <c r="Z1417" s="4">
        <v>1127</v>
      </c>
      <c r="AA1417" s="4">
        <v>1369</v>
      </c>
      <c r="AB1417" s="4">
        <v>6</v>
      </c>
      <c r="AC1417" s="4">
        <v>8</v>
      </c>
      <c r="AD1417" s="4">
        <v>35</v>
      </c>
      <c r="AE1417" s="4">
        <v>48</v>
      </c>
      <c r="AF1417" s="4">
        <v>10</v>
      </c>
      <c r="AG1417" s="4">
        <v>14</v>
      </c>
      <c r="AH1417" s="4">
        <v>8</v>
      </c>
      <c r="AI1417" s="4">
        <v>8</v>
      </c>
      <c r="AJ1417" s="4">
        <v>11</v>
      </c>
      <c r="AK1417" s="4">
        <v>16</v>
      </c>
      <c r="AL1417" s="4">
        <v>5</v>
      </c>
      <c r="AM1417" s="4">
        <v>7</v>
      </c>
      <c r="AN1417" s="4">
        <v>8</v>
      </c>
      <c r="AO1417" s="4">
        <v>11</v>
      </c>
      <c r="AP1417" s="3" t="s">
        <v>58</v>
      </c>
      <c r="AQ1417" s="3" t="s">
        <v>58</v>
      </c>
      <c r="AS1417" s="6" t="str">
        <f>HYPERLINK("https://creighton-primo.hosted.exlibrisgroup.com/primo-explore/search?tab=default_tab&amp;search_scope=EVERYTHING&amp;vid=01CRU&amp;lang=en_US&amp;offset=0&amp;query=any,contains,991002836679702656","Catalog Record")</f>
        <v>Catalog Record</v>
      </c>
      <c r="AT1417" s="6" t="str">
        <f>HYPERLINK("http://www.worldcat.org/oclc/37361750","WorldCat Record")</f>
        <v>WorldCat Record</v>
      </c>
      <c r="AU1417" s="3" t="s">
        <v>18320</v>
      </c>
      <c r="AV1417" s="3" t="s">
        <v>18321</v>
      </c>
      <c r="AW1417" s="3" t="s">
        <v>18322</v>
      </c>
      <c r="AX1417" s="3" t="s">
        <v>18322</v>
      </c>
      <c r="AY1417" s="3" t="s">
        <v>18323</v>
      </c>
      <c r="AZ1417" s="3" t="s">
        <v>74</v>
      </c>
      <c r="BB1417" s="3" t="s">
        <v>18324</v>
      </c>
      <c r="BC1417" s="3" t="s">
        <v>18325</v>
      </c>
      <c r="BD1417" s="3" t="s">
        <v>18326</v>
      </c>
    </row>
    <row r="1418" spans="1:56" ht="45.75" customHeight="1" x14ac:dyDescent="0.25">
      <c r="A1418" s="7" t="s">
        <v>58</v>
      </c>
      <c r="B1418" s="2" t="s">
        <v>18327</v>
      </c>
      <c r="C1418" s="2" t="s">
        <v>18328</v>
      </c>
      <c r="D1418" s="2" t="s">
        <v>18329</v>
      </c>
      <c r="F1418" s="3" t="s">
        <v>58</v>
      </c>
      <c r="G1418" s="3" t="s">
        <v>59</v>
      </c>
      <c r="H1418" s="3" t="s">
        <v>58</v>
      </c>
      <c r="I1418" s="3" t="s">
        <v>58</v>
      </c>
      <c r="J1418" s="3" t="s">
        <v>60</v>
      </c>
      <c r="K1418" s="2" t="s">
        <v>18330</v>
      </c>
      <c r="L1418" s="2" t="s">
        <v>18331</v>
      </c>
      <c r="M1418" s="3" t="s">
        <v>1623</v>
      </c>
      <c r="O1418" s="3" t="s">
        <v>65</v>
      </c>
      <c r="P1418" s="3" t="s">
        <v>529</v>
      </c>
      <c r="R1418" s="3" t="s">
        <v>67</v>
      </c>
      <c r="S1418" s="4">
        <v>10</v>
      </c>
      <c r="T1418" s="4">
        <v>10</v>
      </c>
      <c r="U1418" s="5" t="s">
        <v>16584</v>
      </c>
      <c r="V1418" s="5" t="s">
        <v>16584</v>
      </c>
      <c r="W1418" s="5" t="s">
        <v>17972</v>
      </c>
      <c r="X1418" s="5" t="s">
        <v>17972</v>
      </c>
      <c r="Y1418" s="4">
        <v>722</v>
      </c>
      <c r="Z1418" s="4">
        <v>628</v>
      </c>
      <c r="AA1418" s="4">
        <v>862</v>
      </c>
      <c r="AB1418" s="4">
        <v>8</v>
      </c>
      <c r="AC1418" s="4">
        <v>10</v>
      </c>
      <c r="AD1418" s="4">
        <v>35</v>
      </c>
      <c r="AE1418" s="4">
        <v>39</v>
      </c>
      <c r="AF1418" s="4">
        <v>11</v>
      </c>
      <c r="AG1418" s="4">
        <v>11</v>
      </c>
      <c r="AH1418" s="4">
        <v>4</v>
      </c>
      <c r="AI1418" s="4">
        <v>5</v>
      </c>
      <c r="AJ1418" s="4">
        <v>12</v>
      </c>
      <c r="AK1418" s="4">
        <v>14</v>
      </c>
      <c r="AL1418" s="4">
        <v>6</v>
      </c>
      <c r="AM1418" s="4">
        <v>8</v>
      </c>
      <c r="AN1418" s="4">
        <v>9</v>
      </c>
      <c r="AO1418" s="4">
        <v>9</v>
      </c>
      <c r="AP1418" s="3" t="s">
        <v>58</v>
      </c>
      <c r="AQ1418" s="3" t="s">
        <v>87</v>
      </c>
      <c r="AR1418" s="6" t="str">
        <f>HYPERLINK("http://catalog.hathitrust.org/Record/001136065","HathiTrust Record")</f>
        <v>HathiTrust Record</v>
      </c>
      <c r="AS1418" s="6" t="str">
        <f>HYPERLINK("https://creighton-primo.hosted.exlibrisgroup.com/primo-explore/search?tab=default_tab&amp;search_scope=EVERYTHING&amp;vid=01CRU&amp;lang=en_US&amp;offset=0&amp;query=any,contains,991002088519702656","Catalog Record")</f>
        <v>Catalog Record</v>
      </c>
      <c r="AT1418" s="6" t="str">
        <f>HYPERLINK("http://www.worldcat.org/oclc/265305","WorldCat Record")</f>
        <v>WorldCat Record</v>
      </c>
      <c r="AU1418" s="3" t="s">
        <v>18332</v>
      </c>
      <c r="AV1418" s="3" t="s">
        <v>18333</v>
      </c>
      <c r="AW1418" s="3" t="s">
        <v>18334</v>
      </c>
      <c r="AX1418" s="3" t="s">
        <v>18334</v>
      </c>
      <c r="AY1418" s="3" t="s">
        <v>18335</v>
      </c>
      <c r="AZ1418" s="3" t="s">
        <v>74</v>
      </c>
      <c r="BC1418" s="3" t="s">
        <v>18336</v>
      </c>
      <c r="BD1418" s="3" t="s">
        <v>18337</v>
      </c>
    </row>
    <row r="1419" spans="1:56" ht="45.75" customHeight="1" x14ac:dyDescent="0.25">
      <c r="A1419" s="7" t="s">
        <v>58</v>
      </c>
      <c r="B1419" s="2" t="s">
        <v>18338</v>
      </c>
      <c r="C1419" s="2" t="s">
        <v>18339</v>
      </c>
      <c r="D1419" s="2" t="s">
        <v>18340</v>
      </c>
      <c r="F1419" s="3" t="s">
        <v>58</v>
      </c>
      <c r="G1419" s="3" t="s">
        <v>59</v>
      </c>
      <c r="H1419" s="3" t="s">
        <v>58</v>
      </c>
      <c r="I1419" s="3" t="s">
        <v>58</v>
      </c>
      <c r="J1419" s="3" t="s">
        <v>60</v>
      </c>
      <c r="K1419" s="2" t="s">
        <v>18341</v>
      </c>
      <c r="L1419" s="2" t="s">
        <v>1045</v>
      </c>
      <c r="M1419" s="3" t="s">
        <v>713</v>
      </c>
      <c r="O1419" s="3" t="s">
        <v>65</v>
      </c>
      <c r="P1419" s="3" t="s">
        <v>148</v>
      </c>
      <c r="R1419" s="3" t="s">
        <v>67</v>
      </c>
      <c r="S1419" s="4">
        <v>1</v>
      </c>
      <c r="T1419" s="4">
        <v>1</v>
      </c>
      <c r="U1419" s="5" t="s">
        <v>18342</v>
      </c>
      <c r="V1419" s="5" t="s">
        <v>18342</v>
      </c>
      <c r="W1419" s="5" t="s">
        <v>17695</v>
      </c>
      <c r="X1419" s="5" t="s">
        <v>17695</v>
      </c>
      <c r="Y1419" s="4">
        <v>380</v>
      </c>
      <c r="Z1419" s="4">
        <v>319</v>
      </c>
      <c r="AA1419" s="4">
        <v>326</v>
      </c>
      <c r="AB1419" s="4">
        <v>3</v>
      </c>
      <c r="AC1419" s="4">
        <v>3</v>
      </c>
      <c r="AD1419" s="4">
        <v>14</v>
      </c>
      <c r="AE1419" s="4">
        <v>14</v>
      </c>
      <c r="AF1419" s="4">
        <v>2</v>
      </c>
      <c r="AG1419" s="4">
        <v>2</v>
      </c>
      <c r="AH1419" s="4">
        <v>3</v>
      </c>
      <c r="AI1419" s="4">
        <v>3</v>
      </c>
      <c r="AJ1419" s="4">
        <v>6</v>
      </c>
      <c r="AK1419" s="4">
        <v>6</v>
      </c>
      <c r="AL1419" s="4">
        <v>2</v>
      </c>
      <c r="AM1419" s="4">
        <v>2</v>
      </c>
      <c r="AN1419" s="4">
        <v>3</v>
      </c>
      <c r="AO1419" s="4">
        <v>3</v>
      </c>
      <c r="AP1419" s="3" t="s">
        <v>58</v>
      </c>
      <c r="AQ1419" s="3" t="s">
        <v>87</v>
      </c>
      <c r="AR1419" s="6" t="str">
        <f>HYPERLINK("http://catalog.hathitrust.org/Record/000139104","HathiTrust Record")</f>
        <v>HathiTrust Record</v>
      </c>
      <c r="AS1419" s="6" t="str">
        <f>HYPERLINK("https://creighton-primo.hosted.exlibrisgroup.com/primo-explore/search?tab=default_tab&amp;search_scope=EVERYTHING&amp;vid=01CRU&amp;lang=en_US&amp;offset=0&amp;query=any,contains,991005105819702656","Catalog Record")</f>
        <v>Catalog Record</v>
      </c>
      <c r="AT1419" s="6" t="str">
        <f>HYPERLINK("http://www.worldcat.org/oclc/7329524","WorldCat Record")</f>
        <v>WorldCat Record</v>
      </c>
      <c r="AU1419" s="3" t="s">
        <v>18343</v>
      </c>
      <c r="AV1419" s="3" t="s">
        <v>18344</v>
      </c>
      <c r="AW1419" s="3" t="s">
        <v>18345</v>
      </c>
      <c r="AX1419" s="3" t="s">
        <v>18345</v>
      </c>
      <c r="AY1419" s="3" t="s">
        <v>18346</v>
      </c>
      <c r="AZ1419" s="3" t="s">
        <v>74</v>
      </c>
      <c r="BB1419" s="3" t="s">
        <v>18347</v>
      </c>
      <c r="BC1419" s="3" t="s">
        <v>18348</v>
      </c>
      <c r="BD1419" s="3" t="s">
        <v>18349</v>
      </c>
    </row>
    <row r="1420" spans="1:56" ht="45.75" customHeight="1" x14ac:dyDescent="0.25">
      <c r="A1420" s="7" t="s">
        <v>58</v>
      </c>
      <c r="B1420" s="2" t="s">
        <v>18350</v>
      </c>
      <c r="C1420" s="2" t="s">
        <v>18351</v>
      </c>
      <c r="D1420" s="2" t="s">
        <v>18352</v>
      </c>
      <c r="F1420" s="3" t="s">
        <v>58</v>
      </c>
      <c r="G1420" s="3" t="s">
        <v>59</v>
      </c>
      <c r="H1420" s="3" t="s">
        <v>87</v>
      </c>
      <c r="I1420" s="3" t="s">
        <v>58</v>
      </c>
      <c r="J1420" s="3" t="s">
        <v>60</v>
      </c>
      <c r="K1420" s="2" t="s">
        <v>18353</v>
      </c>
      <c r="L1420" s="2" t="s">
        <v>18354</v>
      </c>
      <c r="M1420" s="3" t="s">
        <v>18355</v>
      </c>
      <c r="O1420" s="3" t="s">
        <v>65</v>
      </c>
      <c r="P1420" s="3" t="s">
        <v>587</v>
      </c>
      <c r="Q1420" s="2" t="s">
        <v>18356</v>
      </c>
      <c r="R1420" s="3" t="s">
        <v>67</v>
      </c>
      <c r="S1420" s="4">
        <v>4</v>
      </c>
      <c r="T1420" s="4">
        <v>4</v>
      </c>
      <c r="U1420" s="5" t="s">
        <v>18357</v>
      </c>
      <c r="V1420" s="5" t="s">
        <v>18357</v>
      </c>
      <c r="W1420" s="5" t="s">
        <v>6848</v>
      </c>
      <c r="X1420" s="5" t="s">
        <v>15622</v>
      </c>
      <c r="Y1420" s="4">
        <v>312</v>
      </c>
      <c r="Z1420" s="4">
        <v>280</v>
      </c>
      <c r="AA1420" s="4">
        <v>611</v>
      </c>
      <c r="AB1420" s="4">
        <v>5</v>
      </c>
      <c r="AC1420" s="4">
        <v>8</v>
      </c>
      <c r="AD1420" s="4">
        <v>12</v>
      </c>
      <c r="AE1420" s="4">
        <v>39</v>
      </c>
      <c r="AF1420" s="4">
        <v>4</v>
      </c>
      <c r="AG1420" s="4">
        <v>8</v>
      </c>
      <c r="AH1420" s="4">
        <v>0</v>
      </c>
      <c r="AI1420" s="4">
        <v>3</v>
      </c>
      <c r="AJ1420" s="4">
        <v>6</v>
      </c>
      <c r="AK1420" s="4">
        <v>10</v>
      </c>
      <c r="AL1420" s="4">
        <v>3</v>
      </c>
      <c r="AM1420" s="4">
        <v>5</v>
      </c>
      <c r="AN1420" s="4">
        <v>2</v>
      </c>
      <c r="AO1420" s="4">
        <v>18</v>
      </c>
      <c r="AP1420" s="3" t="s">
        <v>87</v>
      </c>
      <c r="AQ1420" s="3" t="s">
        <v>58</v>
      </c>
      <c r="AR1420" s="6" t="str">
        <f>HYPERLINK("http://catalog.hathitrust.org/Record/001136082","HathiTrust Record")</f>
        <v>HathiTrust Record</v>
      </c>
      <c r="AS1420" s="6" t="str">
        <f>HYPERLINK("https://creighton-primo.hosted.exlibrisgroup.com/primo-explore/search?tab=default_tab&amp;search_scope=EVERYTHING&amp;vid=01CRU&amp;lang=en_US&amp;offset=0&amp;query=any,contains,991001690779702656","Catalog Record")</f>
        <v>Catalog Record</v>
      </c>
      <c r="AT1420" s="6" t="str">
        <f>HYPERLINK("http://www.worldcat.org/oclc/1041492","WorldCat Record")</f>
        <v>WorldCat Record</v>
      </c>
      <c r="AU1420" s="3" t="s">
        <v>18358</v>
      </c>
      <c r="AV1420" s="3" t="s">
        <v>18359</v>
      </c>
      <c r="AW1420" s="3" t="s">
        <v>18360</v>
      </c>
      <c r="AX1420" s="3" t="s">
        <v>18360</v>
      </c>
      <c r="AY1420" s="3" t="s">
        <v>18361</v>
      </c>
      <c r="AZ1420" s="3" t="s">
        <v>74</v>
      </c>
      <c r="BC1420" s="3" t="s">
        <v>18362</v>
      </c>
      <c r="BD1420" s="3" t="s">
        <v>18363</v>
      </c>
    </row>
    <row r="1421" spans="1:56" ht="45.75" customHeight="1" x14ac:dyDescent="0.25">
      <c r="A1421" s="7" t="s">
        <v>58</v>
      </c>
      <c r="B1421" s="2" t="s">
        <v>18364</v>
      </c>
      <c r="C1421" s="2" t="s">
        <v>18365</v>
      </c>
      <c r="D1421" s="2" t="s">
        <v>18366</v>
      </c>
      <c r="F1421" s="3" t="s">
        <v>58</v>
      </c>
      <c r="G1421" s="3" t="s">
        <v>59</v>
      </c>
      <c r="H1421" s="3" t="s">
        <v>87</v>
      </c>
      <c r="I1421" s="3" t="s">
        <v>58</v>
      </c>
      <c r="J1421" s="3" t="s">
        <v>60</v>
      </c>
      <c r="L1421" s="2" t="s">
        <v>18367</v>
      </c>
      <c r="M1421" s="3" t="s">
        <v>3601</v>
      </c>
      <c r="O1421" s="3" t="s">
        <v>65</v>
      </c>
      <c r="P1421" s="3" t="s">
        <v>336</v>
      </c>
      <c r="Q1421" s="2" t="s">
        <v>2258</v>
      </c>
      <c r="R1421" s="3" t="s">
        <v>67</v>
      </c>
      <c r="S1421" s="4">
        <v>7</v>
      </c>
      <c r="T1421" s="4">
        <v>7</v>
      </c>
      <c r="U1421" s="5" t="s">
        <v>18357</v>
      </c>
      <c r="V1421" s="5" t="s">
        <v>18357</v>
      </c>
      <c r="W1421" s="5" t="s">
        <v>16585</v>
      </c>
      <c r="X1421" s="5" t="s">
        <v>18368</v>
      </c>
      <c r="Y1421" s="4">
        <v>965</v>
      </c>
      <c r="Z1421" s="4">
        <v>878</v>
      </c>
      <c r="AA1421" s="4">
        <v>899</v>
      </c>
      <c r="AB1421" s="4">
        <v>10</v>
      </c>
      <c r="AC1421" s="4">
        <v>10</v>
      </c>
      <c r="AD1421" s="4">
        <v>48</v>
      </c>
      <c r="AE1421" s="4">
        <v>49</v>
      </c>
      <c r="AF1421" s="4">
        <v>12</v>
      </c>
      <c r="AG1421" s="4">
        <v>13</v>
      </c>
      <c r="AH1421" s="4">
        <v>5</v>
      </c>
      <c r="AI1421" s="4">
        <v>5</v>
      </c>
      <c r="AJ1421" s="4">
        <v>18</v>
      </c>
      <c r="AK1421" s="4">
        <v>18</v>
      </c>
      <c r="AL1421" s="4">
        <v>6</v>
      </c>
      <c r="AM1421" s="4">
        <v>6</v>
      </c>
      <c r="AN1421" s="4">
        <v>15</v>
      </c>
      <c r="AO1421" s="4">
        <v>15</v>
      </c>
      <c r="AP1421" s="3" t="s">
        <v>58</v>
      </c>
      <c r="AQ1421" s="3" t="s">
        <v>87</v>
      </c>
      <c r="AR1421" s="6" t="str">
        <f>HYPERLINK("http://catalog.hathitrust.org/Record/001136085","HathiTrust Record")</f>
        <v>HathiTrust Record</v>
      </c>
      <c r="AS1421" s="6" t="str">
        <f>HYPERLINK("https://creighton-primo.hosted.exlibrisgroup.com/primo-explore/search?tab=default_tab&amp;search_scope=EVERYTHING&amp;vid=01CRU&amp;lang=en_US&amp;offset=0&amp;query=any,contains,991001657089702656","Catalog Record")</f>
        <v>Catalog Record</v>
      </c>
      <c r="AT1421" s="6" t="str">
        <f>HYPERLINK("http://www.worldcat.org/oclc/578774","WorldCat Record")</f>
        <v>WorldCat Record</v>
      </c>
      <c r="AU1421" s="3" t="s">
        <v>18369</v>
      </c>
      <c r="AV1421" s="3" t="s">
        <v>18370</v>
      </c>
      <c r="AW1421" s="3" t="s">
        <v>18371</v>
      </c>
      <c r="AX1421" s="3" t="s">
        <v>18371</v>
      </c>
      <c r="AY1421" s="3" t="s">
        <v>18372</v>
      </c>
      <c r="AZ1421" s="3" t="s">
        <v>74</v>
      </c>
      <c r="BB1421" s="3" t="s">
        <v>18373</v>
      </c>
      <c r="BC1421" s="3" t="s">
        <v>18374</v>
      </c>
      <c r="BD1421" s="3" t="s">
        <v>18375</v>
      </c>
    </row>
    <row r="1422" spans="1:56" ht="45.75" customHeight="1" x14ac:dyDescent="0.25">
      <c r="A1422" s="7" t="s">
        <v>58</v>
      </c>
      <c r="B1422" s="2" t="s">
        <v>18376</v>
      </c>
      <c r="C1422" s="2" t="s">
        <v>18377</v>
      </c>
      <c r="D1422" s="2" t="s">
        <v>18378</v>
      </c>
      <c r="F1422" s="3" t="s">
        <v>58</v>
      </c>
      <c r="G1422" s="3" t="s">
        <v>59</v>
      </c>
      <c r="H1422" s="3" t="s">
        <v>58</v>
      </c>
      <c r="I1422" s="3" t="s">
        <v>58</v>
      </c>
      <c r="J1422" s="3" t="s">
        <v>60</v>
      </c>
      <c r="K1422" s="2" t="s">
        <v>18092</v>
      </c>
      <c r="L1422" s="2" t="s">
        <v>18379</v>
      </c>
      <c r="M1422" s="3" t="s">
        <v>220</v>
      </c>
      <c r="O1422" s="3" t="s">
        <v>65</v>
      </c>
      <c r="P1422" s="3" t="s">
        <v>132</v>
      </c>
      <c r="Q1422" s="2" t="s">
        <v>4829</v>
      </c>
      <c r="R1422" s="3" t="s">
        <v>67</v>
      </c>
      <c r="S1422" s="4">
        <v>2</v>
      </c>
      <c r="T1422" s="4">
        <v>2</v>
      </c>
      <c r="U1422" s="5" t="s">
        <v>18380</v>
      </c>
      <c r="V1422" s="5" t="s">
        <v>18380</v>
      </c>
      <c r="W1422" s="5" t="s">
        <v>18381</v>
      </c>
      <c r="X1422" s="5" t="s">
        <v>18381</v>
      </c>
      <c r="Y1422" s="4">
        <v>843</v>
      </c>
      <c r="Z1422" s="4">
        <v>816</v>
      </c>
      <c r="AA1422" s="4">
        <v>1524</v>
      </c>
      <c r="AB1422" s="4">
        <v>6</v>
      </c>
      <c r="AC1422" s="4">
        <v>10</v>
      </c>
      <c r="AD1422" s="4">
        <v>22</v>
      </c>
      <c r="AE1422" s="4">
        <v>35</v>
      </c>
      <c r="AF1422" s="4">
        <v>8</v>
      </c>
      <c r="AG1422" s="4">
        <v>14</v>
      </c>
      <c r="AH1422" s="4">
        <v>3</v>
      </c>
      <c r="AI1422" s="4">
        <v>5</v>
      </c>
      <c r="AJ1422" s="4">
        <v>12</v>
      </c>
      <c r="AK1422" s="4">
        <v>17</v>
      </c>
      <c r="AL1422" s="4">
        <v>3</v>
      </c>
      <c r="AM1422" s="4">
        <v>6</v>
      </c>
      <c r="AN1422" s="4">
        <v>0</v>
      </c>
      <c r="AO1422" s="4">
        <v>0</v>
      </c>
      <c r="AP1422" s="3" t="s">
        <v>58</v>
      </c>
      <c r="AQ1422" s="3" t="s">
        <v>58</v>
      </c>
      <c r="AS1422" s="6" t="str">
        <f>HYPERLINK("https://creighton-primo.hosted.exlibrisgroup.com/primo-explore/search?tab=default_tab&amp;search_scope=EVERYTHING&amp;vid=01CRU&amp;lang=en_US&amp;offset=0&amp;query=any,contains,991003022179702656","Catalog Record")</f>
        <v>Catalog Record</v>
      </c>
      <c r="AT1422" s="6" t="str">
        <f>HYPERLINK("http://www.worldcat.org/oclc/41528182","WorldCat Record")</f>
        <v>WorldCat Record</v>
      </c>
      <c r="AU1422" s="3" t="s">
        <v>18382</v>
      </c>
      <c r="AV1422" s="3" t="s">
        <v>18383</v>
      </c>
      <c r="AW1422" s="3" t="s">
        <v>18384</v>
      </c>
      <c r="AX1422" s="3" t="s">
        <v>18384</v>
      </c>
      <c r="AY1422" s="3" t="s">
        <v>18385</v>
      </c>
      <c r="AZ1422" s="3" t="s">
        <v>74</v>
      </c>
      <c r="BB1422" s="3" t="s">
        <v>18386</v>
      </c>
      <c r="BC1422" s="3" t="s">
        <v>18387</v>
      </c>
      <c r="BD1422" s="3" t="s">
        <v>18388</v>
      </c>
    </row>
    <row r="1423" spans="1:56" ht="45.75" customHeight="1" x14ac:dyDescent="0.25">
      <c r="A1423" s="7" t="s">
        <v>58</v>
      </c>
      <c r="B1423" s="2" t="s">
        <v>18389</v>
      </c>
      <c r="C1423" s="2" t="s">
        <v>18390</v>
      </c>
      <c r="D1423" s="2" t="s">
        <v>18391</v>
      </c>
      <c r="F1423" s="3" t="s">
        <v>58</v>
      </c>
      <c r="G1423" s="3" t="s">
        <v>59</v>
      </c>
      <c r="H1423" s="3" t="s">
        <v>58</v>
      </c>
      <c r="I1423" s="3" t="s">
        <v>58</v>
      </c>
      <c r="J1423" s="3" t="s">
        <v>60</v>
      </c>
      <c r="K1423" s="2" t="s">
        <v>18392</v>
      </c>
      <c r="L1423" s="2" t="s">
        <v>3679</v>
      </c>
      <c r="M1423" s="3" t="s">
        <v>1209</v>
      </c>
      <c r="O1423" s="3" t="s">
        <v>65</v>
      </c>
      <c r="P1423" s="3" t="s">
        <v>132</v>
      </c>
      <c r="Q1423" s="2" t="s">
        <v>18393</v>
      </c>
      <c r="R1423" s="3" t="s">
        <v>67</v>
      </c>
      <c r="S1423" s="4">
        <v>18</v>
      </c>
      <c r="T1423" s="4">
        <v>18</v>
      </c>
      <c r="U1423" s="5" t="s">
        <v>18380</v>
      </c>
      <c r="V1423" s="5" t="s">
        <v>18380</v>
      </c>
      <c r="W1423" s="5" t="s">
        <v>4070</v>
      </c>
      <c r="X1423" s="5" t="s">
        <v>4070</v>
      </c>
      <c r="Y1423" s="4">
        <v>312</v>
      </c>
      <c r="Z1423" s="4">
        <v>264</v>
      </c>
      <c r="AA1423" s="4">
        <v>264</v>
      </c>
      <c r="AB1423" s="4">
        <v>4</v>
      </c>
      <c r="AC1423" s="4">
        <v>4</v>
      </c>
      <c r="AD1423" s="4">
        <v>19</v>
      </c>
      <c r="AE1423" s="4">
        <v>19</v>
      </c>
      <c r="AF1423" s="4">
        <v>6</v>
      </c>
      <c r="AG1423" s="4">
        <v>6</v>
      </c>
      <c r="AH1423" s="4">
        <v>4</v>
      </c>
      <c r="AI1423" s="4">
        <v>4</v>
      </c>
      <c r="AJ1423" s="4">
        <v>8</v>
      </c>
      <c r="AK1423" s="4">
        <v>8</v>
      </c>
      <c r="AL1423" s="4">
        <v>3</v>
      </c>
      <c r="AM1423" s="4">
        <v>3</v>
      </c>
      <c r="AN1423" s="4">
        <v>3</v>
      </c>
      <c r="AO1423" s="4">
        <v>3</v>
      </c>
      <c r="AP1423" s="3" t="s">
        <v>58</v>
      </c>
      <c r="AQ1423" s="3" t="s">
        <v>58</v>
      </c>
      <c r="AS1423" s="6" t="str">
        <f>HYPERLINK("https://creighton-primo.hosted.exlibrisgroup.com/primo-explore/search?tab=default_tab&amp;search_scope=EVERYTHING&amp;vid=01CRU&amp;lang=en_US&amp;offset=0&amp;query=any,contains,991000989289702656","Catalog Record")</f>
        <v>Catalog Record</v>
      </c>
      <c r="AT1423" s="6" t="str">
        <f>HYPERLINK("http://www.worldcat.org/oclc/15090748","WorldCat Record")</f>
        <v>WorldCat Record</v>
      </c>
      <c r="AU1423" s="3" t="s">
        <v>18394</v>
      </c>
      <c r="AV1423" s="3" t="s">
        <v>18395</v>
      </c>
      <c r="AW1423" s="3" t="s">
        <v>18396</v>
      </c>
      <c r="AX1423" s="3" t="s">
        <v>18396</v>
      </c>
      <c r="AY1423" s="3" t="s">
        <v>18397</v>
      </c>
      <c r="AZ1423" s="3" t="s">
        <v>74</v>
      </c>
      <c r="BB1423" s="3" t="s">
        <v>18398</v>
      </c>
      <c r="BC1423" s="3" t="s">
        <v>18399</v>
      </c>
      <c r="BD1423" s="3" t="s">
        <v>18400</v>
      </c>
    </row>
    <row r="1424" spans="1:56" ht="45.75" customHeight="1" x14ac:dyDescent="0.25">
      <c r="A1424" s="7" t="s">
        <v>58</v>
      </c>
      <c r="B1424" s="2" t="s">
        <v>18401</v>
      </c>
      <c r="C1424" s="2" t="s">
        <v>18402</v>
      </c>
      <c r="D1424" s="2" t="s">
        <v>18403</v>
      </c>
      <c r="F1424" s="3" t="s">
        <v>58</v>
      </c>
      <c r="G1424" s="3" t="s">
        <v>59</v>
      </c>
      <c r="H1424" s="3" t="s">
        <v>58</v>
      </c>
      <c r="I1424" s="3" t="s">
        <v>58</v>
      </c>
      <c r="J1424" s="3" t="s">
        <v>60</v>
      </c>
      <c r="K1424" s="2" t="s">
        <v>18404</v>
      </c>
      <c r="L1424" s="2" t="s">
        <v>18405</v>
      </c>
      <c r="M1424" s="3" t="s">
        <v>63</v>
      </c>
      <c r="O1424" s="3" t="s">
        <v>65</v>
      </c>
      <c r="P1424" s="3" t="s">
        <v>1224</v>
      </c>
      <c r="Q1424" s="2" t="s">
        <v>18406</v>
      </c>
      <c r="R1424" s="3" t="s">
        <v>67</v>
      </c>
      <c r="S1424" s="4">
        <v>2</v>
      </c>
      <c r="T1424" s="4">
        <v>2</v>
      </c>
      <c r="U1424" s="5" t="s">
        <v>10193</v>
      </c>
      <c r="V1424" s="5" t="s">
        <v>10193</v>
      </c>
      <c r="W1424" s="5" t="s">
        <v>18407</v>
      </c>
      <c r="X1424" s="5" t="s">
        <v>18407</v>
      </c>
      <c r="Y1424" s="4">
        <v>205</v>
      </c>
      <c r="Z1424" s="4">
        <v>192</v>
      </c>
      <c r="AA1424" s="4">
        <v>215</v>
      </c>
      <c r="AB1424" s="4">
        <v>2</v>
      </c>
      <c r="AC1424" s="4">
        <v>2</v>
      </c>
      <c r="AD1424" s="4">
        <v>13</v>
      </c>
      <c r="AE1424" s="4">
        <v>13</v>
      </c>
      <c r="AF1424" s="4">
        <v>5</v>
      </c>
      <c r="AG1424" s="4">
        <v>5</v>
      </c>
      <c r="AH1424" s="4">
        <v>3</v>
      </c>
      <c r="AI1424" s="4">
        <v>3</v>
      </c>
      <c r="AJ1424" s="4">
        <v>8</v>
      </c>
      <c r="AK1424" s="4">
        <v>8</v>
      </c>
      <c r="AL1424" s="4">
        <v>1</v>
      </c>
      <c r="AM1424" s="4">
        <v>1</v>
      </c>
      <c r="AN1424" s="4">
        <v>1</v>
      </c>
      <c r="AO1424" s="4">
        <v>1</v>
      </c>
      <c r="AP1424" s="3" t="s">
        <v>58</v>
      </c>
      <c r="AQ1424" s="3" t="s">
        <v>58</v>
      </c>
      <c r="AS1424" s="6" t="str">
        <f>HYPERLINK("https://creighton-primo.hosted.exlibrisgroup.com/primo-explore/search?tab=default_tab&amp;search_scope=EVERYTHING&amp;vid=01CRU&amp;lang=en_US&amp;offset=0&amp;query=any,contains,991004991719702656","Catalog Record")</f>
        <v>Catalog Record</v>
      </c>
      <c r="AT1424" s="6" t="str">
        <f>HYPERLINK("http://www.worldcat.org/oclc/58546400","WorldCat Record")</f>
        <v>WorldCat Record</v>
      </c>
      <c r="AU1424" s="3" t="s">
        <v>18408</v>
      </c>
      <c r="AV1424" s="3" t="s">
        <v>18409</v>
      </c>
      <c r="AW1424" s="3" t="s">
        <v>18410</v>
      </c>
      <c r="AX1424" s="3" t="s">
        <v>18410</v>
      </c>
      <c r="AY1424" s="3" t="s">
        <v>18411</v>
      </c>
      <c r="AZ1424" s="3" t="s">
        <v>74</v>
      </c>
      <c r="BB1424" s="3" t="s">
        <v>18412</v>
      </c>
      <c r="BC1424" s="3" t="s">
        <v>18413</v>
      </c>
      <c r="BD1424" s="3" t="s">
        <v>18414</v>
      </c>
    </row>
    <row r="1425" spans="1:56" ht="45.75" customHeight="1" x14ac:dyDescent="0.25">
      <c r="A1425" s="7" t="s">
        <v>58</v>
      </c>
      <c r="B1425" s="2" t="s">
        <v>18415</v>
      </c>
      <c r="C1425" s="2" t="s">
        <v>18416</v>
      </c>
      <c r="D1425" s="2" t="s">
        <v>18417</v>
      </c>
      <c r="F1425" s="3" t="s">
        <v>58</v>
      </c>
      <c r="G1425" s="3" t="s">
        <v>59</v>
      </c>
      <c r="H1425" s="3" t="s">
        <v>58</v>
      </c>
      <c r="I1425" s="3" t="s">
        <v>58</v>
      </c>
      <c r="J1425" s="3" t="s">
        <v>60</v>
      </c>
      <c r="K1425" s="2" t="s">
        <v>18418</v>
      </c>
      <c r="L1425" s="2" t="s">
        <v>18419</v>
      </c>
      <c r="M1425" s="3" t="s">
        <v>2146</v>
      </c>
      <c r="N1425" s="2" t="s">
        <v>4473</v>
      </c>
      <c r="O1425" s="3" t="s">
        <v>65</v>
      </c>
      <c r="P1425" s="3" t="s">
        <v>84</v>
      </c>
      <c r="R1425" s="3" t="s">
        <v>67</v>
      </c>
      <c r="S1425" s="4">
        <v>2</v>
      </c>
      <c r="T1425" s="4">
        <v>2</v>
      </c>
      <c r="U1425" s="5" t="s">
        <v>18357</v>
      </c>
      <c r="V1425" s="5" t="s">
        <v>18357</v>
      </c>
      <c r="W1425" s="5" t="s">
        <v>17101</v>
      </c>
      <c r="X1425" s="5" t="s">
        <v>17101</v>
      </c>
      <c r="Y1425" s="4">
        <v>226</v>
      </c>
      <c r="Z1425" s="4">
        <v>193</v>
      </c>
      <c r="AA1425" s="4">
        <v>491</v>
      </c>
      <c r="AB1425" s="4">
        <v>1</v>
      </c>
      <c r="AC1425" s="4">
        <v>4</v>
      </c>
      <c r="AD1425" s="4">
        <v>9</v>
      </c>
      <c r="AE1425" s="4">
        <v>24</v>
      </c>
      <c r="AF1425" s="4">
        <v>3</v>
      </c>
      <c r="AG1425" s="4">
        <v>6</v>
      </c>
      <c r="AH1425" s="4">
        <v>3</v>
      </c>
      <c r="AI1425" s="4">
        <v>7</v>
      </c>
      <c r="AJ1425" s="4">
        <v>4</v>
      </c>
      <c r="AK1425" s="4">
        <v>12</v>
      </c>
      <c r="AL1425" s="4">
        <v>0</v>
      </c>
      <c r="AM1425" s="4">
        <v>3</v>
      </c>
      <c r="AN1425" s="4">
        <v>2</v>
      </c>
      <c r="AO1425" s="4">
        <v>3</v>
      </c>
      <c r="AP1425" s="3" t="s">
        <v>58</v>
      </c>
      <c r="AQ1425" s="3" t="s">
        <v>87</v>
      </c>
      <c r="AR1425" s="6" t="str">
        <f>HYPERLINK("http://catalog.hathitrust.org/Record/008307759","HathiTrust Record")</f>
        <v>HathiTrust Record</v>
      </c>
      <c r="AS1425" s="6" t="str">
        <f>HYPERLINK("https://creighton-primo.hosted.exlibrisgroup.com/primo-explore/search?tab=default_tab&amp;search_scope=EVERYTHING&amp;vid=01CRU&amp;lang=en_US&amp;offset=0&amp;query=any,contains,991002237959702656","Catalog Record")</f>
        <v>Catalog Record</v>
      </c>
      <c r="AT1425" s="6" t="str">
        <f>HYPERLINK("http://www.worldcat.org/oclc/296401","WorldCat Record")</f>
        <v>WorldCat Record</v>
      </c>
      <c r="AU1425" s="3" t="s">
        <v>18420</v>
      </c>
      <c r="AV1425" s="3" t="s">
        <v>18421</v>
      </c>
      <c r="AW1425" s="3" t="s">
        <v>18422</v>
      </c>
      <c r="AX1425" s="3" t="s">
        <v>18422</v>
      </c>
      <c r="AY1425" s="3" t="s">
        <v>18423</v>
      </c>
      <c r="AZ1425" s="3" t="s">
        <v>74</v>
      </c>
      <c r="BC1425" s="3" t="s">
        <v>18424</v>
      </c>
      <c r="BD1425" s="3" t="s">
        <v>18425</v>
      </c>
    </row>
    <row r="1426" spans="1:56" ht="45.75" customHeight="1" x14ac:dyDescent="0.25">
      <c r="A1426" s="7" t="s">
        <v>58</v>
      </c>
      <c r="B1426" s="2" t="s">
        <v>18426</v>
      </c>
      <c r="C1426" s="2" t="s">
        <v>18427</v>
      </c>
      <c r="D1426" s="2" t="s">
        <v>18428</v>
      </c>
      <c r="F1426" s="3" t="s">
        <v>58</v>
      </c>
      <c r="G1426" s="3" t="s">
        <v>59</v>
      </c>
      <c r="H1426" s="3" t="s">
        <v>87</v>
      </c>
      <c r="I1426" s="3" t="s">
        <v>58</v>
      </c>
      <c r="J1426" s="3" t="s">
        <v>60</v>
      </c>
      <c r="K1426" s="2" t="s">
        <v>18429</v>
      </c>
      <c r="L1426" s="2" t="s">
        <v>18430</v>
      </c>
      <c r="M1426" s="3" t="s">
        <v>937</v>
      </c>
      <c r="O1426" s="3" t="s">
        <v>65</v>
      </c>
      <c r="P1426" s="3" t="s">
        <v>190</v>
      </c>
      <c r="Q1426" s="2" t="s">
        <v>15673</v>
      </c>
      <c r="R1426" s="3" t="s">
        <v>67</v>
      </c>
      <c r="S1426" s="4">
        <v>2</v>
      </c>
      <c r="T1426" s="4">
        <v>2</v>
      </c>
      <c r="U1426" s="5" t="s">
        <v>18431</v>
      </c>
      <c r="V1426" s="5" t="s">
        <v>18431</v>
      </c>
      <c r="W1426" s="5" t="s">
        <v>17101</v>
      </c>
      <c r="X1426" s="5" t="s">
        <v>17909</v>
      </c>
      <c r="Y1426" s="4">
        <v>793</v>
      </c>
      <c r="Z1426" s="4">
        <v>685</v>
      </c>
      <c r="AA1426" s="4">
        <v>704</v>
      </c>
      <c r="AB1426" s="4">
        <v>8</v>
      </c>
      <c r="AC1426" s="4">
        <v>8</v>
      </c>
      <c r="AD1426" s="4">
        <v>41</v>
      </c>
      <c r="AE1426" s="4">
        <v>41</v>
      </c>
      <c r="AF1426" s="4">
        <v>10</v>
      </c>
      <c r="AG1426" s="4">
        <v>10</v>
      </c>
      <c r="AH1426" s="4">
        <v>8</v>
      </c>
      <c r="AI1426" s="4">
        <v>8</v>
      </c>
      <c r="AJ1426" s="4">
        <v>14</v>
      </c>
      <c r="AK1426" s="4">
        <v>14</v>
      </c>
      <c r="AL1426" s="4">
        <v>6</v>
      </c>
      <c r="AM1426" s="4">
        <v>6</v>
      </c>
      <c r="AN1426" s="4">
        <v>12</v>
      </c>
      <c r="AO1426" s="4">
        <v>12</v>
      </c>
      <c r="AP1426" s="3" t="s">
        <v>58</v>
      </c>
      <c r="AQ1426" s="3" t="s">
        <v>58</v>
      </c>
      <c r="AS1426" s="6" t="str">
        <f>HYPERLINK("https://creighton-primo.hosted.exlibrisgroup.com/primo-explore/search?tab=default_tab&amp;search_scope=EVERYTHING&amp;vid=01CRU&amp;lang=en_US&amp;offset=0&amp;query=any,contains,991001653999702656","Catalog Record")</f>
        <v>Catalog Record</v>
      </c>
      <c r="AT1426" s="6" t="str">
        <f>HYPERLINK("http://www.worldcat.org/oclc/2372714","WorldCat Record")</f>
        <v>WorldCat Record</v>
      </c>
      <c r="AU1426" s="3" t="s">
        <v>18432</v>
      </c>
      <c r="AV1426" s="3" t="s">
        <v>18433</v>
      </c>
      <c r="AW1426" s="3" t="s">
        <v>18434</v>
      </c>
      <c r="AX1426" s="3" t="s">
        <v>18434</v>
      </c>
      <c r="AY1426" s="3" t="s">
        <v>18435</v>
      </c>
      <c r="AZ1426" s="3" t="s">
        <v>74</v>
      </c>
      <c r="BB1426" s="3" t="s">
        <v>18436</v>
      </c>
      <c r="BC1426" s="3" t="s">
        <v>18437</v>
      </c>
      <c r="BD1426" s="3" t="s">
        <v>18438</v>
      </c>
    </row>
    <row r="1427" spans="1:56" ht="45.75" customHeight="1" x14ac:dyDescent="0.25">
      <c r="A1427" s="7" t="s">
        <v>58</v>
      </c>
      <c r="B1427" s="2" t="s">
        <v>18439</v>
      </c>
      <c r="C1427" s="2" t="s">
        <v>18440</v>
      </c>
      <c r="D1427" s="2" t="s">
        <v>18441</v>
      </c>
      <c r="F1427" s="3" t="s">
        <v>58</v>
      </c>
      <c r="G1427" s="3" t="s">
        <v>59</v>
      </c>
      <c r="H1427" s="3" t="s">
        <v>58</v>
      </c>
      <c r="I1427" s="3" t="s">
        <v>87</v>
      </c>
      <c r="J1427" s="3" t="s">
        <v>60</v>
      </c>
      <c r="K1427" s="2" t="s">
        <v>18442</v>
      </c>
      <c r="L1427" s="2" t="s">
        <v>18443</v>
      </c>
      <c r="M1427" s="3" t="s">
        <v>18444</v>
      </c>
      <c r="O1427" s="3" t="s">
        <v>65</v>
      </c>
      <c r="P1427" s="3" t="s">
        <v>336</v>
      </c>
      <c r="R1427" s="3" t="s">
        <v>67</v>
      </c>
      <c r="S1427" s="4">
        <v>1</v>
      </c>
      <c r="T1427" s="4">
        <v>1</v>
      </c>
      <c r="U1427" s="5" t="s">
        <v>18380</v>
      </c>
      <c r="V1427" s="5" t="s">
        <v>18380</v>
      </c>
      <c r="W1427" s="5" t="s">
        <v>17101</v>
      </c>
      <c r="X1427" s="5" t="s">
        <v>17101</v>
      </c>
      <c r="Y1427" s="4">
        <v>886</v>
      </c>
      <c r="Z1427" s="4">
        <v>728</v>
      </c>
      <c r="AA1427" s="4">
        <v>1138</v>
      </c>
      <c r="AB1427" s="4">
        <v>7</v>
      </c>
      <c r="AC1427" s="4">
        <v>13</v>
      </c>
      <c r="AD1427" s="4">
        <v>37</v>
      </c>
      <c r="AE1427" s="4">
        <v>61</v>
      </c>
      <c r="AF1427" s="4">
        <v>12</v>
      </c>
      <c r="AG1427" s="4">
        <v>20</v>
      </c>
      <c r="AH1427" s="4">
        <v>5</v>
      </c>
      <c r="AI1427" s="4">
        <v>10</v>
      </c>
      <c r="AJ1427" s="4">
        <v>13</v>
      </c>
      <c r="AK1427" s="4">
        <v>22</v>
      </c>
      <c r="AL1427" s="4">
        <v>4</v>
      </c>
      <c r="AM1427" s="4">
        <v>9</v>
      </c>
      <c r="AN1427" s="4">
        <v>8</v>
      </c>
      <c r="AO1427" s="4">
        <v>11</v>
      </c>
      <c r="AP1427" s="3" t="s">
        <v>58</v>
      </c>
      <c r="AQ1427" s="3" t="s">
        <v>58</v>
      </c>
      <c r="AS1427" s="6" t="str">
        <f>HYPERLINK("https://creighton-primo.hosted.exlibrisgroup.com/primo-explore/search?tab=default_tab&amp;search_scope=EVERYTHING&amp;vid=01CRU&amp;lang=en_US&amp;offset=0&amp;query=any,contains,991002088019702656","Catalog Record")</f>
        <v>Catalog Record</v>
      </c>
      <c r="AT1427" s="6" t="str">
        <f>HYPERLINK("http://www.worldcat.org/oclc/265301","WorldCat Record")</f>
        <v>WorldCat Record</v>
      </c>
      <c r="AU1427" s="3" t="s">
        <v>18445</v>
      </c>
      <c r="AV1427" s="3" t="s">
        <v>18446</v>
      </c>
      <c r="AW1427" s="3" t="s">
        <v>18447</v>
      </c>
      <c r="AX1427" s="3" t="s">
        <v>18447</v>
      </c>
      <c r="AY1427" s="3" t="s">
        <v>18448</v>
      </c>
      <c r="AZ1427" s="3" t="s">
        <v>74</v>
      </c>
      <c r="BC1427" s="3" t="s">
        <v>18449</v>
      </c>
      <c r="BD1427" s="3" t="s">
        <v>18450</v>
      </c>
    </row>
    <row r="1428" spans="1:56" ht="45.75" customHeight="1" x14ac:dyDescent="0.25">
      <c r="A1428" s="7" t="s">
        <v>58</v>
      </c>
      <c r="B1428" s="2" t="s">
        <v>18451</v>
      </c>
      <c r="C1428" s="2" t="s">
        <v>18452</v>
      </c>
      <c r="D1428" s="2" t="s">
        <v>18453</v>
      </c>
      <c r="F1428" s="3" t="s">
        <v>58</v>
      </c>
      <c r="G1428" s="3" t="s">
        <v>59</v>
      </c>
      <c r="H1428" s="3" t="s">
        <v>58</v>
      </c>
      <c r="I1428" s="3" t="s">
        <v>58</v>
      </c>
      <c r="J1428" s="3" t="s">
        <v>60</v>
      </c>
      <c r="K1428" s="2" t="s">
        <v>18454</v>
      </c>
      <c r="L1428" s="2" t="s">
        <v>18455</v>
      </c>
      <c r="M1428" s="3" t="s">
        <v>419</v>
      </c>
      <c r="N1428" s="2" t="s">
        <v>543</v>
      </c>
      <c r="O1428" s="3" t="s">
        <v>65</v>
      </c>
      <c r="P1428" s="3" t="s">
        <v>84</v>
      </c>
      <c r="R1428" s="3" t="s">
        <v>67</v>
      </c>
      <c r="S1428" s="4">
        <v>2</v>
      </c>
      <c r="T1428" s="4">
        <v>2</v>
      </c>
      <c r="U1428" s="5" t="s">
        <v>18456</v>
      </c>
      <c r="V1428" s="5" t="s">
        <v>18456</v>
      </c>
      <c r="W1428" s="5" t="s">
        <v>13532</v>
      </c>
      <c r="X1428" s="5" t="s">
        <v>13532</v>
      </c>
      <c r="Y1428" s="4">
        <v>1476</v>
      </c>
      <c r="Z1428" s="4">
        <v>1427</v>
      </c>
      <c r="AA1428" s="4">
        <v>1772</v>
      </c>
      <c r="AB1428" s="4">
        <v>9</v>
      </c>
      <c r="AC1428" s="4">
        <v>10</v>
      </c>
      <c r="AD1428" s="4">
        <v>35</v>
      </c>
      <c r="AE1428" s="4">
        <v>45</v>
      </c>
      <c r="AF1428" s="4">
        <v>14</v>
      </c>
      <c r="AG1428" s="4">
        <v>17</v>
      </c>
      <c r="AH1428" s="4">
        <v>5</v>
      </c>
      <c r="AI1428" s="4">
        <v>9</v>
      </c>
      <c r="AJ1428" s="4">
        <v>17</v>
      </c>
      <c r="AK1428" s="4">
        <v>21</v>
      </c>
      <c r="AL1428" s="4">
        <v>5</v>
      </c>
      <c r="AM1428" s="4">
        <v>6</v>
      </c>
      <c r="AN1428" s="4">
        <v>2</v>
      </c>
      <c r="AO1428" s="4">
        <v>3</v>
      </c>
      <c r="AP1428" s="3" t="s">
        <v>58</v>
      </c>
      <c r="AQ1428" s="3" t="s">
        <v>58</v>
      </c>
      <c r="AS1428" s="6" t="str">
        <f>HYPERLINK("https://creighton-primo.hosted.exlibrisgroup.com/primo-explore/search?tab=default_tab&amp;search_scope=EVERYTHING&amp;vid=01CRU&amp;lang=en_US&amp;offset=0&amp;query=any,contains,991003539549702656","Catalog Record")</f>
        <v>Catalog Record</v>
      </c>
      <c r="AT1428" s="6" t="str">
        <f>HYPERLINK("http://www.worldcat.org/oclc/43109918","WorldCat Record")</f>
        <v>WorldCat Record</v>
      </c>
      <c r="AU1428" s="3" t="s">
        <v>18457</v>
      </c>
      <c r="AV1428" s="3" t="s">
        <v>18458</v>
      </c>
      <c r="AW1428" s="3" t="s">
        <v>18459</v>
      </c>
      <c r="AX1428" s="3" t="s">
        <v>18459</v>
      </c>
      <c r="AY1428" s="3" t="s">
        <v>18460</v>
      </c>
      <c r="AZ1428" s="3" t="s">
        <v>74</v>
      </c>
      <c r="BB1428" s="3" t="s">
        <v>18461</v>
      </c>
      <c r="BC1428" s="3" t="s">
        <v>18462</v>
      </c>
      <c r="BD1428" s="3" t="s">
        <v>18463</v>
      </c>
    </row>
    <row r="1429" spans="1:56" ht="45.75" customHeight="1" x14ac:dyDescent="0.25">
      <c r="A1429" s="7" t="s">
        <v>58</v>
      </c>
      <c r="B1429" s="2" t="s">
        <v>18464</v>
      </c>
      <c r="C1429" s="2" t="s">
        <v>18465</v>
      </c>
      <c r="D1429" s="2" t="s">
        <v>18466</v>
      </c>
      <c r="F1429" s="3" t="s">
        <v>58</v>
      </c>
      <c r="G1429" s="3" t="s">
        <v>59</v>
      </c>
      <c r="H1429" s="3" t="s">
        <v>58</v>
      </c>
      <c r="I1429" s="3" t="s">
        <v>58</v>
      </c>
      <c r="J1429" s="3" t="s">
        <v>60</v>
      </c>
      <c r="K1429" s="2" t="s">
        <v>18467</v>
      </c>
      <c r="L1429" s="2" t="s">
        <v>18468</v>
      </c>
      <c r="M1429" s="3" t="s">
        <v>1544</v>
      </c>
      <c r="N1429" s="2" t="s">
        <v>4473</v>
      </c>
      <c r="O1429" s="3" t="s">
        <v>65</v>
      </c>
      <c r="P1429" s="3" t="s">
        <v>84</v>
      </c>
      <c r="R1429" s="3" t="s">
        <v>67</v>
      </c>
      <c r="S1429" s="4">
        <v>4</v>
      </c>
      <c r="T1429" s="4">
        <v>4</v>
      </c>
      <c r="U1429" s="5" t="s">
        <v>18380</v>
      </c>
      <c r="V1429" s="5" t="s">
        <v>18380</v>
      </c>
      <c r="W1429" s="5" t="s">
        <v>6189</v>
      </c>
      <c r="X1429" s="5" t="s">
        <v>6189</v>
      </c>
      <c r="Y1429" s="4">
        <v>393</v>
      </c>
      <c r="Z1429" s="4">
        <v>357</v>
      </c>
      <c r="AA1429" s="4">
        <v>416</v>
      </c>
      <c r="AB1429" s="4">
        <v>3</v>
      </c>
      <c r="AC1429" s="4">
        <v>3</v>
      </c>
      <c r="AD1429" s="4">
        <v>12</v>
      </c>
      <c r="AE1429" s="4">
        <v>14</v>
      </c>
      <c r="AF1429" s="4">
        <v>2</v>
      </c>
      <c r="AG1429" s="4">
        <v>3</v>
      </c>
      <c r="AH1429" s="4">
        <v>3</v>
      </c>
      <c r="AI1429" s="4">
        <v>4</v>
      </c>
      <c r="AJ1429" s="4">
        <v>6</v>
      </c>
      <c r="AK1429" s="4">
        <v>7</v>
      </c>
      <c r="AL1429" s="4">
        <v>1</v>
      </c>
      <c r="AM1429" s="4">
        <v>1</v>
      </c>
      <c r="AN1429" s="4">
        <v>1</v>
      </c>
      <c r="AO1429" s="4">
        <v>1</v>
      </c>
      <c r="AP1429" s="3" t="s">
        <v>58</v>
      </c>
      <c r="AQ1429" s="3" t="s">
        <v>58</v>
      </c>
      <c r="AS1429" s="6" t="str">
        <f>HYPERLINK("https://creighton-primo.hosted.exlibrisgroup.com/primo-explore/search?tab=default_tab&amp;search_scope=EVERYTHING&amp;vid=01CRU&amp;lang=en_US&amp;offset=0&amp;query=any,contains,991001267999702656","Catalog Record")</f>
        <v>Catalog Record</v>
      </c>
      <c r="AT1429" s="6" t="str">
        <f>HYPERLINK("http://www.worldcat.org/oclc/210471","WorldCat Record")</f>
        <v>WorldCat Record</v>
      </c>
      <c r="AU1429" s="3" t="s">
        <v>18469</v>
      </c>
      <c r="AV1429" s="3" t="s">
        <v>18470</v>
      </c>
      <c r="AW1429" s="3" t="s">
        <v>18471</v>
      </c>
      <c r="AX1429" s="3" t="s">
        <v>18471</v>
      </c>
      <c r="AY1429" s="3" t="s">
        <v>18472</v>
      </c>
      <c r="AZ1429" s="3" t="s">
        <v>74</v>
      </c>
      <c r="BB1429" s="3" t="s">
        <v>18473</v>
      </c>
      <c r="BC1429" s="3" t="s">
        <v>18474</v>
      </c>
      <c r="BD1429" s="3" t="s">
        <v>18475</v>
      </c>
    </row>
    <row r="1430" spans="1:56" ht="45.75" customHeight="1" x14ac:dyDescent="0.25">
      <c r="A1430" s="7" t="s">
        <v>58</v>
      </c>
      <c r="B1430" s="2" t="s">
        <v>18476</v>
      </c>
      <c r="C1430" s="2" t="s">
        <v>18477</v>
      </c>
      <c r="D1430" s="2" t="s">
        <v>18478</v>
      </c>
      <c r="F1430" s="3" t="s">
        <v>58</v>
      </c>
      <c r="G1430" s="3" t="s">
        <v>59</v>
      </c>
      <c r="H1430" s="3" t="s">
        <v>58</v>
      </c>
      <c r="I1430" s="3" t="s">
        <v>58</v>
      </c>
      <c r="J1430" s="3" t="s">
        <v>60</v>
      </c>
      <c r="K1430" s="2" t="s">
        <v>18479</v>
      </c>
      <c r="L1430" s="2" t="s">
        <v>130</v>
      </c>
      <c r="M1430" s="3" t="s">
        <v>131</v>
      </c>
      <c r="O1430" s="3" t="s">
        <v>65</v>
      </c>
      <c r="P1430" s="3" t="s">
        <v>132</v>
      </c>
      <c r="R1430" s="3" t="s">
        <v>67</v>
      </c>
      <c r="S1430" s="4">
        <v>2</v>
      </c>
      <c r="T1430" s="4">
        <v>2</v>
      </c>
      <c r="U1430" s="5" t="s">
        <v>18480</v>
      </c>
      <c r="V1430" s="5" t="s">
        <v>18480</v>
      </c>
      <c r="W1430" s="5" t="s">
        <v>17327</v>
      </c>
      <c r="X1430" s="5" t="s">
        <v>17327</v>
      </c>
      <c r="Y1430" s="4">
        <v>143</v>
      </c>
      <c r="Z1430" s="4">
        <v>114</v>
      </c>
      <c r="AA1430" s="4">
        <v>122</v>
      </c>
      <c r="AB1430" s="4">
        <v>1</v>
      </c>
      <c r="AC1430" s="4">
        <v>1</v>
      </c>
      <c r="AD1430" s="4">
        <v>2</v>
      </c>
      <c r="AE1430" s="4">
        <v>2</v>
      </c>
      <c r="AF1430" s="4">
        <v>0</v>
      </c>
      <c r="AG1430" s="4">
        <v>0</v>
      </c>
      <c r="AH1430" s="4">
        <v>1</v>
      </c>
      <c r="AI1430" s="4">
        <v>1</v>
      </c>
      <c r="AJ1430" s="4">
        <v>2</v>
      </c>
      <c r="AK1430" s="4">
        <v>2</v>
      </c>
      <c r="AL1430" s="4">
        <v>0</v>
      </c>
      <c r="AM1430" s="4">
        <v>0</v>
      </c>
      <c r="AN1430" s="4">
        <v>0</v>
      </c>
      <c r="AO1430" s="4">
        <v>0</v>
      </c>
      <c r="AP1430" s="3" t="s">
        <v>58</v>
      </c>
      <c r="AQ1430" s="3" t="s">
        <v>87</v>
      </c>
      <c r="AR1430" s="6" t="str">
        <f>HYPERLINK("http://catalog.hathitrust.org/Record/005082635","HathiTrust Record")</f>
        <v>HathiTrust Record</v>
      </c>
      <c r="AS1430" s="6" t="str">
        <f>HYPERLINK("https://creighton-primo.hosted.exlibrisgroup.com/primo-explore/search?tab=default_tab&amp;search_scope=EVERYTHING&amp;vid=01CRU&amp;lang=en_US&amp;offset=0&amp;query=any,contains,991004674129702656","Catalog Record")</f>
        <v>Catalog Record</v>
      </c>
      <c r="AT1430" s="6" t="str">
        <f>HYPERLINK("http://www.worldcat.org/oclc/61774028","WorldCat Record")</f>
        <v>WorldCat Record</v>
      </c>
      <c r="AU1430" s="3" t="s">
        <v>18481</v>
      </c>
      <c r="AV1430" s="3" t="s">
        <v>18482</v>
      </c>
      <c r="AW1430" s="3" t="s">
        <v>18483</v>
      </c>
      <c r="AX1430" s="3" t="s">
        <v>18483</v>
      </c>
      <c r="AY1430" s="3" t="s">
        <v>18484</v>
      </c>
      <c r="AZ1430" s="3" t="s">
        <v>74</v>
      </c>
      <c r="BB1430" s="3" t="s">
        <v>18485</v>
      </c>
      <c r="BC1430" s="3" t="s">
        <v>18486</v>
      </c>
      <c r="BD1430" s="3" t="s">
        <v>18487</v>
      </c>
    </row>
    <row r="1431" spans="1:56" ht="45.75" customHeight="1" x14ac:dyDescent="0.25">
      <c r="A1431" s="7" t="s">
        <v>58</v>
      </c>
      <c r="B1431" s="2" t="s">
        <v>18488</v>
      </c>
      <c r="C1431" s="2" t="s">
        <v>18489</v>
      </c>
      <c r="D1431" s="2" t="s">
        <v>18490</v>
      </c>
      <c r="F1431" s="3" t="s">
        <v>58</v>
      </c>
      <c r="G1431" s="3" t="s">
        <v>59</v>
      </c>
      <c r="H1431" s="3" t="s">
        <v>58</v>
      </c>
      <c r="I1431" s="3" t="s">
        <v>58</v>
      </c>
      <c r="J1431" s="3" t="s">
        <v>60</v>
      </c>
      <c r="K1431" s="2" t="s">
        <v>18491</v>
      </c>
      <c r="L1431" s="2" t="s">
        <v>18492</v>
      </c>
      <c r="M1431" s="3" t="s">
        <v>1419</v>
      </c>
      <c r="N1431" s="2" t="s">
        <v>543</v>
      </c>
      <c r="O1431" s="3" t="s">
        <v>65</v>
      </c>
      <c r="P1431" s="3" t="s">
        <v>132</v>
      </c>
      <c r="Q1431" s="2" t="s">
        <v>18493</v>
      </c>
      <c r="R1431" s="3" t="s">
        <v>67</v>
      </c>
      <c r="S1431" s="4">
        <v>9</v>
      </c>
      <c r="T1431" s="4">
        <v>9</v>
      </c>
      <c r="U1431" s="5" t="s">
        <v>18480</v>
      </c>
      <c r="V1431" s="5" t="s">
        <v>18480</v>
      </c>
      <c r="W1431" s="5" t="s">
        <v>2573</v>
      </c>
      <c r="X1431" s="5" t="s">
        <v>2573</v>
      </c>
      <c r="Y1431" s="4">
        <v>810</v>
      </c>
      <c r="Z1431" s="4">
        <v>716</v>
      </c>
      <c r="AA1431" s="4">
        <v>719</v>
      </c>
      <c r="AB1431" s="4">
        <v>6</v>
      </c>
      <c r="AC1431" s="4">
        <v>6</v>
      </c>
      <c r="AD1431" s="4">
        <v>33</v>
      </c>
      <c r="AE1431" s="4">
        <v>33</v>
      </c>
      <c r="AF1431" s="4">
        <v>11</v>
      </c>
      <c r="AG1431" s="4">
        <v>11</v>
      </c>
      <c r="AH1431" s="4">
        <v>11</v>
      </c>
      <c r="AI1431" s="4">
        <v>11</v>
      </c>
      <c r="AJ1431" s="4">
        <v>12</v>
      </c>
      <c r="AK1431" s="4">
        <v>12</v>
      </c>
      <c r="AL1431" s="4">
        <v>5</v>
      </c>
      <c r="AM1431" s="4">
        <v>5</v>
      </c>
      <c r="AN1431" s="4">
        <v>3</v>
      </c>
      <c r="AO1431" s="4">
        <v>3</v>
      </c>
      <c r="AP1431" s="3" t="s">
        <v>58</v>
      </c>
      <c r="AQ1431" s="3" t="s">
        <v>87</v>
      </c>
      <c r="AR1431" s="6" t="str">
        <f>HYPERLINK("http://catalog.hathitrust.org/Record/000761390","HathiTrust Record")</f>
        <v>HathiTrust Record</v>
      </c>
      <c r="AS1431" s="6" t="str">
        <f>HYPERLINK("https://creighton-primo.hosted.exlibrisgroup.com/primo-explore/search?tab=default_tab&amp;search_scope=EVERYTHING&amp;vid=01CRU&amp;lang=en_US&amp;offset=0&amp;query=any,contains,991004504989702656","Catalog Record")</f>
        <v>Catalog Record</v>
      </c>
      <c r="AT1431" s="6" t="str">
        <f>HYPERLINK("http://www.worldcat.org/oclc/3730791","WorldCat Record")</f>
        <v>WorldCat Record</v>
      </c>
      <c r="AU1431" s="3" t="s">
        <v>18494</v>
      </c>
      <c r="AV1431" s="3" t="s">
        <v>18495</v>
      </c>
      <c r="AW1431" s="3" t="s">
        <v>18496</v>
      </c>
      <c r="AX1431" s="3" t="s">
        <v>18496</v>
      </c>
      <c r="AY1431" s="3" t="s">
        <v>18497</v>
      </c>
      <c r="AZ1431" s="3" t="s">
        <v>74</v>
      </c>
      <c r="BB1431" s="3" t="s">
        <v>18498</v>
      </c>
      <c r="BC1431" s="3" t="s">
        <v>18499</v>
      </c>
      <c r="BD1431" s="3" t="s">
        <v>18500</v>
      </c>
    </row>
    <row r="1432" spans="1:56" ht="45.75" customHeight="1" x14ac:dyDescent="0.25">
      <c r="A1432" s="7" t="s">
        <v>58</v>
      </c>
      <c r="B1432" s="2" t="s">
        <v>18501</v>
      </c>
      <c r="C1432" s="2" t="s">
        <v>18502</v>
      </c>
      <c r="D1432" s="2" t="s">
        <v>18503</v>
      </c>
      <c r="F1432" s="3" t="s">
        <v>58</v>
      </c>
      <c r="G1432" s="3" t="s">
        <v>59</v>
      </c>
      <c r="H1432" s="3" t="s">
        <v>58</v>
      </c>
      <c r="I1432" s="3" t="s">
        <v>58</v>
      </c>
      <c r="J1432" s="3" t="s">
        <v>60</v>
      </c>
      <c r="K1432" s="2" t="s">
        <v>18504</v>
      </c>
      <c r="L1432" s="2" t="s">
        <v>18505</v>
      </c>
      <c r="M1432" s="3" t="s">
        <v>1209</v>
      </c>
      <c r="N1432" s="2" t="s">
        <v>64</v>
      </c>
      <c r="O1432" s="3" t="s">
        <v>65</v>
      </c>
      <c r="P1432" s="3" t="s">
        <v>84</v>
      </c>
      <c r="R1432" s="3" t="s">
        <v>67</v>
      </c>
      <c r="S1432" s="4">
        <v>4</v>
      </c>
      <c r="T1432" s="4">
        <v>4</v>
      </c>
      <c r="U1432" s="5" t="s">
        <v>18480</v>
      </c>
      <c r="V1432" s="5" t="s">
        <v>18480</v>
      </c>
      <c r="W1432" s="5" t="s">
        <v>18506</v>
      </c>
      <c r="X1432" s="5" t="s">
        <v>18506</v>
      </c>
      <c r="Y1432" s="4">
        <v>231</v>
      </c>
      <c r="Z1432" s="4">
        <v>199</v>
      </c>
      <c r="AA1432" s="4">
        <v>302</v>
      </c>
      <c r="AB1432" s="4">
        <v>2</v>
      </c>
      <c r="AC1432" s="4">
        <v>2</v>
      </c>
      <c r="AD1432" s="4">
        <v>8</v>
      </c>
      <c r="AE1432" s="4">
        <v>11</v>
      </c>
      <c r="AF1432" s="4">
        <v>1</v>
      </c>
      <c r="AG1432" s="4">
        <v>1</v>
      </c>
      <c r="AH1432" s="4">
        <v>2</v>
      </c>
      <c r="AI1432" s="4">
        <v>4</v>
      </c>
      <c r="AJ1432" s="4">
        <v>5</v>
      </c>
      <c r="AK1432" s="4">
        <v>7</v>
      </c>
      <c r="AL1432" s="4">
        <v>1</v>
      </c>
      <c r="AM1432" s="4">
        <v>1</v>
      </c>
      <c r="AN1432" s="4">
        <v>0</v>
      </c>
      <c r="AO1432" s="4">
        <v>0</v>
      </c>
      <c r="AP1432" s="3" t="s">
        <v>58</v>
      </c>
      <c r="AQ1432" s="3" t="s">
        <v>87</v>
      </c>
      <c r="AR1432" s="6" t="str">
        <f>HYPERLINK("http://catalog.hathitrust.org/Record/000832113","HathiTrust Record")</f>
        <v>HathiTrust Record</v>
      </c>
      <c r="AS1432" s="6" t="str">
        <f>HYPERLINK("https://creighton-primo.hosted.exlibrisgroup.com/primo-explore/search?tab=default_tab&amp;search_scope=EVERYTHING&amp;vid=01CRU&amp;lang=en_US&amp;offset=0&amp;query=any,contains,991000902409702656","Catalog Record")</f>
        <v>Catalog Record</v>
      </c>
      <c r="AT1432" s="6" t="str">
        <f>HYPERLINK("http://www.worldcat.org/oclc/14068560","WorldCat Record")</f>
        <v>WorldCat Record</v>
      </c>
      <c r="AU1432" s="3" t="s">
        <v>18507</v>
      </c>
      <c r="AV1432" s="3" t="s">
        <v>18508</v>
      </c>
      <c r="AW1432" s="3" t="s">
        <v>18509</v>
      </c>
      <c r="AX1432" s="3" t="s">
        <v>18509</v>
      </c>
      <c r="AY1432" s="3" t="s">
        <v>18510</v>
      </c>
      <c r="AZ1432" s="3" t="s">
        <v>74</v>
      </c>
      <c r="BB1432" s="3" t="s">
        <v>18511</v>
      </c>
      <c r="BC1432" s="3" t="s">
        <v>18512</v>
      </c>
      <c r="BD1432" s="3" t="s">
        <v>18513</v>
      </c>
    </row>
    <row r="1433" spans="1:56" ht="45.75" customHeight="1" x14ac:dyDescent="0.25">
      <c r="A1433" s="7" t="s">
        <v>58</v>
      </c>
      <c r="B1433" s="2" t="s">
        <v>18514</v>
      </c>
      <c r="C1433" s="2" t="s">
        <v>18515</v>
      </c>
      <c r="D1433" s="2" t="s">
        <v>18516</v>
      </c>
      <c r="F1433" s="3" t="s">
        <v>58</v>
      </c>
      <c r="G1433" s="3" t="s">
        <v>59</v>
      </c>
      <c r="H1433" s="3" t="s">
        <v>58</v>
      </c>
      <c r="I1433" s="3" t="s">
        <v>58</v>
      </c>
      <c r="J1433" s="3" t="s">
        <v>60</v>
      </c>
      <c r="L1433" s="2" t="s">
        <v>18517</v>
      </c>
      <c r="M1433" s="3" t="s">
        <v>1058</v>
      </c>
      <c r="O1433" s="3" t="s">
        <v>65</v>
      </c>
      <c r="P1433" s="3" t="s">
        <v>84</v>
      </c>
      <c r="R1433" s="3" t="s">
        <v>67</v>
      </c>
      <c r="S1433" s="4">
        <v>17</v>
      </c>
      <c r="T1433" s="4">
        <v>17</v>
      </c>
      <c r="U1433" s="5" t="s">
        <v>18480</v>
      </c>
      <c r="V1433" s="5" t="s">
        <v>18480</v>
      </c>
      <c r="W1433" s="5" t="s">
        <v>2573</v>
      </c>
      <c r="X1433" s="5" t="s">
        <v>2573</v>
      </c>
      <c r="Y1433" s="4">
        <v>561</v>
      </c>
      <c r="Z1433" s="4">
        <v>494</v>
      </c>
      <c r="AA1433" s="4">
        <v>518</v>
      </c>
      <c r="AB1433" s="4">
        <v>4</v>
      </c>
      <c r="AC1433" s="4">
        <v>4</v>
      </c>
      <c r="AD1433" s="4">
        <v>23</v>
      </c>
      <c r="AE1433" s="4">
        <v>23</v>
      </c>
      <c r="AF1433" s="4">
        <v>8</v>
      </c>
      <c r="AG1433" s="4">
        <v>8</v>
      </c>
      <c r="AH1433" s="4">
        <v>7</v>
      </c>
      <c r="AI1433" s="4">
        <v>7</v>
      </c>
      <c r="AJ1433" s="4">
        <v>10</v>
      </c>
      <c r="AK1433" s="4">
        <v>10</v>
      </c>
      <c r="AL1433" s="4">
        <v>3</v>
      </c>
      <c r="AM1433" s="4">
        <v>3</v>
      </c>
      <c r="AN1433" s="4">
        <v>1</v>
      </c>
      <c r="AO1433" s="4">
        <v>1</v>
      </c>
      <c r="AP1433" s="3" t="s">
        <v>58</v>
      </c>
      <c r="AQ1433" s="3" t="s">
        <v>87</v>
      </c>
      <c r="AR1433" s="6" t="str">
        <f>HYPERLINK("http://catalog.hathitrust.org/Record/000844639","HathiTrust Record")</f>
        <v>HathiTrust Record</v>
      </c>
      <c r="AS1433" s="6" t="str">
        <f>HYPERLINK("https://creighton-primo.hosted.exlibrisgroup.com/primo-explore/search?tab=default_tab&amp;search_scope=EVERYTHING&amp;vid=01CRU&amp;lang=en_US&amp;offset=0&amp;query=any,contains,991001172979702656","Catalog Record")</f>
        <v>Catalog Record</v>
      </c>
      <c r="AT1433" s="6" t="str">
        <f>HYPERLINK("http://www.worldcat.org/oclc/16982340","WorldCat Record")</f>
        <v>WorldCat Record</v>
      </c>
      <c r="AU1433" s="3" t="s">
        <v>18518</v>
      </c>
      <c r="AV1433" s="3" t="s">
        <v>18519</v>
      </c>
      <c r="AW1433" s="3" t="s">
        <v>18520</v>
      </c>
      <c r="AX1433" s="3" t="s">
        <v>18520</v>
      </c>
      <c r="AY1433" s="3" t="s">
        <v>18521</v>
      </c>
      <c r="AZ1433" s="3" t="s">
        <v>74</v>
      </c>
      <c r="BB1433" s="3" t="s">
        <v>18522</v>
      </c>
      <c r="BC1433" s="3" t="s">
        <v>18523</v>
      </c>
      <c r="BD1433" s="3" t="s">
        <v>18524</v>
      </c>
    </row>
    <row r="1434" spans="1:56" ht="45.75" customHeight="1" x14ac:dyDescent="0.25">
      <c r="A1434" s="7" t="s">
        <v>58</v>
      </c>
      <c r="B1434" s="2" t="s">
        <v>18525</v>
      </c>
      <c r="C1434" s="2" t="s">
        <v>18526</v>
      </c>
      <c r="D1434" s="2" t="s">
        <v>18527</v>
      </c>
      <c r="F1434" s="3" t="s">
        <v>58</v>
      </c>
      <c r="G1434" s="3" t="s">
        <v>59</v>
      </c>
      <c r="H1434" s="3" t="s">
        <v>58</v>
      </c>
      <c r="I1434" s="3" t="s">
        <v>58</v>
      </c>
      <c r="J1434" s="3" t="s">
        <v>60</v>
      </c>
      <c r="K1434" s="2" t="s">
        <v>18528</v>
      </c>
      <c r="L1434" s="2" t="s">
        <v>18529</v>
      </c>
      <c r="M1434" s="3" t="s">
        <v>147</v>
      </c>
      <c r="O1434" s="3" t="s">
        <v>65</v>
      </c>
      <c r="P1434" s="3" t="s">
        <v>66</v>
      </c>
      <c r="Q1434" s="2" t="s">
        <v>18530</v>
      </c>
      <c r="R1434" s="3" t="s">
        <v>67</v>
      </c>
      <c r="S1434" s="4">
        <v>3</v>
      </c>
      <c r="T1434" s="4">
        <v>3</v>
      </c>
      <c r="U1434" s="5" t="s">
        <v>18531</v>
      </c>
      <c r="V1434" s="5" t="s">
        <v>18531</v>
      </c>
      <c r="W1434" s="5" t="s">
        <v>5693</v>
      </c>
      <c r="X1434" s="5" t="s">
        <v>5693</v>
      </c>
      <c r="Y1434" s="4">
        <v>580</v>
      </c>
      <c r="Z1434" s="4">
        <v>534</v>
      </c>
      <c r="AA1434" s="4">
        <v>545</v>
      </c>
      <c r="AB1434" s="4">
        <v>6</v>
      </c>
      <c r="AC1434" s="4">
        <v>6</v>
      </c>
      <c r="AD1434" s="4">
        <v>29</v>
      </c>
      <c r="AE1434" s="4">
        <v>30</v>
      </c>
      <c r="AF1434" s="4">
        <v>12</v>
      </c>
      <c r="AG1434" s="4">
        <v>13</v>
      </c>
      <c r="AH1434" s="4">
        <v>5</v>
      </c>
      <c r="AI1434" s="4">
        <v>6</v>
      </c>
      <c r="AJ1434" s="4">
        <v>14</v>
      </c>
      <c r="AK1434" s="4">
        <v>14</v>
      </c>
      <c r="AL1434" s="4">
        <v>5</v>
      </c>
      <c r="AM1434" s="4">
        <v>5</v>
      </c>
      <c r="AN1434" s="4">
        <v>0</v>
      </c>
      <c r="AO1434" s="4">
        <v>0</v>
      </c>
      <c r="AP1434" s="3" t="s">
        <v>58</v>
      </c>
      <c r="AQ1434" s="3" t="s">
        <v>87</v>
      </c>
      <c r="AR1434" s="6" t="str">
        <f>HYPERLINK("http://catalog.hathitrust.org/Record/004722679","HathiTrust Record")</f>
        <v>HathiTrust Record</v>
      </c>
      <c r="AS1434" s="6" t="str">
        <f>HYPERLINK("https://creighton-primo.hosted.exlibrisgroup.com/primo-explore/search?tab=default_tab&amp;search_scope=EVERYTHING&amp;vid=01CRU&amp;lang=en_US&amp;offset=0&amp;query=any,contains,991004239779702656","Catalog Record")</f>
        <v>Catalog Record</v>
      </c>
      <c r="AT1434" s="6" t="str">
        <f>HYPERLINK("http://www.worldcat.org/oclc/52980595","WorldCat Record")</f>
        <v>WorldCat Record</v>
      </c>
      <c r="AU1434" s="3" t="s">
        <v>18532</v>
      </c>
      <c r="AV1434" s="3" t="s">
        <v>18533</v>
      </c>
      <c r="AW1434" s="3" t="s">
        <v>18534</v>
      </c>
      <c r="AX1434" s="3" t="s">
        <v>18534</v>
      </c>
      <c r="AY1434" s="3" t="s">
        <v>18535</v>
      </c>
      <c r="AZ1434" s="3" t="s">
        <v>74</v>
      </c>
      <c r="BB1434" s="3" t="s">
        <v>18536</v>
      </c>
      <c r="BC1434" s="3" t="s">
        <v>18537</v>
      </c>
      <c r="BD1434" s="3" t="s">
        <v>18538</v>
      </c>
    </row>
    <row r="1435" spans="1:56" ht="45.75" customHeight="1" x14ac:dyDescent="0.25">
      <c r="A1435" s="7" t="s">
        <v>58</v>
      </c>
      <c r="B1435" s="2" t="s">
        <v>18539</v>
      </c>
      <c r="C1435" s="2" t="s">
        <v>18540</v>
      </c>
      <c r="D1435" s="2" t="s">
        <v>18541</v>
      </c>
      <c r="F1435" s="3" t="s">
        <v>58</v>
      </c>
      <c r="G1435" s="3" t="s">
        <v>59</v>
      </c>
      <c r="H1435" s="3" t="s">
        <v>87</v>
      </c>
      <c r="I1435" s="3" t="s">
        <v>58</v>
      </c>
      <c r="J1435" s="3" t="s">
        <v>60</v>
      </c>
      <c r="K1435" s="2" t="s">
        <v>18542</v>
      </c>
      <c r="L1435" s="2" t="s">
        <v>18543</v>
      </c>
      <c r="M1435" s="3" t="s">
        <v>1032</v>
      </c>
      <c r="O1435" s="3" t="s">
        <v>65</v>
      </c>
      <c r="P1435" s="3" t="s">
        <v>84</v>
      </c>
      <c r="R1435" s="3" t="s">
        <v>67</v>
      </c>
      <c r="S1435" s="4">
        <v>12</v>
      </c>
      <c r="T1435" s="4">
        <v>14</v>
      </c>
      <c r="U1435" s="5" t="s">
        <v>18480</v>
      </c>
      <c r="V1435" s="5" t="s">
        <v>18480</v>
      </c>
      <c r="W1435" s="5" t="s">
        <v>2763</v>
      </c>
      <c r="X1435" s="5" t="s">
        <v>2763</v>
      </c>
      <c r="Y1435" s="4">
        <v>952</v>
      </c>
      <c r="Z1435" s="4">
        <v>843</v>
      </c>
      <c r="AA1435" s="4">
        <v>1066</v>
      </c>
      <c r="AB1435" s="4">
        <v>8</v>
      </c>
      <c r="AC1435" s="4">
        <v>8</v>
      </c>
      <c r="AD1435" s="4">
        <v>40</v>
      </c>
      <c r="AE1435" s="4">
        <v>45</v>
      </c>
      <c r="AF1435" s="4">
        <v>15</v>
      </c>
      <c r="AG1435" s="4">
        <v>19</v>
      </c>
      <c r="AH1435" s="4">
        <v>10</v>
      </c>
      <c r="AI1435" s="4">
        <v>11</v>
      </c>
      <c r="AJ1435" s="4">
        <v>18</v>
      </c>
      <c r="AK1435" s="4">
        <v>18</v>
      </c>
      <c r="AL1435" s="4">
        <v>6</v>
      </c>
      <c r="AM1435" s="4">
        <v>6</v>
      </c>
      <c r="AN1435" s="4">
        <v>3</v>
      </c>
      <c r="AO1435" s="4">
        <v>3</v>
      </c>
      <c r="AP1435" s="3" t="s">
        <v>58</v>
      </c>
      <c r="AQ1435" s="3" t="s">
        <v>58</v>
      </c>
      <c r="AS1435" s="6" t="str">
        <f>HYPERLINK("https://creighton-primo.hosted.exlibrisgroup.com/primo-explore/search?tab=default_tab&amp;search_scope=EVERYTHING&amp;vid=01CRU&amp;lang=en_US&amp;offset=0&amp;query=any,contains,991001671729702656","Catalog Record")</f>
        <v>Catalog Record</v>
      </c>
      <c r="AT1435" s="6" t="str">
        <f>HYPERLINK("http://www.worldcat.org/oclc/34704893","WorldCat Record")</f>
        <v>WorldCat Record</v>
      </c>
      <c r="AU1435" s="3" t="s">
        <v>18544</v>
      </c>
      <c r="AV1435" s="3" t="s">
        <v>18545</v>
      </c>
      <c r="AW1435" s="3" t="s">
        <v>18546</v>
      </c>
      <c r="AX1435" s="3" t="s">
        <v>18546</v>
      </c>
      <c r="AY1435" s="3" t="s">
        <v>18547</v>
      </c>
      <c r="AZ1435" s="3" t="s">
        <v>74</v>
      </c>
      <c r="BB1435" s="3" t="s">
        <v>18548</v>
      </c>
      <c r="BC1435" s="3" t="s">
        <v>18549</v>
      </c>
      <c r="BD1435" s="3" t="s">
        <v>18550</v>
      </c>
    </row>
    <row r="1436" spans="1:56" ht="45.75" customHeight="1" x14ac:dyDescent="0.25">
      <c r="A1436" s="7" t="s">
        <v>58</v>
      </c>
      <c r="B1436" s="2" t="s">
        <v>18551</v>
      </c>
      <c r="C1436" s="2" t="s">
        <v>18552</v>
      </c>
      <c r="D1436" s="2" t="s">
        <v>18553</v>
      </c>
      <c r="F1436" s="3" t="s">
        <v>58</v>
      </c>
      <c r="G1436" s="3" t="s">
        <v>59</v>
      </c>
      <c r="H1436" s="3" t="s">
        <v>58</v>
      </c>
      <c r="I1436" s="3" t="s">
        <v>58</v>
      </c>
      <c r="J1436" s="3" t="s">
        <v>60</v>
      </c>
      <c r="K1436" s="2" t="s">
        <v>18554</v>
      </c>
      <c r="L1436" s="2" t="s">
        <v>18555</v>
      </c>
      <c r="M1436" s="3" t="s">
        <v>83</v>
      </c>
      <c r="N1436" s="2" t="s">
        <v>543</v>
      </c>
      <c r="O1436" s="3" t="s">
        <v>65</v>
      </c>
      <c r="P1436" s="3" t="s">
        <v>3792</v>
      </c>
      <c r="R1436" s="3" t="s">
        <v>67</v>
      </c>
      <c r="S1436" s="4">
        <v>7</v>
      </c>
      <c r="T1436" s="4">
        <v>7</v>
      </c>
      <c r="U1436" s="5" t="s">
        <v>18556</v>
      </c>
      <c r="V1436" s="5" t="s">
        <v>18556</v>
      </c>
      <c r="W1436" s="5" t="s">
        <v>2573</v>
      </c>
      <c r="X1436" s="5" t="s">
        <v>2573</v>
      </c>
      <c r="Y1436" s="4">
        <v>561</v>
      </c>
      <c r="Z1436" s="4">
        <v>496</v>
      </c>
      <c r="AA1436" s="4">
        <v>503</v>
      </c>
      <c r="AB1436" s="4">
        <v>3</v>
      </c>
      <c r="AC1436" s="4">
        <v>3</v>
      </c>
      <c r="AD1436" s="4">
        <v>31</v>
      </c>
      <c r="AE1436" s="4">
        <v>31</v>
      </c>
      <c r="AF1436" s="4">
        <v>12</v>
      </c>
      <c r="AG1436" s="4">
        <v>12</v>
      </c>
      <c r="AH1436" s="4">
        <v>8</v>
      </c>
      <c r="AI1436" s="4">
        <v>8</v>
      </c>
      <c r="AJ1436" s="4">
        <v>16</v>
      </c>
      <c r="AK1436" s="4">
        <v>16</v>
      </c>
      <c r="AL1436" s="4">
        <v>2</v>
      </c>
      <c r="AM1436" s="4">
        <v>2</v>
      </c>
      <c r="AN1436" s="4">
        <v>1</v>
      </c>
      <c r="AO1436" s="4">
        <v>1</v>
      </c>
      <c r="AP1436" s="3" t="s">
        <v>58</v>
      </c>
      <c r="AQ1436" s="3" t="s">
        <v>87</v>
      </c>
      <c r="AR1436" s="6" t="str">
        <f>HYPERLINK("http://catalog.hathitrust.org/Record/000395066","HathiTrust Record")</f>
        <v>HathiTrust Record</v>
      </c>
      <c r="AS1436" s="6" t="str">
        <f>HYPERLINK("https://creighton-primo.hosted.exlibrisgroup.com/primo-explore/search?tab=default_tab&amp;search_scope=EVERYTHING&amp;vid=01CRU&amp;lang=en_US&amp;offset=0&amp;query=any,contains,991000677879702656","Catalog Record")</f>
        <v>Catalog Record</v>
      </c>
      <c r="AT1436" s="6" t="str">
        <f>HYPERLINK("http://www.worldcat.org/oclc/12370737","WorldCat Record")</f>
        <v>WorldCat Record</v>
      </c>
      <c r="AU1436" s="3" t="s">
        <v>18557</v>
      </c>
      <c r="AV1436" s="3" t="s">
        <v>18558</v>
      </c>
      <c r="AW1436" s="3" t="s">
        <v>18559</v>
      </c>
      <c r="AX1436" s="3" t="s">
        <v>18559</v>
      </c>
      <c r="AY1436" s="3" t="s">
        <v>18560</v>
      </c>
      <c r="AZ1436" s="3" t="s">
        <v>74</v>
      </c>
      <c r="BB1436" s="3" t="s">
        <v>18561</v>
      </c>
      <c r="BC1436" s="3" t="s">
        <v>18562</v>
      </c>
      <c r="BD1436" s="3" t="s">
        <v>18563</v>
      </c>
    </row>
    <row r="1437" spans="1:56" ht="45.75" customHeight="1" x14ac:dyDescent="0.25">
      <c r="A1437" s="7" t="s">
        <v>58</v>
      </c>
      <c r="B1437" s="2" t="s">
        <v>18564</v>
      </c>
      <c r="C1437" s="2" t="s">
        <v>18565</v>
      </c>
      <c r="D1437" s="2" t="s">
        <v>18566</v>
      </c>
      <c r="F1437" s="3" t="s">
        <v>58</v>
      </c>
      <c r="G1437" s="3" t="s">
        <v>59</v>
      </c>
      <c r="H1437" s="3" t="s">
        <v>58</v>
      </c>
      <c r="I1437" s="3" t="s">
        <v>58</v>
      </c>
      <c r="J1437" s="3" t="s">
        <v>60</v>
      </c>
      <c r="K1437" s="2" t="s">
        <v>541</v>
      </c>
      <c r="L1437" s="2" t="s">
        <v>18567</v>
      </c>
      <c r="M1437" s="3" t="s">
        <v>1088</v>
      </c>
      <c r="O1437" s="3" t="s">
        <v>65</v>
      </c>
      <c r="P1437" s="3" t="s">
        <v>66</v>
      </c>
      <c r="Q1437" s="2" t="s">
        <v>18568</v>
      </c>
      <c r="R1437" s="3" t="s">
        <v>67</v>
      </c>
      <c r="S1437" s="4">
        <v>5</v>
      </c>
      <c r="T1437" s="4">
        <v>5</v>
      </c>
      <c r="U1437" s="5" t="s">
        <v>9961</v>
      </c>
      <c r="V1437" s="5" t="s">
        <v>9961</v>
      </c>
      <c r="W1437" s="5" t="s">
        <v>2573</v>
      </c>
      <c r="X1437" s="5" t="s">
        <v>2573</v>
      </c>
      <c r="Y1437" s="4">
        <v>503</v>
      </c>
      <c r="Z1437" s="4">
        <v>468</v>
      </c>
      <c r="AA1437" s="4">
        <v>474</v>
      </c>
      <c r="AB1437" s="4">
        <v>4</v>
      </c>
      <c r="AC1437" s="4">
        <v>4</v>
      </c>
      <c r="AD1437" s="4">
        <v>31</v>
      </c>
      <c r="AE1437" s="4">
        <v>31</v>
      </c>
      <c r="AF1437" s="4">
        <v>15</v>
      </c>
      <c r="AG1437" s="4">
        <v>15</v>
      </c>
      <c r="AH1437" s="4">
        <v>6</v>
      </c>
      <c r="AI1437" s="4">
        <v>6</v>
      </c>
      <c r="AJ1437" s="4">
        <v>14</v>
      </c>
      <c r="AK1437" s="4">
        <v>14</v>
      </c>
      <c r="AL1437" s="4">
        <v>3</v>
      </c>
      <c r="AM1437" s="4">
        <v>3</v>
      </c>
      <c r="AN1437" s="4">
        <v>2</v>
      </c>
      <c r="AO1437" s="4">
        <v>2</v>
      </c>
      <c r="AP1437" s="3" t="s">
        <v>58</v>
      </c>
      <c r="AQ1437" s="3" t="s">
        <v>58</v>
      </c>
      <c r="AS1437" s="6" t="str">
        <f>HYPERLINK("https://creighton-primo.hosted.exlibrisgroup.com/primo-explore/search?tab=default_tab&amp;search_scope=EVERYTHING&amp;vid=01CRU&amp;lang=en_US&amp;offset=0&amp;query=any,contains,991000706109702656","Catalog Record")</f>
        <v>Catalog Record</v>
      </c>
      <c r="AT1437" s="6" t="str">
        <f>HYPERLINK("http://www.worldcat.org/oclc/12557254","WorldCat Record")</f>
        <v>WorldCat Record</v>
      </c>
      <c r="AU1437" s="3" t="s">
        <v>18569</v>
      </c>
      <c r="AV1437" s="3" t="s">
        <v>18570</v>
      </c>
      <c r="AW1437" s="3" t="s">
        <v>18571</v>
      </c>
      <c r="AX1437" s="3" t="s">
        <v>18571</v>
      </c>
      <c r="AY1437" s="3" t="s">
        <v>18572</v>
      </c>
      <c r="AZ1437" s="3" t="s">
        <v>74</v>
      </c>
      <c r="BB1437" s="3" t="s">
        <v>18573</v>
      </c>
      <c r="BC1437" s="3" t="s">
        <v>18574</v>
      </c>
      <c r="BD1437" s="3" t="s">
        <v>18575</v>
      </c>
    </row>
    <row r="1438" spans="1:56" ht="45.75" customHeight="1" x14ac:dyDescent="0.25">
      <c r="A1438" s="7" t="s">
        <v>58</v>
      </c>
      <c r="B1438" s="2" t="s">
        <v>18576</v>
      </c>
      <c r="C1438" s="2" t="s">
        <v>18577</v>
      </c>
      <c r="D1438" s="2" t="s">
        <v>18578</v>
      </c>
      <c r="F1438" s="3" t="s">
        <v>58</v>
      </c>
      <c r="G1438" s="3" t="s">
        <v>59</v>
      </c>
      <c r="H1438" s="3" t="s">
        <v>58</v>
      </c>
      <c r="I1438" s="3" t="s">
        <v>58</v>
      </c>
      <c r="J1438" s="3" t="s">
        <v>60</v>
      </c>
      <c r="K1438" s="2" t="s">
        <v>18579</v>
      </c>
      <c r="L1438" s="2" t="s">
        <v>18580</v>
      </c>
      <c r="M1438" s="3" t="s">
        <v>867</v>
      </c>
      <c r="O1438" s="3" t="s">
        <v>65</v>
      </c>
      <c r="P1438" s="3" t="s">
        <v>84</v>
      </c>
      <c r="R1438" s="3" t="s">
        <v>67</v>
      </c>
      <c r="S1438" s="4">
        <v>11</v>
      </c>
      <c r="T1438" s="4">
        <v>11</v>
      </c>
      <c r="U1438" s="5" t="s">
        <v>18581</v>
      </c>
      <c r="V1438" s="5" t="s">
        <v>18581</v>
      </c>
      <c r="W1438" s="5" t="s">
        <v>18582</v>
      </c>
      <c r="X1438" s="5" t="s">
        <v>18582</v>
      </c>
      <c r="Y1438" s="4">
        <v>421</v>
      </c>
      <c r="Z1438" s="4">
        <v>364</v>
      </c>
      <c r="AA1438" s="4">
        <v>377</v>
      </c>
      <c r="AB1438" s="4">
        <v>3</v>
      </c>
      <c r="AC1438" s="4">
        <v>3</v>
      </c>
      <c r="AD1438" s="4">
        <v>16</v>
      </c>
      <c r="AE1438" s="4">
        <v>16</v>
      </c>
      <c r="AF1438" s="4">
        <v>3</v>
      </c>
      <c r="AG1438" s="4">
        <v>3</v>
      </c>
      <c r="AH1438" s="4">
        <v>4</v>
      </c>
      <c r="AI1438" s="4">
        <v>4</v>
      </c>
      <c r="AJ1438" s="4">
        <v>8</v>
      </c>
      <c r="AK1438" s="4">
        <v>8</v>
      </c>
      <c r="AL1438" s="4">
        <v>2</v>
      </c>
      <c r="AM1438" s="4">
        <v>2</v>
      </c>
      <c r="AN1438" s="4">
        <v>2</v>
      </c>
      <c r="AO1438" s="4">
        <v>2</v>
      </c>
      <c r="AP1438" s="3" t="s">
        <v>58</v>
      </c>
      <c r="AQ1438" s="3" t="s">
        <v>58</v>
      </c>
      <c r="AS1438" s="6" t="str">
        <f>HYPERLINK("https://creighton-primo.hosted.exlibrisgroup.com/primo-explore/search?tab=default_tab&amp;search_scope=EVERYTHING&amp;vid=01CRU&amp;lang=en_US&amp;offset=0&amp;query=any,contains,991002045139702656","Catalog Record")</f>
        <v>Catalog Record</v>
      </c>
      <c r="AT1438" s="6" t="str">
        <f>HYPERLINK("http://www.worldcat.org/oclc/26096694","WorldCat Record")</f>
        <v>WorldCat Record</v>
      </c>
      <c r="AU1438" s="3" t="s">
        <v>18583</v>
      </c>
      <c r="AV1438" s="3" t="s">
        <v>18584</v>
      </c>
      <c r="AW1438" s="3" t="s">
        <v>18585</v>
      </c>
      <c r="AX1438" s="3" t="s">
        <v>18585</v>
      </c>
      <c r="AY1438" s="3" t="s">
        <v>18586</v>
      </c>
      <c r="AZ1438" s="3" t="s">
        <v>74</v>
      </c>
      <c r="BB1438" s="3" t="s">
        <v>18587</v>
      </c>
      <c r="BC1438" s="3" t="s">
        <v>18588</v>
      </c>
      <c r="BD1438" s="3" t="s">
        <v>18589</v>
      </c>
    </row>
    <row r="1439" spans="1:56" ht="45.75" customHeight="1" x14ac:dyDescent="0.25">
      <c r="A1439" s="7" t="s">
        <v>58</v>
      </c>
      <c r="B1439" s="2" t="s">
        <v>18590</v>
      </c>
      <c r="C1439" s="2" t="s">
        <v>18591</v>
      </c>
      <c r="D1439" s="2" t="s">
        <v>18592</v>
      </c>
      <c r="F1439" s="3" t="s">
        <v>58</v>
      </c>
      <c r="G1439" s="3" t="s">
        <v>59</v>
      </c>
      <c r="H1439" s="3" t="s">
        <v>58</v>
      </c>
      <c r="I1439" s="3" t="s">
        <v>58</v>
      </c>
      <c r="J1439" s="3" t="s">
        <v>60</v>
      </c>
      <c r="K1439" s="2" t="s">
        <v>18593</v>
      </c>
      <c r="L1439" s="2" t="s">
        <v>2945</v>
      </c>
      <c r="M1439" s="3" t="s">
        <v>63</v>
      </c>
      <c r="N1439" s="2" t="s">
        <v>18594</v>
      </c>
      <c r="O1439" s="3" t="s">
        <v>65</v>
      </c>
      <c r="P1439" s="3" t="s">
        <v>148</v>
      </c>
      <c r="R1439" s="3" t="s">
        <v>67</v>
      </c>
      <c r="S1439" s="4">
        <v>2</v>
      </c>
      <c r="T1439" s="4">
        <v>2</v>
      </c>
      <c r="U1439" s="5" t="s">
        <v>18595</v>
      </c>
      <c r="V1439" s="5" t="s">
        <v>18595</v>
      </c>
      <c r="W1439" s="5" t="s">
        <v>18596</v>
      </c>
      <c r="X1439" s="5" t="s">
        <v>18596</v>
      </c>
      <c r="Y1439" s="4">
        <v>104</v>
      </c>
      <c r="Z1439" s="4">
        <v>83</v>
      </c>
      <c r="AA1439" s="4">
        <v>604</v>
      </c>
      <c r="AB1439" s="4">
        <v>1</v>
      </c>
      <c r="AC1439" s="4">
        <v>5</v>
      </c>
      <c r="AD1439" s="4">
        <v>6</v>
      </c>
      <c r="AE1439" s="4">
        <v>24</v>
      </c>
      <c r="AF1439" s="4">
        <v>2</v>
      </c>
      <c r="AG1439" s="4">
        <v>9</v>
      </c>
      <c r="AH1439" s="4">
        <v>1</v>
      </c>
      <c r="AI1439" s="4">
        <v>6</v>
      </c>
      <c r="AJ1439" s="4">
        <v>4</v>
      </c>
      <c r="AK1439" s="4">
        <v>12</v>
      </c>
      <c r="AL1439" s="4">
        <v>0</v>
      </c>
      <c r="AM1439" s="4">
        <v>3</v>
      </c>
      <c r="AN1439" s="4">
        <v>0</v>
      </c>
      <c r="AO1439" s="4">
        <v>0</v>
      </c>
      <c r="AP1439" s="3" t="s">
        <v>58</v>
      </c>
      <c r="AQ1439" s="3" t="s">
        <v>58</v>
      </c>
      <c r="AS1439" s="6" t="str">
        <f>HYPERLINK("https://creighton-primo.hosted.exlibrisgroup.com/primo-explore/search?tab=default_tab&amp;search_scope=EVERYTHING&amp;vid=01CRU&amp;lang=en_US&amp;offset=0&amp;query=any,contains,991004651959702656","Catalog Record")</f>
        <v>Catalog Record</v>
      </c>
      <c r="AT1439" s="6" t="str">
        <f>HYPERLINK("http://www.worldcat.org/oclc/56608485","WorldCat Record")</f>
        <v>WorldCat Record</v>
      </c>
      <c r="AU1439" s="3" t="s">
        <v>18597</v>
      </c>
      <c r="AV1439" s="3" t="s">
        <v>18598</v>
      </c>
      <c r="AW1439" s="3" t="s">
        <v>18599</v>
      </c>
      <c r="AX1439" s="3" t="s">
        <v>18599</v>
      </c>
      <c r="AY1439" s="3" t="s">
        <v>18600</v>
      </c>
      <c r="AZ1439" s="3" t="s">
        <v>74</v>
      </c>
      <c r="BB1439" s="3" t="s">
        <v>18601</v>
      </c>
      <c r="BC1439" s="3" t="s">
        <v>18602</v>
      </c>
      <c r="BD1439" s="3" t="s">
        <v>18603</v>
      </c>
    </row>
    <row r="1440" spans="1:56" ht="45.75" customHeight="1" x14ac:dyDescent="0.25">
      <c r="A1440" s="7" t="s">
        <v>58</v>
      </c>
      <c r="B1440" s="2" t="s">
        <v>18604</v>
      </c>
      <c r="C1440" s="2" t="s">
        <v>18605</v>
      </c>
      <c r="D1440" s="2" t="s">
        <v>18606</v>
      </c>
      <c r="F1440" s="3" t="s">
        <v>58</v>
      </c>
      <c r="G1440" s="3" t="s">
        <v>59</v>
      </c>
      <c r="H1440" s="3" t="s">
        <v>58</v>
      </c>
      <c r="I1440" s="3" t="s">
        <v>58</v>
      </c>
      <c r="J1440" s="3" t="s">
        <v>60</v>
      </c>
      <c r="L1440" s="2" t="s">
        <v>18607</v>
      </c>
      <c r="M1440" s="3" t="s">
        <v>1058</v>
      </c>
      <c r="O1440" s="3" t="s">
        <v>65</v>
      </c>
      <c r="P1440" s="3" t="s">
        <v>84</v>
      </c>
      <c r="Q1440" s="2" t="s">
        <v>18608</v>
      </c>
      <c r="R1440" s="3" t="s">
        <v>67</v>
      </c>
      <c r="S1440" s="4">
        <v>7</v>
      </c>
      <c r="T1440" s="4">
        <v>7</v>
      </c>
      <c r="U1440" s="5" t="s">
        <v>18609</v>
      </c>
      <c r="V1440" s="5" t="s">
        <v>18609</v>
      </c>
      <c r="W1440" s="5" t="s">
        <v>2573</v>
      </c>
      <c r="X1440" s="5" t="s">
        <v>2573</v>
      </c>
      <c r="Y1440" s="4">
        <v>374</v>
      </c>
      <c r="Z1440" s="4">
        <v>311</v>
      </c>
      <c r="AA1440" s="4">
        <v>312</v>
      </c>
      <c r="AB1440" s="4">
        <v>2</v>
      </c>
      <c r="AC1440" s="4">
        <v>2</v>
      </c>
      <c r="AD1440" s="4">
        <v>12</v>
      </c>
      <c r="AE1440" s="4">
        <v>12</v>
      </c>
      <c r="AF1440" s="4">
        <v>1</v>
      </c>
      <c r="AG1440" s="4">
        <v>1</v>
      </c>
      <c r="AH1440" s="4">
        <v>4</v>
      </c>
      <c r="AI1440" s="4">
        <v>4</v>
      </c>
      <c r="AJ1440" s="4">
        <v>9</v>
      </c>
      <c r="AK1440" s="4">
        <v>9</v>
      </c>
      <c r="AL1440" s="4">
        <v>1</v>
      </c>
      <c r="AM1440" s="4">
        <v>1</v>
      </c>
      <c r="AN1440" s="4">
        <v>0</v>
      </c>
      <c r="AO1440" s="4">
        <v>0</v>
      </c>
      <c r="AP1440" s="3" t="s">
        <v>58</v>
      </c>
      <c r="AQ1440" s="3" t="s">
        <v>58</v>
      </c>
      <c r="AS1440" s="6" t="str">
        <f>HYPERLINK("https://creighton-primo.hosted.exlibrisgroup.com/primo-explore/search?tab=default_tab&amp;search_scope=EVERYTHING&amp;vid=01CRU&amp;lang=en_US&amp;offset=0&amp;query=any,contains,991001288289702656","Catalog Record")</f>
        <v>Catalog Record</v>
      </c>
      <c r="AT1440" s="6" t="str">
        <f>HYPERLINK("http://www.worldcat.org/oclc/17981212","WorldCat Record")</f>
        <v>WorldCat Record</v>
      </c>
      <c r="AU1440" s="3" t="s">
        <v>18610</v>
      </c>
      <c r="AV1440" s="3" t="s">
        <v>18611</v>
      </c>
      <c r="AW1440" s="3" t="s">
        <v>18612</v>
      </c>
      <c r="AX1440" s="3" t="s">
        <v>18612</v>
      </c>
      <c r="AY1440" s="3" t="s">
        <v>18613</v>
      </c>
      <c r="AZ1440" s="3" t="s">
        <v>74</v>
      </c>
      <c r="BB1440" s="3" t="s">
        <v>18614</v>
      </c>
      <c r="BC1440" s="3" t="s">
        <v>18615</v>
      </c>
      <c r="BD1440" s="3" t="s">
        <v>18616</v>
      </c>
    </row>
    <row r="1441" spans="1:56" ht="45.75" customHeight="1" x14ac:dyDescent="0.25">
      <c r="A1441" s="7" t="s">
        <v>58</v>
      </c>
      <c r="B1441" s="2" t="s">
        <v>18617</v>
      </c>
      <c r="C1441" s="2" t="s">
        <v>18618</v>
      </c>
      <c r="D1441" s="2" t="s">
        <v>18619</v>
      </c>
      <c r="F1441" s="3" t="s">
        <v>58</v>
      </c>
      <c r="G1441" s="3" t="s">
        <v>59</v>
      </c>
      <c r="H1441" s="3" t="s">
        <v>58</v>
      </c>
      <c r="I1441" s="3" t="s">
        <v>87</v>
      </c>
      <c r="J1441" s="3" t="s">
        <v>60</v>
      </c>
      <c r="K1441" s="2" t="s">
        <v>18620</v>
      </c>
      <c r="L1441" s="2" t="s">
        <v>18621</v>
      </c>
      <c r="M1441" s="3" t="s">
        <v>1500</v>
      </c>
      <c r="O1441" s="3" t="s">
        <v>65</v>
      </c>
      <c r="P1441" s="3" t="s">
        <v>336</v>
      </c>
      <c r="Q1441" s="2" t="s">
        <v>18622</v>
      </c>
      <c r="R1441" s="3" t="s">
        <v>67</v>
      </c>
      <c r="S1441" s="4">
        <v>7</v>
      </c>
      <c r="T1441" s="4">
        <v>7</v>
      </c>
      <c r="U1441" s="5" t="s">
        <v>9111</v>
      </c>
      <c r="V1441" s="5" t="s">
        <v>9111</v>
      </c>
      <c r="W1441" s="5" t="s">
        <v>2573</v>
      </c>
      <c r="X1441" s="5" t="s">
        <v>2573</v>
      </c>
      <c r="Y1441" s="4">
        <v>393</v>
      </c>
      <c r="Z1441" s="4">
        <v>322</v>
      </c>
      <c r="AA1441" s="4">
        <v>416</v>
      </c>
      <c r="AB1441" s="4">
        <v>5</v>
      </c>
      <c r="AC1441" s="4">
        <v>5</v>
      </c>
      <c r="AD1441" s="4">
        <v>17</v>
      </c>
      <c r="AE1441" s="4">
        <v>18</v>
      </c>
      <c r="AF1441" s="4">
        <v>5</v>
      </c>
      <c r="AG1441" s="4">
        <v>5</v>
      </c>
      <c r="AH1441" s="4">
        <v>5</v>
      </c>
      <c r="AI1441" s="4">
        <v>6</v>
      </c>
      <c r="AJ1441" s="4">
        <v>5</v>
      </c>
      <c r="AK1441" s="4">
        <v>6</v>
      </c>
      <c r="AL1441" s="4">
        <v>4</v>
      </c>
      <c r="AM1441" s="4">
        <v>4</v>
      </c>
      <c r="AN1441" s="4">
        <v>0</v>
      </c>
      <c r="AO1441" s="4">
        <v>0</v>
      </c>
      <c r="AP1441" s="3" t="s">
        <v>58</v>
      </c>
      <c r="AQ1441" s="3" t="s">
        <v>87</v>
      </c>
      <c r="AR1441" s="6" t="str">
        <f>HYPERLINK("http://catalog.hathitrust.org/Record/000083922","HathiTrust Record")</f>
        <v>HathiTrust Record</v>
      </c>
      <c r="AS1441" s="6" t="str">
        <f>HYPERLINK("https://creighton-primo.hosted.exlibrisgroup.com/primo-explore/search?tab=default_tab&amp;search_scope=EVERYTHING&amp;vid=01CRU&amp;lang=en_US&amp;offset=0&amp;query=any,contains,991004776809702656","Catalog Record")</f>
        <v>Catalog Record</v>
      </c>
      <c r="AT1441" s="6" t="str">
        <f>HYPERLINK("http://www.worldcat.org/oclc/5101450","WorldCat Record")</f>
        <v>WorldCat Record</v>
      </c>
      <c r="AU1441" s="3" t="s">
        <v>18623</v>
      </c>
      <c r="AV1441" s="3" t="s">
        <v>18624</v>
      </c>
      <c r="AW1441" s="3" t="s">
        <v>18625</v>
      </c>
      <c r="AX1441" s="3" t="s">
        <v>18625</v>
      </c>
      <c r="AY1441" s="3" t="s">
        <v>18626</v>
      </c>
      <c r="AZ1441" s="3" t="s">
        <v>74</v>
      </c>
      <c r="BB1441" s="3" t="s">
        <v>18627</v>
      </c>
      <c r="BC1441" s="3" t="s">
        <v>18628</v>
      </c>
      <c r="BD1441" s="3" t="s">
        <v>18629</v>
      </c>
    </row>
    <row r="1442" spans="1:56" ht="45.75" customHeight="1" x14ac:dyDescent="0.25">
      <c r="A1442" s="7" t="s">
        <v>58</v>
      </c>
      <c r="B1442" s="2" t="s">
        <v>18630</v>
      </c>
      <c r="C1442" s="2" t="s">
        <v>18631</v>
      </c>
      <c r="D1442" s="2" t="s">
        <v>18619</v>
      </c>
      <c r="F1442" s="3" t="s">
        <v>58</v>
      </c>
      <c r="G1442" s="3" t="s">
        <v>59</v>
      </c>
      <c r="H1442" s="3" t="s">
        <v>58</v>
      </c>
      <c r="I1442" s="3" t="s">
        <v>87</v>
      </c>
      <c r="J1442" s="3" t="s">
        <v>60</v>
      </c>
      <c r="K1442" s="2" t="s">
        <v>18620</v>
      </c>
      <c r="L1442" s="2" t="s">
        <v>18632</v>
      </c>
      <c r="M1442" s="3" t="s">
        <v>83</v>
      </c>
      <c r="N1442" s="2" t="s">
        <v>64</v>
      </c>
      <c r="O1442" s="3" t="s">
        <v>65</v>
      </c>
      <c r="P1442" s="3" t="s">
        <v>336</v>
      </c>
      <c r="Q1442" s="2" t="s">
        <v>18622</v>
      </c>
      <c r="R1442" s="3" t="s">
        <v>67</v>
      </c>
      <c r="S1442" s="4">
        <v>10</v>
      </c>
      <c r="T1442" s="4">
        <v>10</v>
      </c>
      <c r="U1442" s="5" t="s">
        <v>8960</v>
      </c>
      <c r="V1442" s="5" t="s">
        <v>8960</v>
      </c>
      <c r="W1442" s="5" t="s">
        <v>2573</v>
      </c>
      <c r="X1442" s="5" t="s">
        <v>2573</v>
      </c>
      <c r="Y1442" s="4">
        <v>219</v>
      </c>
      <c r="Z1442" s="4">
        <v>194</v>
      </c>
      <c r="AA1442" s="4">
        <v>416</v>
      </c>
      <c r="AB1442" s="4">
        <v>1</v>
      </c>
      <c r="AC1442" s="4">
        <v>5</v>
      </c>
      <c r="AD1442" s="4">
        <v>5</v>
      </c>
      <c r="AE1442" s="4">
        <v>18</v>
      </c>
      <c r="AF1442" s="4">
        <v>1</v>
      </c>
      <c r="AG1442" s="4">
        <v>5</v>
      </c>
      <c r="AH1442" s="4">
        <v>3</v>
      </c>
      <c r="AI1442" s="4">
        <v>6</v>
      </c>
      <c r="AJ1442" s="4">
        <v>3</v>
      </c>
      <c r="AK1442" s="4">
        <v>6</v>
      </c>
      <c r="AL1442" s="4">
        <v>0</v>
      </c>
      <c r="AM1442" s="4">
        <v>4</v>
      </c>
      <c r="AN1442" s="4">
        <v>0</v>
      </c>
      <c r="AO1442" s="4">
        <v>0</v>
      </c>
      <c r="AP1442" s="3" t="s">
        <v>58</v>
      </c>
      <c r="AQ1442" s="3" t="s">
        <v>58</v>
      </c>
      <c r="AS1442" s="6" t="str">
        <f>HYPERLINK("https://creighton-primo.hosted.exlibrisgroup.com/primo-explore/search?tab=default_tab&amp;search_scope=EVERYTHING&amp;vid=01CRU&amp;lang=en_US&amp;offset=0&amp;query=any,contains,991000605049702656","Catalog Record")</f>
        <v>Catalog Record</v>
      </c>
      <c r="AT1442" s="6" t="str">
        <f>HYPERLINK("http://www.worldcat.org/oclc/11865887","WorldCat Record")</f>
        <v>WorldCat Record</v>
      </c>
      <c r="AU1442" s="3" t="s">
        <v>18623</v>
      </c>
      <c r="AV1442" s="3" t="s">
        <v>18633</v>
      </c>
      <c r="AW1442" s="3" t="s">
        <v>18634</v>
      </c>
      <c r="AX1442" s="3" t="s">
        <v>18634</v>
      </c>
      <c r="AY1442" s="3" t="s">
        <v>18635</v>
      </c>
      <c r="AZ1442" s="3" t="s">
        <v>74</v>
      </c>
      <c r="BB1442" s="3" t="s">
        <v>18636</v>
      </c>
      <c r="BC1442" s="3" t="s">
        <v>18637</v>
      </c>
      <c r="BD1442" s="3" t="s">
        <v>18638</v>
      </c>
    </row>
    <row r="1443" spans="1:56" ht="45.75" customHeight="1" x14ac:dyDescent="0.25">
      <c r="A1443" s="7" t="s">
        <v>58</v>
      </c>
      <c r="B1443" s="2" t="s">
        <v>18639</v>
      </c>
      <c r="C1443" s="2" t="s">
        <v>18640</v>
      </c>
      <c r="D1443" s="2" t="s">
        <v>18641</v>
      </c>
      <c r="F1443" s="3" t="s">
        <v>58</v>
      </c>
      <c r="G1443" s="3" t="s">
        <v>59</v>
      </c>
      <c r="H1443" s="3" t="s">
        <v>58</v>
      </c>
      <c r="I1443" s="3" t="s">
        <v>58</v>
      </c>
      <c r="J1443" s="3" t="s">
        <v>60</v>
      </c>
      <c r="K1443" s="2" t="s">
        <v>18620</v>
      </c>
      <c r="L1443" s="2" t="s">
        <v>18642</v>
      </c>
      <c r="M1443" s="3" t="s">
        <v>528</v>
      </c>
      <c r="O1443" s="3" t="s">
        <v>65</v>
      </c>
      <c r="P1443" s="3" t="s">
        <v>190</v>
      </c>
      <c r="Q1443" s="2" t="s">
        <v>18643</v>
      </c>
      <c r="R1443" s="3" t="s">
        <v>67</v>
      </c>
      <c r="S1443" s="4">
        <v>13</v>
      </c>
      <c r="T1443" s="4">
        <v>13</v>
      </c>
      <c r="U1443" s="5" t="s">
        <v>18644</v>
      </c>
      <c r="V1443" s="5" t="s">
        <v>18644</v>
      </c>
      <c r="W1443" s="5" t="s">
        <v>86</v>
      </c>
      <c r="X1443" s="5" t="s">
        <v>86</v>
      </c>
      <c r="Y1443" s="4">
        <v>287</v>
      </c>
      <c r="Z1443" s="4">
        <v>254</v>
      </c>
      <c r="AA1443" s="4">
        <v>424</v>
      </c>
      <c r="AB1443" s="4">
        <v>1</v>
      </c>
      <c r="AC1443" s="4">
        <v>2</v>
      </c>
      <c r="AD1443" s="4">
        <v>8</v>
      </c>
      <c r="AE1443" s="4">
        <v>14</v>
      </c>
      <c r="AF1443" s="4">
        <v>3</v>
      </c>
      <c r="AG1443" s="4">
        <v>4</v>
      </c>
      <c r="AH1443" s="4">
        <v>1</v>
      </c>
      <c r="AI1443" s="4">
        <v>3</v>
      </c>
      <c r="AJ1443" s="4">
        <v>3</v>
      </c>
      <c r="AK1443" s="4">
        <v>6</v>
      </c>
      <c r="AL1443" s="4">
        <v>0</v>
      </c>
      <c r="AM1443" s="4">
        <v>1</v>
      </c>
      <c r="AN1443" s="4">
        <v>1</v>
      </c>
      <c r="AO1443" s="4">
        <v>1</v>
      </c>
      <c r="AP1443" s="3" t="s">
        <v>58</v>
      </c>
      <c r="AQ1443" s="3" t="s">
        <v>87</v>
      </c>
      <c r="AR1443" s="6" t="str">
        <f>HYPERLINK("http://catalog.hathitrust.org/Record/002437287","HathiTrust Record")</f>
        <v>HathiTrust Record</v>
      </c>
      <c r="AS1443" s="6" t="str">
        <f>HYPERLINK("https://creighton-primo.hosted.exlibrisgroup.com/primo-explore/search?tab=default_tab&amp;search_scope=EVERYTHING&amp;vid=01CRU&amp;lang=en_US&amp;offset=0&amp;query=any,contains,991001550389702656","Catalog Record")</f>
        <v>Catalog Record</v>
      </c>
      <c r="AT1443" s="6" t="str">
        <f>HYPERLINK("http://www.worldcat.org/oclc/20219275","WorldCat Record")</f>
        <v>WorldCat Record</v>
      </c>
      <c r="AU1443" s="3" t="s">
        <v>18645</v>
      </c>
      <c r="AV1443" s="3" t="s">
        <v>18646</v>
      </c>
      <c r="AW1443" s="3" t="s">
        <v>18647</v>
      </c>
      <c r="AX1443" s="3" t="s">
        <v>18647</v>
      </c>
      <c r="AY1443" s="3" t="s">
        <v>18648</v>
      </c>
      <c r="AZ1443" s="3" t="s">
        <v>74</v>
      </c>
      <c r="BB1443" s="3" t="s">
        <v>18649</v>
      </c>
      <c r="BC1443" s="3" t="s">
        <v>18650</v>
      </c>
      <c r="BD1443" s="3" t="s">
        <v>18651</v>
      </c>
    </row>
    <row r="1444" spans="1:56" ht="45.75" customHeight="1" x14ac:dyDescent="0.25">
      <c r="A1444" s="7" t="s">
        <v>58</v>
      </c>
      <c r="B1444" s="2" t="s">
        <v>18652</v>
      </c>
      <c r="C1444" s="2" t="s">
        <v>18653</v>
      </c>
      <c r="D1444" s="2" t="s">
        <v>18654</v>
      </c>
      <c r="F1444" s="3" t="s">
        <v>58</v>
      </c>
      <c r="G1444" s="3" t="s">
        <v>59</v>
      </c>
      <c r="H1444" s="3" t="s">
        <v>58</v>
      </c>
      <c r="I1444" s="3" t="s">
        <v>58</v>
      </c>
      <c r="J1444" s="3" t="s">
        <v>60</v>
      </c>
      <c r="K1444" s="2" t="s">
        <v>18655</v>
      </c>
      <c r="L1444" s="2" t="s">
        <v>18656</v>
      </c>
      <c r="M1444" s="3" t="s">
        <v>203</v>
      </c>
      <c r="O1444" s="3" t="s">
        <v>65</v>
      </c>
      <c r="P1444" s="3" t="s">
        <v>772</v>
      </c>
      <c r="R1444" s="3" t="s">
        <v>67</v>
      </c>
      <c r="S1444" s="4">
        <v>2</v>
      </c>
      <c r="T1444" s="4">
        <v>2</v>
      </c>
      <c r="U1444" s="5" t="s">
        <v>18657</v>
      </c>
      <c r="V1444" s="5" t="s">
        <v>18657</v>
      </c>
      <c r="W1444" s="5" t="s">
        <v>16558</v>
      </c>
      <c r="X1444" s="5" t="s">
        <v>16558</v>
      </c>
      <c r="Y1444" s="4">
        <v>302</v>
      </c>
      <c r="Z1444" s="4">
        <v>258</v>
      </c>
      <c r="AA1444" s="4">
        <v>261</v>
      </c>
      <c r="AB1444" s="4">
        <v>2</v>
      </c>
      <c r="AC1444" s="4">
        <v>2</v>
      </c>
      <c r="AD1444" s="4">
        <v>13</v>
      </c>
      <c r="AE1444" s="4">
        <v>13</v>
      </c>
      <c r="AF1444" s="4">
        <v>5</v>
      </c>
      <c r="AG1444" s="4">
        <v>5</v>
      </c>
      <c r="AH1444" s="4">
        <v>3</v>
      </c>
      <c r="AI1444" s="4">
        <v>3</v>
      </c>
      <c r="AJ1444" s="4">
        <v>8</v>
      </c>
      <c r="AK1444" s="4">
        <v>8</v>
      </c>
      <c r="AL1444" s="4">
        <v>1</v>
      </c>
      <c r="AM1444" s="4">
        <v>1</v>
      </c>
      <c r="AN1444" s="4">
        <v>0</v>
      </c>
      <c r="AO1444" s="4">
        <v>0</v>
      </c>
      <c r="AP1444" s="3" t="s">
        <v>58</v>
      </c>
      <c r="AQ1444" s="3" t="s">
        <v>87</v>
      </c>
      <c r="AR1444" s="6" t="str">
        <f>HYPERLINK("http://catalog.hathitrust.org/Record/004214887","HathiTrust Record")</f>
        <v>HathiTrust Record</v>
      </c>
      <c r="AS1444" s="6" t="str">
        <f>HYPERLINK("https://creighton-primo.hosted.exlibrisgroup.com/primo-explore/search?tab=default_tab&amp;search_scope=EVERYTHING&amp;vid=01CRU&amp;lang=en_US&amp;offset=0&amp;query=any,contains,991003888389702656","Catalog Record")</f>
        <v>Catalog Record</v>
      </c>
      <c r="AT1444" s="6" t="str">
        <f>HYPERLINK("http://www.worldcat.org/oclc/47623869","WorldCat Record")</f>
        <v>WorldCat Record</v>
      </c>
      <c r="AU1444" s="3" t="s">
        <v>18658</v>
      </c>
      <c r="AV1444" s="3" t="s">
        <v>18659</v>
      </c>
      <c r="AW1444" s="3" t="s">
        <v>18660</v>
      </c>
      <c r="AX1444" s="3" t="s">
        <v>18660</v>
      </c>
      <c r="AY1444" s="3" t="s">
        <v>18661</v>
      </c>
      <c r="AZ1444" s="3" t="s">
        <v>74</v>
      </c>
      <c r="BB1444" s="3" t="s">
        <v>18662</v>
      </c>
      <c r="BC1444" s="3" t="s">
        <v>18663</v>
      </c>
      <c r="BD1444" s="3" t="s">
        <v>18664</v>
      </c>
    </row>
    <row r="1445" spans="1:56" ht="45.75" customHeight="1" x14ac:dyDescent="0.25">
      <c r="A1445" s="7" t="s">
        <v>58</v>
      </c>
      <c r="B1445" s="2" t="s">
        <v>18665</v>
      </c>
      <c r="C1445" s="2" t="s">
        <v>18666</v>
      </c>
      <c r="D1445" s="2" t="s">
        <v>18667</v>
      </c>
      <c r="F1445" s="3" t="s">
        <v>58</v>
      </c>
      <c r="G1445" s="3" t="s">
        <v>59</v>
      </c>
      <c r="H1445" s="3" t="s">
        <v>58</v>
      </c>
      <c r="I1445" s="3" t="s">
        <v>58</v>
      </c>
      <c r="J1445" s="3" t="s">
        <v>60</v>
      </c>
      <c r="K1445" s="2" t="s">
        <v>18668</v>
      </c>
      <c r="L1445" s="2" t="s">
        <v>18669</v>
      </c>
      <c r="M1445" s="3" t="s">
        <v>742</v>
      </c>
      <c r="O1445" s="3" t="s">
        <v>65</v>
      </c>
      <c r="P1445" s="3" t="s">
        <v>84</v>
      </c>
      <c r="R1445" s="3" t="s">
        <v>67</v>
      </c>
      <c r="S1445" s="4">
        <v>17</v>
      </c>
      <c r="T1445" s="4">
        <v>17</v>
      </c>
      <c r="U1445" s="5" t="s">
        <v>18670</v>
      </c>
      <c r="V1445" s="5" t="s">
        <v>18670</v>
      </c>
      <c r="W1445" s="5" t="s">
        <v>2573</v>
      </c>
      <c r="X1445" s="5" t="s">
        <v>2573</v>
      </c>
      <c r="Y1445" s="4">
        <v>737</v>
      </c>
      <c r="Z1445" s="4">
        <v>704</v>
      </c>
      <c r="AA1445" s="4">
        <v>712</v>
      </c>
      <c r="AB1445" s="4">
        <v>3</v>
      </c>
      <c r="AC1445" s="4">
        <v>3</v>
      </c>
      <c r="AD1445" s="4">
        <v>40</v>
      </c>
      <c r="AE1445" s="4">
        <v>40</v>
      </c>
      <c r="AF1445" s="4">
        <v>11</v>
      </c>
      <c r="AG1445" s="4">
        <v>11</v>
      </c>
      <c r="AH1445" s="4">
        <v>5</v>
      </c>
      <c r="AI1445" s="4">
        <v>5</v>
      </c>
      <c r="AJ1445" s="4">
        <v>13</v>
      </c>
      <c r="AK1445" s="4">
        <v>13</v>
      </c>
      <c r="AL1445" s="4">
        <v>2</v>
      </c>
      <c r="AM1445" s="4">
        <v>2</v>
      </c>
      <c r="AN1445" s="4">
        <v>15</v>
      </c>
      <c r="AO1445" s="4">
        <v>15</v>
      </c>
      <c r="AP1445" s="3" t="s">
        <v>58</v>
      </c>
      <c r="AQ1445" s="3" t="s">
        <v>87</v>
      </c>
      <c r="AR1445" s="6" t="str">
        <f>HYPERLINK("http://catalog.hathitrust.org/Record/001291180","HathiTrust Record")</f>
        <v>HathiTrust Record</v>
      </c>
      <c r="AS1445" s="6" t="str">
        <f>HYPERLINK("https://creighton-primo.hosted.exlibrisgroup.com/primo-explore/search?tab=default_tab&amp;search_scope=EVERYTHING&amp;vid=01CRU&amp;lang=en_US&amp;offset=0&amp;query=any,contains,991001465369702656","Catalog Record")</f>
        <v>Catalog Record</v>
      </c>
      <c r="AT1445" s="6" t="str">
        <f>HYPERLINK("http://www.worldcat.org/oclc/19509619","WorldCat Record")</f>
        <v>WorldCat Record</v>
      </c>
      <c r="AU1445" s="3" t="s">
        <v>18671</v>
      </c>
      <c r="AV1445" s="3" t="s">
        <v>18672</v>
      </c>
      <c r="AW1445" s="3" t="s">
        <v>18673</v>
      </c>
      <c r="AX1445" s="3" t="s">
        <v>18673</v>
      </c>
      <c r="AY1445" s="3" t="s">
        <v>18674</v>
      </c>
      <c r="AZ1445" s="3" t="s">
        <v>74</v>
      </c>
      <c r="BB1445" s="3" t="s">
        <v>18675</v>
      </c>
      <c r="BC1445" s="3" t="s">
        <v>18676</v>
      </c>
      <c r="BD1445" s="3" t="s">
        <v>18677</v>
      </c>
    </row>
    <row r="1446" spans="1:56" ht="45.75" customHeight="1" x14ac:dyDescent="0.25">
      <c r="A1446" s="7" t="s">
        <v>58</v>
      </c>
      <c r="B1446" s="2" t="s">
        <v>18678</v>
      </c>
      <c r="C1446" s="2" t="s">
        <v>18679</v>
      </c>
      <c r="D1446" s="2" t="s">
        <v>18680</v>
      </c>
      <c r="F1446" s="3" t="s">
        <v>58</v>
      </c>
      <c r="G1446" s="3" t="s">
        <v>59</v>
      </c>
      <c r="H1446" s="3" t="s">
        <v>58</v>
      </c>
      <c r="I1446" s="3" t="s">
        <v>58</v>
      </c>
      <c r="J1446" s="3" t="s">
        <v>60</v>
      </c>
      <c r="K1446" s="2" t="s">
        <v>18681</v>
      </c>
      <c r="L1446" s="2" t="s">
        <v>18682</v>
      </c>
      <c r="M1446" s="3" t="s">
        <v>557</v>
      </c>
      <c r="O1446" s="3" t="s">
        <v>65</v>
      </c>
      <c r="P1446" s="3" t="s">
        <v>84</v>
      </c>
      <c r="R1446" s="3" t="s">
        <v>67</v>
      </c>
      <c r="S1446" s="4">
        <v>14</v>
      </c>
      <c r="T1446" s="4">
        <v>14</v>
      </c>
      <c r="U1446" s="5" t="s">
        <v>18683</v>
      </c>
      <c r="V1446" s="5" t="s">
        <v>18683</v>
      </c>
      <c r="W1446" s="5" t="s">
        <v>3696</v>
      </c>
      <c r="X1446" s="5" t="s">
        <v>3696</v>
      </c>
      <c r="Y1446" s="4">
        <v>1273</v>
      </c>
      <c r="Z1446" s="4">
        <v>1208</v>
      </c>
      <c r="AA1446" s="4">
        <v>1213</v>
      </c>
      <c r="AB1446" s="4">
        <v>9</v>
      </c>
      <c r="AC1446" s="4">
        <v>9</v>
      </c>
      <c r="AD1446" s="4">
        <v>35</v>
      </c>
      <c r="AE1446" s="4">
        <v>35</v>
      </c>
      <c r="AF1446" s="4">
        <v>9</v>
      </c>
      <c r="AG1446" s="4">
        <v>9</v>
      </c>
      <c r="AH1446" s="4">
        <v>7</v>
      </c>
      <c r="AI1446" s="4">
        <v>7</v>
      </c>
      <c r="AJ1446" s="4">
        <v>18</v>
      </c>
      <c r="AK1446" s="4">
        <v>18</v>
      </c>
      <c r="AL1446" s="4">
        <v>7</v>
      </c>
      <c r="AM1446" s="4">
        <v>7</v>
      </c>
      <c r="AN1446" s="4">
        <v>1</v>
      </c>
      <c r="AO1446" s="4">
        <v>1</v>
      </c>
      <c r="AP1446" s="3" t="s">
        <v>58</v>
      </c>
      <c r="AQ1446" s="3" t="s">
        <v>58</v>
      </c>
      <c r="AS1446" s="6" t="str">
        <f>HYPERLINK("https://creighton-primo.hosted.exlibrisgroup.com/primo-explore/search?tab=default_tab&amp;search_scope=EVERYTHING&amp;vid=01CRU&amp;lang=en_US&amp;offset=0&amp;query=any,contains,991002148709702656","Catalog Record")</f>
        <v>Catalog Record</v>
      </c>
      <c r="AT1446" s="6" t="str">
        <f>HYPERLINK("http://www.worldcat.org/oclc/27683323","WorldCat Record")</f>
        <v>WorldCat Record</v>
      </c>
      <c r="AU1446" s="3" t="s">
        <v>18684</v>
      </c>
      <c r="AV1446" s="3" t="s">
        <v>18685</v>
      </c>
      <c r="AW1446" s="3" t="s">
        <v>18686</v>
      </c>
      <c r="AX1446" s="3" t="s">
        <v>18686</v>
      </c>
      <c r="AY1446" s="3" t="s">
        <v>18687</v>
      </c>
      <c r="AZ1446" s="3" t="s">
        <v>74</v>
      </c>
      <c r="BB1446" s="3" t="s">
        <v>18688</v>
      </c>
      <c r="BC1446" s="3" t="s">
        <v>18689</v>
      </c>
      <c r="BD1446" s="3" t="s">
        <v>18690</v>
      </c>
    </row>
    <row r="1447" spans="1:56" ht="45.75" customHeight="1" x14ac:dyDescent="0.25">
      <c r="A1447" s="7" t="s">
        <v>58</v>
      </c>
      <c r="B1447" s="2" t="s">
        <v>18691</v>
      </c>
      <c r="C1447" s="2" t="s">
        <v>18692</v>
      </c>
      <c r="D1447" s="2" t="s">
        <v>18693</v>
      </c>
      <c r="F1447" s="3" t="s">
        <v>58</v>
      </c>
      <c r="G1447" s="3" t="s">
        <v>59</v>
      </c>
      <c r="H1447" s="3" t="s">
        <v>87</v>
      </c>
      <c r="I1447" s="3" t="s">
        <v>58</v>
      </c>
      <c r="J1447" s="3" t="s">
        <v>60</v>
      </c>
      <c r="K1447" s="2" t="s">
        <v>18694</v>
      </c>
      <c r="L1447" s="2" t="s">
        <v>11166</v>
      </c>
      <c r="M1447" s="3" t="s">
        <v>2324</v>
      </c>
      <c r="O1447" s="3" t="s">
        <v>65</v>
      </c>
      <c r="P1447" s="3" t="s">
        <v>587</v>
      </c>
      <c r="R1447" s="3" t="s">
        <v>67</v>
      </c>
      <c r="S1447" s="4">
        <v>7</v>
      </c>
      <c r="T1447" s="4">
        <v>7</v>
      </c>
      <c r="U1447" s="5" t="s">
        <v>3254</v>
      </c>
      <c r="V1447" s="5" t="s">
        <v>3254</v>
      </c>
      <c r="W1447" s="5" t="s">
        <v>2573</v>
      </c>
      <c r="X1447" s="5" t="s">
        <v>18695</v>
      </c>
      <c r="Y1447" s="4">
        <v>785</v>
      </c>
      <c r="Z1447" s="4">
        <v>616</v>
      </c>
      <c r="AA1447" s="4">
        <v>619</v>
      </c>
      <c r="AB1447" s="4">
        <v>5</v>
      </c>
      <c r="AC1447" s="4">
        <v>5</v>
      </c>
      <c r="AD1447" s="4">
        <v>37</v>
      </c>
      <c r="AE1447" s="4">
        <v>37</v>
      </c>
      <c r="AF1447" s="4">
        <v>14</v>
      </c>
      <c r="AG1447" s="4">
        <v>14</v>
      </c>
      <c r="AH1447" s="4">
        <v>11</v>
      </c>
      <c r="AI1447" s="4">
        <v>11</v>
      </c>
      <c r="AJ1447" s="4">
        <v>17</v>
      </c>
      <c r="AK1447" s="4">
        <v>17</v>
      </c>
      <c r="AL1447" s="4">
        <v>2</v>
      </c>
      <c r="AM1447" s="4">
        <v>2</v>
      </c>
      <c r="AN1447" s="4">
        <v>4</v>
      </c>
      <c r="AO1447" s="4">
        <v>4</v>
      </c>
      <c r="AP1447" s="3" t="s">
        <v>58</v>
      </c>
      <c r="AQ1447" s="3" t="s">
        <v>58</v>
      </c>
      <c r="AS1447" s="6" t="str">
        <f>HYPERLINK("https://creighton-primo.hosted.exlibrisgroup.com/primo-explore/search?tab=default_tab&amp;search_scope=EVERYTHING&amp;vid=01CRU&amp;lang=en_US&amp;offset=0&amp;query=any,contains,991001625719702656","Catalog Record")</f>
        <v>Catalog Record</v>
      </c>
      <c r="AT1447" s="6" t="str">
        <f>HYPERLINK("http://www.worldcat.org/oclc/9557397","WorldCat Record")</f>
        <v>WorldCat Record</v>
      </c>
      <c r="AU1447" s="3" t="s">
        <v>18696</v>
      </c>
      <c r="AV1447" s="3" t="s">
        <v>18697</v>
      </c>
      <c r="AW1447" s="3" t="s">
        <v>18698</v>
      </c>
      <c r="AX1447" s="3" t="s">
        <v>18698</v>
      </c>
      <c r="AY1447" s="3" t="s">
        <v>18699</v>
      </c>
      <c r="AZ1447" s="3" t="s">
        <v>74</v>
      </c>
      <c r="BB1447" s="3" t="s">
        <v>18700</v>
      </c>
      <c r="BC1447" s="3" t="s">
        <v>18701</v>
      </c>
      <c r="BD1447" s="3" t="s">
        <v>18702</v>
      </c>
    </row>
    <row r="1448" spans="1:56" ht="45.75" customHeight="1" x14ac:dyDescent="0.25">
      <c r="A1448" s="7" t="s">
        <v>58</v>
      </c>
      <c r="B1448" s="2" t="s">
        <v>18703</v>
      </c>
      <c r="C1448" s="2" t="s">
        <v>18704</v>
      </c>
      <c r="D1448" s="2" t="s">
        <v>18705</v>
      </c>
      <c r="F1448" s="3" t="s">
        <v>58</v>
      </c>
      <c r="G1448" s="3" t="s">
        <v>59</v>
      </c>
      <c r="H1448" s="3" t="s">
        <v>58</v>
      </c>
      <c r="I1448" s="3" t="s">
        <v>58</v>
      </c>
      <c r="J1448" s="3" t="s">
        <v>60</v>
      </c>
      <c r="K1448" s="2" t="s">
        <v>18706</v>
      </c>
      <c r="L1448" s="2" t="s">
        <v>18707</v>
      </c>
      <c r="M1448" s="3" t="s">
        <v>800</v>
      </c>
      <c r="O1448" s="3" t="s">
        <v>65</v>
      </c>
      <c r="P1448" s="3" t="s">
        <v>132</v>
      </c>
      <c r="R1448" s="3" t="s">
        <v>67</v>
      </c>
      <c r="S1448" s="4">
        <v>10</v>
      </c>
      <c r="T1448" s="4">
        <v>10</v>
      </c>
      <c r="U1448" s="5" t="s">
        <v>18708</v>
      </c>
      <c r="V1448" s="5" t="s">
        <v>18708</v>
      </c>
      <c r="W1448" s="5" t="s">
        <v>18709</v>
      </c>
      <c r="X1448" s="5" t="s">
        <v>18709</v>
      </c>
      <c r="Y1448" s="4">
        <v>560</v>
      </c>
      <c r="Z1448" s="4">
        <v>440</v>
      </c>
      <c r="AA1448" s="4">
        <v>447</v>
      </c>
      <c r="AB1448" s="4">
        <v>3</v>
      </c>
      <c r="AC1448" s="4">
        <v>3</v>
      </c>
      <c r="AD1448" s="4">
        <v>26</v>
      </c>
      <c r="AE1448" s="4">
        <v>26</v>
      </c>
      <c r="AF1448" s="4">
        <v>6</v>
      </c>
      <c r="AG1448" s="4">
        <v>6</v>
      </c>
      <c r="AH1448" s="4">
        <v>6</v>
      </c>
      <c r="AI1448" s="4">
        <v>6</v>
      </c>
      <c r="AJ1448" s="4">
        <v>11</v>
      </c>
      <c r="AK1448" s="4">
        <v>11</v>
      </c>
      <c r="AL1448" s="4">
        <v>2</v>
      </c>
      <c r="AM1448" s="4">
        <v>2</v>
      </c>
      <c r="AN1448" s="4">
        <v>4</v>
      </c>
      <c r="AO1448" s="4">
        <v>4</v>
      </c>
      <c r="AP1448" s="3" t="s">
        <v>58</v>
      </c>
      <c r="AQ1448" s="3" t="s">
        <v>87</v>
      </c>
      <c r="AR1448" s="6" t="str">
        <f>HYPERLINK("http://catalog.hathitrust.org/Record/002458628","HathiTrust Record")</f>
        <v>HathiTrust Record</v>
      </c>
      <c r="AS1448" s="6" t="str">
        <f>HYPERLINK("https://creighton-primo.hosted.exlibrisgroup.com/primo-explore/search?tab=default_tab&amp;search_scope=EVERYTHING&amp;vid=01CRU&amp;lang=en_US&amp;offset=0&amp;query=any,contains,991001837789702656","Catalog Record")</f>
        <v>Catalog Record</v>
      </c>
      <c r="AT1448" s="6" t="str">
        <f>HYPERLINK("http://www.worldcat.org/oclc/23081937","WorldCat Record")</f>
        <v>WorldCat Record</v>
      </c>
      <c r="AU1448" s="3" t="s">
        <v>18710</v>
      </c>
      <c r="AV1448" s="3" t="s">
        <v>18711</v>
      </c>
      <c r="AW1448" s="3" t="s">
        <v>18712</v>
      </c>
      <c r="AX1448" s="3" t="s">
        <v>18712</v>
      </c>
      <c r="AY1448" s="3" t="s">
        <v>18713</v>
      </c>
      <c r="AZ1448" s="3" t="s">
        <v>74</v>
      </c>
      <c r="BB1448" s="3" t="s">
        <v>18714</v>
      </c>
      <c r="BC1448" s="3" t="s">
        <v>18715</v>
      </c>
      <c r="BD1448" s="3" t="s">
        <v>18716</v>
      </c>
    </row>
    <row r="1449" spans="1:56" ht="45.75" customHeight="1" x14ac:dyDescent="0.25">
      <c r="A1449" s="7" t="s">
        <v>58</v>
      </c>
      <c r="B1449" s="2" t="s">
        <v>18717</v>
      </c>
      <c r="C1449" s="2" t="s">
        <v>18718</v>
      </c>
      <c r="D1449" s="2" t="s">
        <v>18719</v>
      </c>
      <c r="F1449" s="3" t="s">
        <v>58</v>
      </c>
      <c r="G1449" s="3" t="s">
        <v>59</v>
      </c>
      <c r="H1449" s="3" t="s">
        <v>87</v>
      </c>
      <c r="I1449" s="3" t="s">
        <v>58</v>
      </c>
      <c r="J1449" s="3" t="s">
        <v>60</v>
      </c>
      <c r="K1449" s="2" t="s">
        <v>18706</v>
      </c>
      <c r="L1449" s="2" t="s">
        <v>3944</v>
      </c>
      <c r="M1449" s="3" t="s">
        <v>307</v>
      </c>
      <c r="O1449" s="3" t="s">
        <v>65</v>
      </c>
      <c r="P1449" s="3" t="s">
        <v>587</v>
      </c>
      <c r="R1449" s="3" t="s">
        <v>67</v>
      </c>
      <c r="S1449" s="4">
        <v>11</v>
      </c>
      <c r="T1449" s="4">
        <v>12</v>
      </c>
      <c r="U1449" s="5" t="s">
        <v>18720</v>
      </c>
      <c r="V1449" s="5" t="s">
        <v>5939</v>
      </c>
      <c r="W1449" s="5" t="s">
        <v>351</v>
      </c>
      <c r="X1449" s="5" t="s">
        <v>18721</v>
      </c>
      <c r="Y1449" s="4">
        <v>897</v>
      </c>
      <c r="Z1449" s="4">
        <v>811</v>
      </c>
      <c r="AA1449" s="4">
        <v>960</v>
      </c>
      <c r="AB1449" s="4">
        <v>6</v>
      </c>
      <c r="AC1449" s="4">
        <v>6</v>
      </c>
      <c r="AD1449" s="4">
        <v>43</v>
      </c>
      <c r="AE1449" s="4">
        <v>48</v>
      </c>
      <c r="AF1449" s="4">
        <v>14</v>
      </c>
      <c r="AG1449" s="4">
        <v>18</v>
      </c>
      <c r="AH1449" s="4">
        <v>7</v>
      </c>
      <c r="AI1449" s="4">
        <v>9</v>
      </c>
      <c r="AJ1449" s="4">
        <v>15</v>
      </c>
      <c r="AK1449" s="4">
        <v>15</v>
      </c>
      <c r="AL1449" s="4">
        <v>4</v>
      </c>
      <c r="AM1449" s="4">
        <v>4</v>
      </c>
      <c r="AN1449" s="4">
        <v>11</v>
      </c>
      <c r="AO1449" s="4">
        <v>11</v>
      </c>
      <c r="AP1449" s="3" t="s">
        <v>58</v>
      </c>
      <c r="AQ1449" s="3" t="s">
        <v>58</v>
      </c>
      <c r="AS1449" s="6" t="str">
        <f>HYPERLINK("https://creighton-primo.hosted.exlibrisgroup.com/primo-explore/search?tab=default_tab&amp;search_scope=EVERYTHING&amp;vid=01CRU&amp;lang=en_US&amp;offset=0&amp;query=any,contains,991001667279702656","Catalog Record")</f>
        <v>Catalog Record</v>
      </c>
      <c r="AT1449" s="6" t="str">
        <f>HYPERLINK("http://www.worldcat.org/oclc/32510916","WorldCat Record")</f>
        <v>WorldCat Record</v>
      </c>
      <c r="AU1449" s="3" t="s">
        <v>18722</v>
      </c>
      <c r="AV1449" s="3" t="s">
        <v>18723</v>
      </c>
      <c r="AW1449" s="3" t="s">
        <v>18724</v>
      </c>
      <c r="AX1449" s="3" t="s">
        <v>18724</v>
      </c>
      <c r="AY1449" s="3" t="s">
        <v>18725</v>
      </c>
      <c r="AZ1449" s="3" t="s">
        <v>74</v>
      </c>
      <c r="BB1449" s="3" t="s">
        <v>18726</v>
      </c>
      <c r="BC1449" s="3" t="s">
        <v>18727</v>
      </c>
      <c r="BD1449" s="3" t="s">
        <v>18728</v>
      </c>
    </row>
    <row r="1450" spans="1:56" ht="45.75" customHeight="1" x14ac:dyDescent="0.25">
      <c r="A1450" s="7" t="s">
        <v>58</v>
      </c>
      <c r="B1450" s="2" t="s">
        <v>18729</v>
      </c>
      <c r="C1450" s="2" t="s">
        <v>18730</v>
      </c>
      <c r="D1450" s="2" t="s">
        <v>18731</v>
      </c>
      <c r="F1450" s="3" t="s">
        <v>58</v>
      </c>
      <c r="G1450" s="3" t="s">
        <v>59</v>
      </c>
      <c r="H1450" s="3" t="s">
        <v>58</v>
      </c>
      <c r="I1450" s="3" t="s">
        <v>58</v>
      </c>
      <c r="J1450" s="3" t="s">
        <v>60</v>
      </c>
      <c r="K1450" s="2" t="s">
        <v>18732</v>
      </c>
      <c r="L1450" s="2" t="s">
        <v>18733</v>
      </c>
      <c r="M1450" s="3" t="s">
        <v>263</v>
      </c>
      <c r="O1450" s="3" t="s">
        <v>65</v>
      </c>
      <c r="P1450" s="3" t="s">
        <v>132</v>
      </c>
      <c r="Q1450" s="2" t="s">
        <v>4829</v>
      </c>
      <c r="R1450" s="3" t="s">
        <v>67</v>
      </c>
      <c r="S1450" s="4">
        <v>1</v>
      </c>
      <c r="T1450" s="4">
        <v>1</v>
      </c>
      <c r="U1450" s="5" t="s">
        <v>16874</v>
      </c>
      <c r="V1450" s="5" t="s">
        <v>16874</v>
      </c>
      <c r="W1450" s="5" t="s">
        <v>18734</v>
      </c>
      <c r="X1450" s="5" t="s">
        <v>18734</v>
      </c>
      <c r="Y1450" s="4">
        <v>733</v>
      </c>
      <c r="Z1450" s="4">
        <v>693</v>
      </c>
      <c r="AA1450" s="4">
        <v>1439</v>
      </c>
      <c r="AB1450" s="4">
        <v>5</v>
      </c>
      <c r="AC1450" s="4">
        <v>7</v>
      </c>
      <c r="AD1450" s="4">
        <v>27</v>
      </c>
      <c r="AE1450" s="4">
        <v>33</v>
      </c>
      <c r="AF1450" s="4">
        <v>10</v>
      </c>
      <c r="AG1450" s="4">
        <v>14</v>
      </c>
      <c r="AH1450" s="4">
        <v>5</v>
      </c>
      <c r="AI1450" s="4">
        <v>6</v>
      </c>
      <c r="AJ1450" s="4">
        <v>12</v>
      </c>
      <c r="AK1450" s="4">
        <v>14</v>
      </c>
      <c r="AL1450" s="4">
        <v>4</v>
      </c>
      <c r="AM1450" s="4">
        <v>5</v>
      </c>
      <c r="AN1450" s="4">
        <v>0</v>
      </c>
      <c r="AO1450" s="4">
        <v>0</v>
      </c>
      <c r="AP1450" s="3" t="s">
        <v>58</v>
      </c>
      <c r="AQ1450" s="3" t="s">
        <v>87</v>
      </c>
      <c r="AR1450" s="6" t="str">
        <f>HYPERLINK("http://catalog.hathitrust.org/Record/003124892","HathiTrust Record")</f>
        <v>HathiTrust Record</v>
      </c>
      <c r="AS1450" s="6" t="str">
        <f>HYPERLINK("https://creighton-primo.hosted.exlibrisgroup.com/primo-explore/search?tab=default_tab&amp;search_scope=EVERYTHING&amp;vid=01CRU&amp;lang=en_US&amp;offset=0&amp;query=any,contains,991002832959702656","Catalog Record")</f>
        <v>Catalog Record</v>
      </c>
      <c r="AT1450" s="6" t="str">
        <f>HYPERLINK("http://www.worldcat.org/oclc/35792351","WorldCat Record")</f>
        <v>WorldCat Record</v>
      </c>
      <c r="AU1450" s="3" t="s">
        <v>18735</v>
      </c>
      <c r="AV1450" s="3" t="s">
        <v>18736</v>
      </c>
      <c r="AW1450" s="3" t="s">
        <v>18737</v>
      </c>
      <c r="AX1450" s="3" t="s">
        <v>18737</v>
      </c>
      <c r="AY1450" s="3" t="s">
        <v>18738</v>
      </c>
      <c r="AZ1450" s="3" t="s">
        <v>74</v>
      </c>
      <c r="BB1450" s="3" t="s">
        <v>18739</v>
      </c>
      <c r="BC1450" s="3" t="s">
        <v>18740</v>
      </c>
      <c r="BD1450" s="3" t="s">
        <v>18741</v>
      </c>
    </row>
    <row r="1451" spans="1:56" ht="45.75" customHeight="1" x14ac:dyDescent="0.25">
      <c r="A1451" s="7" t="s">
        <v>58</v>
      </c>
      <c r="B1451" s="2" t="s">
        <v>18742</v>
      </c>
      <c r="C1451" s="2" t="s">
        <v>18743</v>
      </c>
      <c r="D1451" s="2" t="s">
        <v>18744</v>
      </c>
      <c r="F1451" s="3" t="s">
        <v>58</v>
      </c>
      <c r="G1451" s="3" t="s">
        <v>59</v>
      </c>
      <c r="H1451" s="3" t="s">
        <v>58</v>
      </c>
      <c r="I1451" s="3" t="s">
        <v>58</v>
      </c>
      <c r="J1451" s="3" t="s">
        <v>60</v>
      </c>
      <c r="L1451" s="2" t="s">
        <v>18745</v>
      </c>
      <c r="M1451" s="3" t="s">
        <v>867</v>
      </c>
      <c r="O1451" s="3" t="s">
        <v>65</v>
      </c>
      <c r="P1451" s="3" t="s">
        <v>132</v>
      </c>
      <c r="R1451" s="3" t="s">
        <v>67</v>
      </c>
      <c r="S1451" s="4">
        <v>12</v>
      </c>
      <c r="T1451" s="4">
        <v>12</v>
      </c>
      <c r="U1451" s="5" t="s">
        <v>18746</v>
      </c>
      <c r="V1451" s="5" t="s">
        <v>18746</v>
      </c>
      <c r="W1451" s="5" t="s">
        <v>869</v>
      </c>
      <c r="X1451" s="5" t="s">
        <v>869</v>
      </c>
      <c r="Y1451" s="4">
        <v>494</v>
      </c>
      <c r="Z1451" s="4">
        <v>370</v>
      </c>
      <c r="AA1451" s="4">
        <v>430</v>
      </c>
      <c r="AB1451" s="4">
        <v>1</v>
      </c>
      <c r="AC1451" s="4">
        <v>2</v>
      </c>
      <c r="AD1451" s="4">
        <v>21</v>
      </c>
      <c r="AE1451" s="4">
        <v>23</v>
      </c>
      <c r="AF1451" s="4">
        <v>9</v>
      </c>
      <c r="AG1451" s="4">
        <v>9</v>
      </c>
      <c r="AH1451" s="4">
        <v>6</v>
      </c>
      <c r="AI1451" s="4">
        <v>7</v>
      </c>
      <c r="AJ1451" s="4">
        <v>12</v>
      </c>
      <c r="AK1451" s="4">
        <v>13</v>
      </c>
      <c r="AL1451" s="4">
        <v>0</v>
      </c>
      <c r="AM1451" s="4">
        <v>1</v>
      </c>
      <c r="AN1451" s="4">
        <v>0</v>
      </c>
      <c r="AO1451" s="4">
        <v>0</v>
      </c>
      <c r="AP1451" s="3" t="s">
        <v>58</v>
      </c>
      <c r="AQ1451" s="3" t="s">
        <v>87</v>
      </c>
      <c r="AR1451" s="6" t="str">
        <f>HYPERLINK("http://catalog.hathitrust.org/Record/002645085","HathiTrust Record")</f>
        <v>HathiTrust Record</v>
      </c>
      <c r="AS1451" s="6" t="str">
        <f>HYPERLINK("https://creighton-primo.hosted.exlibrisgroup.com/primo-explore/search?tab=default_tab&amp;search_scope=EVERYTHING&amp;vid=01CRU&amp;lang=en_US&amp;offset=0&amp;query=any,contains,991001987049702656","Catalog Record")</f>
        <v>Catalog Record</v>
      </c>
      <c r="AT1451" s="6" t="str">
        <f>HYPERLINK("http://www.worldcat.org/oclc/25246120","WorldCat Record")</f>
        <v>WorldCat Record</v>
      </c>
      <c r="AU1451" s="3" t="s">
        <v>18747</v>
      </c>
      <c r="AV1451" s="3" t="s">
        <v>18748</v>
      </c>
      <c r="AW1451" s="3" t="s">
        <v>18749</v>
      </c>
      <c r="AX1451" s="3" t="s">
        <v>18749</v>
      </c>
      <c r="AY1451" s="3" t="s">
        <v>18750</v>
      </c>
      <c r="AZ1451" s="3" t="s">
        <v>74</v>
      </c>
      <c r="BB1451" s="3" t="s">
        <v>18751</v>
      </c>
      <c r="BC1451" s="3" t="s">
        <v>18752</v>
      </c>
      <c r="BD1451" s="3" t="s">
        <v>18753</v>
      </c>
    </row>
    <row r="1452" spans="1:56" ht="45.75" customHeight="1" x14ac:dyDescent="0.25">
      <c r="A1452" s="7" t="s">
        <v>58</v>
      </c>
      <c r="B1452" s="2" t="s">
        <v>18754</v>
      </c>
      <c r="C1452" s="2" t="s">
        <v>18755</v>
      </c>
      <c r="D1452" s="2" t="s">
        <v>18756</v>
      </c>
      <c r="F1452" s="3" t="s">
        <v>58</v>
      </c>
      <c r="G1452" s="3" t="s">
        <v>59</v>
      </c>
      <c r="H1452" s="3" t="s">
        <v>58</v>
      </c>
      <c r="I1452" s="3" t="s">
        <v>58</v>
      </c>
      <c r="J1452" s="3" t="s">
        <v>60</v>
      </c>
      <c r="L1452" s="2" t="s">
        <v>18757</v>
      </c>
      <c r="M1452" s="3" t="s">
        <v>63</v>
      </c>
      <c r="O1452" s="3" t="s">
        <v>65</v>
      </c>
      <c r="P1452" s="3" t="s">
        <v>84</v>
      </c>
      <c r="R1452" s="3" t="s">
        <v>67</v>
      </c>
      <c r="S1452" s="4">
        <v>3</v>
      </c>
      <c r="T1452" s="4">
        <v>3</v>
      </c>
      <c r="U1452" s="5" t="s">
        <v>5474</v>
      </c>
      <c r="V1452" s="5" t="s">
        <v>5474</v>
      </c>
      <c r="W1452" s="5" t="s">
        <v>2866</v>
      </c>
      <c r="X1452" s="5" t="s">
        <v>2866</v>
      </c>
      <c r="Y1452" s="4">
        <v>111</v>
      </c>
      <c r="Z1452" s="4">
        <v>87</v>
      </c>
      <c r="AA1452" s="4">
        <v>109</v>
      </c>
      <c r="AB1452" s="4">
        <v>1</v>
      </c>
      <c r="AC1452" s="4">
        <v>1</v>
      </c>
      <c r="AD1452" s="4">
        <v>3</v>
      </c>
      <c r="AE1452" s="4">
        <v>3</v>
      </c>
      <c r="AF1452" s="4">
        <v>0</v>
      </c>
      <c r="AG1452" s="4">
        <v>0</v>
      </c>
      <c r="AH1452" s="4">
        <v>1</v>
      </c>
      <c r="AI1452" s="4">
        <v>1</v>
      </c>
      <c r="AJ1452" s="4">
        <v>3</v>
      </c>
      <c r="AK1452" s="4">
        <v>3</v>
      </c>
      <c r="AL1452" s="4">
        <v>0</v>
      </c>
      <c r="AM1452" s="4">
        <v>0</v>
      </c>
      <c r="AN1452" s="4">
        <v>0</v>
      </c>
      <c r="AO1452" s="4">
        <v>0</v>
      </c>
      <c r="AP1452" s="3" t="s">
        <v>58</v>
      </c>
      <c r="AQ1452" s="3" t="s">
        <v>58</v>
      </c>
      <c r="AS1452" s="6" t="str">
        <f>HYPERLINK("https://creighton-primo.hosted.exlibrisgroup.com/primo-explore/search?tab=default_tab&amp;search_scope=EVERYTHING&amp;vid=01CRU&amp;lang=en_US&amp;offset=0&amp;query=any,contains,991004924479702656","Catalog Record")</f>
        <v>Catalog Record</v>
      </c>
      <c r="AT1452" s="6" t="str">
        <f>HYPERLINK("http://www.worldcat.org/oclc/61687595","WorldCat Record")</f>
        <v>WorldCat Record</v>
      </c>
      <c r="AU1452" s="3" t="s">
        <v>18758</v>
      </c>
      <c r="AV1452" s="3" t="s">
        <v>18759</v>
      </c>
      <c r="AW1452" s="3" t="s">
        <v>18760</v>
      </c>
      <c r="AX1452" s="3" t="s">
        <v>18760</v>
      </c>
      <c r="AY1452" s="3" t="s">
        <v>18761</v>
      </c>
      <c r="AZ1452" s="3" t="s">
        <v>74</v>
      </c>
      <c r="BB1452" s="3" t="s">
        <v>18762</v>
      </c>
      <c r="BC1452" s="3" t="s">
        <v>18763</v>
      </c>
      <c r="BD1452" s="3" t="s">
        <v>18764</v>
      </c>
    </row>
    <row r="1453" spans="1:56" ht="45.75" customHeight="1" x14ac:dyDescent="0.25">
      <c r="A1453" s="7" t="s">
        <v>58</v>
      </c>
      <c r="B1453" s="2" t="s">
        <v>18765</v>
      </c>
      <c r="C1453" s="2" t="s">
        <v>18766</v>
      </c>
      <c r="D1453" s="2" t="s">
        <v>18767</v>
      </c>
      <c r="F1453" s="3" t="s">
        <v>58</v>
      </c>
      <c r="G1453" s="3" t="s">
        <v>59</v>
      </c>
      <c r="H1453" s="3" t="s">
        <v>58</v>
      </c>
      <c r="I1453" s="3" t="s">
        <v>58</v>
      </c>
      <c r="J1453" s="3" t="s">
        <v>60</v>
      </c>
      <c r="K1453" s="2" t="s">
        <v>18768</v>
      </c>
      <c r="L1453" s="2" t="s">
        <v>18769</v>
      </c>
      <c r="M1453" s="3" t="s">
        <v>1088</v>
      </c>
      <c r="O1453" s="3" t="s">
        <v>65</v>
      </c>
      <c r="P1453" s="3" t="s">
        <v>148</v>
      </c>
      <c r="R1453" s="3" t="s">
        <v>67</v>
      </c>
      <c r="S1453" s="4">
        <v>6</v>
      </c>
      <c r="T1453" s="4">
        <v>6</v>
      </c>
      <c r="U1453" s="5" t="s">
        <v>9111</v>
      </c>
      <c r="V1453" s="5" t="s">
        <v>9111</v>
      </c>
      <c r="W1453" s="5" t="s">
        <v>2573</v>
      </c>
      <c r="X1453" s="5" t="s">
        <v>2573</v>
      </c>
      <c r="Y1453" s="4">
        <v>679</v>
      </c>
      <c r="Z1453" s="4">
        <v>625</v>
      </c>
      <c r="AA1453" s="4">
        <v>627</v>
      </c>
      <c r="AB1453" s="4">
        <v>4</v>
      </c>
      <c r="AC1453" s="4">
        <v>4</v>
      </c>
      <c r="AD1453" s="4">
        <v>24</v>
      </c>
      <c r="AE1453" s="4">
        <v>24</v>
      </c>
      <c r="AF1453" s="4">
        <v>9</v>
      </c>
      <c r="AG1453" s="4">
        <v>9</v>
      </c>
      <c r="AH1453" s="4">
        <v>5</v>
      </c>
      <c r="AI1453" s="4">
        <v>5</v>
      </c>
      <c r="AJ1453" s="4">
        <v>15</v>
      </c>
      <c r="AK1453" s="4">
        <v>15</v>
      </c>
      <c r="AL1453" s="4">
        <v>3</v>
      </c>
      <c r="AM1453" s="4">
        <v>3</v>
      </c>
      <c r="AN1453" s="4">
        <v>0</v>
      </c>
      <c r="AO1453" s="4">
        <v>0</v>
      </c>
      <c r="AP1453" s="3" t="s">
        <v>58</v>
      </c>
      <c r="AQ1453" s="3" t="s">
        <v>87</v>
      </c>
      <c r="AR1453" s="6" t="str">
        <f>HYPERLINK("http://catalog.hathitrust.org/Record/000574455","HathiTrust Record")</f>
        <v>HathiTrust Record</v>
      </c>
      <c r="AS1453" s="6" t="str">
        <f>HYPERLINK("https://creighton-primo.hosted.exlibrisgroup.com/primo-explore/search?tab=default_tab&amp;search_scope=EVERYTHING&amp;vid=01CRU&amp;lang=en_US&amp;offset=0&amp;query=any,contains,991000631259702656","Catalog Record")</f>
        <v>Catalog Record</v>
      </c>
      <c r="AT1453" s="6" t="str">
        <f>HYPERLINK("http://www.worldcat.org/oclc/12052556","WorldCat Record")</f>
        <v>WorldCat Record</v>
      </c>
      <c r="AU1453" s="3" t="s">
        <v>18770</v>
      </c>
      <c r="AV1453" s="3" t="s">
        <v>18771</v>
      </c>
      <c r="AW1453" s="3" t="s">
        <v>18772</v>
      </c>
      <c r="AX1453" s="3" t="s">
        <v>18772</v>
      </c>
      <c r="AY1453" s="3" t="s">
        <v>18773</v>
      </c>
      <c r="AZ1453" s="3" t="s">
        <v>74</v>
      </c>
      <c r="BB1453" s="3" t="s">
        <v>18774</v>
      </c>
      <c r="BC1453" s="3" t="s">
        <v>18775</v>
      </c>
      <c r="BD1453" s="3" t="s">
        <v>18776</v>
      </c>
    </row>
    <row r="1454" spans="1:56" ht="45.75" customHeight="1" x14ac:dyDescent="0.25">
      <c r="A1454" s="7" t="s">
        <v>58</v>
      </c>
      <c r="B1454" s="2" t="s">
        <v>18777</v>
      </c>
      <c r="C1454" s="2" t="s">
        <v>18778</v>
      </c>
      <c r="D1454" s="2" t="s">
        <v>18779</v>
      </c>
      <c r="F1454" s="3" t="s">
        <v>58</v>
      </c>
      <c r="G1454" s="3" t="s">
        <v>59</v>
      </c>
      <c r="H1454" s="3" t="s">
        <v>58</v>
      </c>
      <c r="I1454" s="3" t="s">
        <v>58</v>
      </c>
      <c r="J1454" s="3" t="s">
        <v>60</v>
      </c>
      <c r="K1454" s="2" t="s">
        <v>3192</v>
      </c>
      <c r="L1454" s="2" t="s">
        <v>17019</v>
      </c>
      <c r="M1454" s="3" t="s">
        <v>220</v>
      </c>
      <c r="N1454" s="2" t="s">
        <v>64</v>
      </c>
      <c r="O1454" s="3" t="s">
        <v>65</v>
      </c>
      <c r="P1454" s="3" t="s">
        <v>132</v>
      </c>
      <c r="Q1454" s="2" t="s">
        <v>18780</v>
      </c>
      <c r="R1454" s="3" t="s">
        <v>67</v>
      </c>
      <c r="S1454" s="4">
        <v>2</v>
      </c>
      <c r="T1454" s="4">
        <v>2</v>
      </c>
      <c r="U1454" s="5" t="s">
        <v>18380</v>
      </c>
      <c r="V1454" s="5" t="s">
        <v>18380</v>
      </c>
      <c r="W1454" s="5" t="s">
        <v>18781</v>
      </c>
      <c r="X1454" s="5" t="s">
        <v>18781</v>
      </c>
      <c r="Y1454" s="4">
        <v>320</v>
      </c>
      <c r="Z1454" s="4">
        <v>248</v>
      </c>
      <c r="AA1454" s="4">
        <v>527</v>
      </c>
      <c r="AB1454" s="4">
        <v>3</v>
      </c>
      <c r="AC1454" s="4">
        <v>4</v>
      </c>
      <c r="AD1454" s="4">
        <v>11</v>
      </c>
      <c r="AE1454" s="4">
        <v>23</v>
      </c>
      <c r="AF1454" s="4">
        <v>4</v>
      </c>
      <c r="AG1454" s="4">
        <v>9</v>
      </c>
      <c r="AH1454" s="4">
        <v>1</v>
      </c>
      <c r="AI1454" s="4">
        <v>4</v>
      </c>
      <c r="AJ1454" s="4">
        <v>7</v>
      </c>
      <c r="AK1454" s="4">
        <v>13</v>
      </c>
      <c r="AL1454" s="4">
        <v>2</v>
      </c>
      <c r="AM1454" s="4">
        <v>3</v>
      </c>
      <c r="AN1454" s="4">
        <v>0</v>
      </c>
      <c r="AO1454" s="4">
        <v>0</v>
      </c>
      <c r="AP1454" s="3" t="s">
        <v>58</v>
      </c>
      <c r="AQ1454" s="3" t="s">
        <v>87</v>
      </c>
      <c r="AR1454" s="6" t="str">
        <f>HYPERLINK("http://catalog.hathitrust.org/Record/004017579","HathiTrust Record")</f>
        <v>HathiTrust Record</v>
      </c>
      <c r="AS1454" s="6" t="str">
        <f>HYPERLINK("https://creighton-primo.hosted.exlibrisgroup.com/primo-explore/search?tab=default_tab&amp;search_scope=EVERYTHING&amp;vid=01CRU&amp;lang=en_US&amp;offset=0&amp;query=any,contains,991003330159702656","Catalog Record")</f>
        <v>Catalog Record</v>
      </c>
      <c r="AT1454" s="6" t="str">
        <f>HYPERLINK("http://www.worldcat.org/oclc/39539414","WorldCat Record")</f>
        <v>WorldCat Record</v>
      </c>
      <c r="AU1454" s="3" t="s">
        <v>18782</v>
      </c>
      <c r="AV1454" s="3" t="s">
        <v>18783</v>
      </c>
      <c r="AW1454" s="3" t="s">
        <v>18784</v>
      </c>
      <c r="AX1454" s="3" t="s">
        <v>18784</v>
      </c>
      <c r="AY1454" s="3" t="s">
        <v>18785</v>
      </c>
      <c r="AZ1454" s="3" t="s">
        <v>74</v>
      </c>
      <c r="BB1454" s="3" t="s">
        <v>18786</v>
      </c>
      <c r="BC1454" s="3" t="s">
        <v>18787</v>
      </c>
      <c r="BD1454" s="3" t="s">
        <v>18788</v>
      </c>
    </row>
    <row r="1455" spans="1:56" ht="45.75" customHeight="1" x14ac:dyDescent="0.25">
      <c r="A1455" s="7" t="s">
        <v>58</v>
      </c>
      <c r="B1455" s="2" t="s">
        <v>18789</v>
      </c>
      <c r="C1455" s="2" t="s">
        <v>18790</v>
      </c>
      <c r="D1455" s="2" t="s">
        <v>18791</v>
      </c>
      <c r="F1455" s="3" t="s">
        <v>58</v>
      </c>
      <c r="G1455" s="3" t="s">
        <v>59</v>
      </c>
      <c r="H1455" s="3" t="s">
        <v>58</v>
      </c>
      <c r="I1455" s="3" t="s">
        <v>58</v>
      </c>
      <c r="J1455" s="3" t="s">
        <v>60</v>
      </c>
      <c r="K1455" s="2" t="s">
        <v>18792</v>
      </c>
      <c r="L1455" s="2" t="s">
        <v>18793</v>
      </c>
      <c r="M1455" s="3" t="s">
        <v>923</v>
      </c>
      <c r="O1455" s="3" t="s">
        <v>65</v>
      </c>
      <c r="P1455" s="3" t="s">
        <v>336</v>
      </c>
      <c r="R1455" s="3" t="s">
        <v>67</v>
      </c>
      <c r="S1455" s="4">
        <v>8</v>
      </c>
      <c r="T1455" s="4">
        <v>8</v>
      </c>
      <c r="U1455" s="5" t="s">
        <v>4055</v>
      </c>
      <c r="V1455" s="5" t="s">
        <v>4055</v>
      </c>
      <c r="W1455" s="5" t="s">
        <v>2573</v>
      </c>
      <c r="X1455" s="5" t="s">
        <v>2573</v>
      </c>
      <c r="Y1455" s="4">
        <v>528</v>
      </c>
      <c r="Z1455" s="4">
        <v>464</v>
      </c>
      <c r="AA1455" s="4">
        <v>513</v>
      </c>
      <c r="AB1455" s="4">
        <v>5</v>
      </c>
      <c r="AC1455" s="4">
        <v>6</v>
      </c>
      <c r="AD1455" s="4">
        <v>18</v>
      </c>
      <c r="AE1455" s="4">
        <v>22</v>
      </c>
      <c r="AF1455" s="4">
        <v>5</v>
      </c>
      <c r="AG1455" s="4">
        <v>6</v>
      </c>
      <c r="AH1455" s="4">
        <v>4</v>
      </c>
      <c r="AI1455" s="4">
        <v>5</v>
      </c>
      <c r="AJ1455" s="4">
        <v>9</v>
      </c>
      <c r="AK1455" s="4">
        <v>11</v>
      </c>
      <c r="AL1455" s="4">
        <v>4</v>
      </c>
      <c r="AM1455" s="4">
        <v>5</v>
      </c>
      <c r="AN1455" s="4">
        <v>0</v>
      </c>
      <c r="AO1455" s="4">
        <v>0</v>
      </c>
      <c r="AP1455" s="3" t="s">
        <v>58</v>
      </c>
      <c r="AQ1455" s="3" t="s">
        <v>87</v>
      </c>
      <c r="AR1455" s="6" t="str">
        <f>HYPERLINK("http://catalog.hathitrust.org/Record/000765420","HathiTrust Record")</f>
        <v>HathiTrust Record</v>
      </c>
      <c r="AS1455" s="6" t="str">
        <f>HYPERLINK("https://creighton-primo.hosted.exlibrisgroup.com/primo-explore/search?tab=default_tab&amp;search_scope=EVERYTHING&amp;vid=01CRU&amp;lang=en_US&amp;offset=0&amp;query=any,contains,991005123879702656","Catalog Record")</f>
        <v>Catalog Record</v>
      </c>
      <c r="AT1455" s="6" t="str">
        <f>HYPERLINK("http://www.worldcat.org/oclc/7551447","WorldCat Record")</f>
        <v>WorldCat Record</v>
      </c>
      <c r="AU1455" s="3" t="s">
        <v>18794</v>
      </c>
      <c r="AV1455" s="3" t="s">
        <v>18795</v>
      </c>
      <c r="AW1455" s="3" t="s">
        <v>18796</v>
      </c>
      <c r="AX1455" s="3" t="s">
        <v>18796</v>
      </c>
      <c r="AY1455" s="3" t="s">
        <v>18797</v>
      </c>
      <c r="AZ1455" s="3" t="s">
        <v>74</v>
      </c>
      <c r="BB1455" s="3" t="s">
        <v>18798</v>
      </c>
      <c r="BC1455" s="3" t="s">
        <v>18799</v>
      </c>
      <c r="BD1455" s="3" t="s">
        <v>18800</v>
      </c>
    </row>
    <row r="1456" spans="1:56" ht="45.75" customHeight="1" x14ac:dyDescent="0.25">
      <c r="A1456" s="7" t="s">
        <v>58</v>
      </c>
      <c r="B1456" s="2" t="s">
        <v>18801</v>
      </c>
      <c r="C1456" s="2" t="s">
        <v>18802</v>
      </c>
      <c r="D1456" s="2" t="s">
        <v>18803</v>
      </c>
      <c r="F1456" s="3" t="s">
        <v>58</v>
      </c>
      <c r="G1456" s="3" t="s">
        <v>59</v>
      </c>
      <c r="H1456" s="3" t="s">
        <v>58</v>
      </c>
      <c r="I1456" s="3" t="s">
        <v>58</v>
      </c>
      <c r="J1456" s="3" t="s">
        <v>60</v>
      </c>
      <c r="K1456" s="2" t="s">
        <v>18804</v>
      </c>
      <c r="L1456" s="2" t="s">
        <v>18805</v>
      </c>
      <c r="M1456" s="3" t="s">
        <v>713</v>
      </c>
      <c r="O1456" s="3" t="s">
        <v>65</v>
      </c>
      <c r="P1456" s="3" t="s">
        <v>204</v>
      </c>
      <c r="R1456" s="3" t="s">
        <v>67</v>
      </c>
      <c r="S1456" s="4">
        <v>8</v>
      </c>
      <c r="T1456" s="4">
        <v>8</v>
      </c>
      <c r="U1456" s="5" t="s">
        <v>17327</v>
      </c>
      <c r="V1456" s="5" t="s">
        <v>17327</v>
      </c>
      <c r="W1456" s="5" t="s">
        <v>103</v>
      </c>
      <c r="X1456" s="5" t="s">
        <v>103</v>
      </c>
      <c r="Y1456" s="4">
        <v>577</v>
      </c>
      <c r="Z1456" s="4">
        <v>519</v>
      </c>
      <c r="AA1456" s="4">
        <v>526</v>
      </c>
      <c r="AB1456" s="4">
        <v>3</v>
      </c>
      <c r="AC1456" s="4">
        <v>3</v>
      </c>
      <c r="AD1456" s="4">
        <v>29</v>
      </c>
      <c r="AE1456" s="4">
        <v>29</v>
      </c>
      <c r="AF1456" s="4">
        <v>10</v>
      </c>
      <c r="AG1456" s="4">
        <v>10</v>
      </c>
      <c r="AH1456" s="4">
        <v>6</v>
      </c>
      <c r="AI1456" s="4">
        <v>6</v>
      </c>
      <c r="AJ1456" s="4">
        <v>16</v>
      </c>
      <c r="AK1456" s="4">
        <v>16</v>
      </c>
      <c r="AL1456" s="4">
        <v>2</v>
      </c>
      <c r="AM1456" s="4">
        <v>2</v>
      </c>
      <c r="AN1456" s="4">
        <v>4</v>
      </c>
      <c r="AO1456" s="4">
        <v>4</v>
      </c>
      <c r="AP1456" s="3" t="s">
        <v>58</v>
      </c>
      <c r="AQ1456" s="3" t="s">
        <v>87</v>
      </c>
      <c r="AR1456" s="6" t="str">
        <f>HYPERLINK("http://catalog.hathitrust.org/Record/000098969","HathiTrust Record")</f>
        <v>HathiTrust Record</v>
      </c>
      <c r="AS1456" s="6" t="str">
        <f>HYPERLINK("https://creighton-primo.hosted.exlibrisgroup.com/primo-explore/search?tab=default_tab&amp;search_scope=EVERYTHING&amp;vid=01CRU&amp;lang=en_US&amp;offset=0&amp;query=any,contains,991005103449702656","Catalog Record")</f>
        <v>Catalog Record</v>
      </c>
      <c r="AT1456" s="6" t="str">
        <f>HYPERLINK("http://www.worldcat.org/oclc/7307378","WorldCat Record")</f>
        <v>WorldCat Record</v>
      </c>
      <c r="AU1456" s="3" t="s">
        <v>18806</v>
      </c>
      <c r="AV1456" s="3" t="s">
        <v>18807</v>
      </c>
      <c r="AW1456" s="3" t="s">
        <v>18808</v>
      </c>
      <c r="AX1456" s="3" t="s">
        <v>18808</v>
      </c>
      <c r="AY1456" s="3" t="s">
        <v>18809</v>
      </c>
      <c r="AZ1456" s="3" t="s">
        <v>74</v>
      </c>
      <c r="BB1456" s="3" t="s">
        <v>18810</v>
      </c>
      <c r="BC1456" s="3" t="s">
        <v>18811</v>
      </c>
      <c r="BD1456" s="3" t="s">
        <v>18812</v>
      </c>
    </row>
    <row r="1457" spans="1:56" ht="45.75" customHeight="1" x14ac:dyDescent="0.25">
      <c r="A1457" s="7" t="s">
        <v>58</v>
      </c>
      <c r="B1457" s="2" t="s">
        <v>18813</v>
      </c>
      <c r="C1457" s="2" t="s">
        <v>18814</v>
      </c>
      <c r="D1457" s="2" t="s">
        <v>18815</v>
      </c>
      <c r="F1457" s="3" t="s">
        <v>58</v>
      </c>
      <c r="G1457" s="3" t="s">
        <v>59</v>
      </c>
      <c r="H1457" s="3" t="s">
        <v>58</v>
      </c>
      <c r="I1457" s="3" t="s">
        <v>58</v>
      </c>
      <c r="J1457" s="3" t="s">
        <v>60</v>
      </c>
      <c r="L1457" s="2" t="s">
        <v>18816</v>
      </c>
      <c r="M1457" s="3" t="s">
        <v>742</v>
      </c>
      <c r="O1457" s="3" t="s">
        <v>65</v>
      </c>
      <c r="P1457" s="3" t="s">
        <v>84</v>
      </c>
      <c r="R1457" s="3" t="s">
        <v>67</v>
      </c>
      <c r="S1457" s="4">
        <v>8</v>
      </c>
      <c r="T1457" s="4">
        <v>8</v>
      </c>
      <c r="U1457" s="5" t="s">
        <v>12291</v>
      </c>
      <c r="V1457" s="5" t="s">
        <v>12291</v>
      </c>
      <c r="W1457" s="5" t="s">
        <v>18817</v>
      </c>
      <c r="X1457" s="5" t="s">
        <v>18817</v>
      </c>
      <c r="Y1457" s="4">
        <v>215</v>
      </c>
      <c r="Z1457" s="4">
        <v>174</v>
      </c>
      <c r="AA1457" s="4">
        <v>176</v>
      </c>
      <c r="AB1457" s="4">
        <v>2</v>
      </c>
      <c r="AC1457" s="4">
        <v>2</v>
      </c>
      <c r="AD1457" s="4">
        <v>9</v>
      </c>
      <c r="AE1457" s="4">
        <v>9</v>
      </c>
      <c r="AF1457" s="4">
        <v>1</v>
      </c>
      <c r="AG1457" s="4">
        <v>1</v>
      </c>
      <c r="AH1457" s="4">
        <v>2</v>
      </c>
      <c r="AI1457" s="4">
        <v>2</v>
      </c>
      <c r="AJ1457" s="4">
        <v>7</v>
      </c>
      <c r="AK1457" s="4">
        <v>7</v>
      </c>
      <c r="AL1457" s="4">
        <v>1</v>
      </c>
      <c r="AM1457" s="4">
        <v>1</v>
      </c>
      <c r="AN1457" s="4">
        <v>0</v>
      </c>
      <c r="AO1457" s="4">
        <v>0</v>
      </c>
      <c r="AP1457" s="3" t="s">
        <v>58</v>
      </c>
      <c r="AQ1457" s="3" t="s">
        <v>87</v>
      </c>
      <c r="AR1457" s="6" t="str">
        <f>HYPERLINK("http://catalog.hathitrust.org/Record/001829542","HathiTrust Record")</f>
        <v>HathiTrust Record</v>
      </c>
      <c r="AS1457" s="6" t="str">
        <f>HYPERLINK("https://creighton-primo.hosted.exlibrisgroup.com/primo-explore/search?tab=default_tab&amp;search_scope=EVERYTHING&amp;vid=01CRU&amp;lang=en_US&amp;offset=0&amp;query=any,contains,991001423529702656","Catalog Record")</f>
        <v>Catalog Record</v>
      </c>
      <c r="AT1457" s="6" t="str">
        <f>HYPERLINK("http://www.worldcat.org/oclc/18986295","WorldCat Record")</f>
        <v>WorldCat Record</v>
      </c>
      <c r="AU1457" s="3" t="s">
        <v>18818</v>
      </c>
      <c r="AV1457" s="3" t="s">
        <v>18819</v>
      </c>
      <c r="AW1457" s="3" t="s">
        <v>18820</v>
      </c>
      <c r="AX1457" s="3" t="s">
        <v>18820</v>
      </c>
      <c r="AY1457" s="3" t="s">
        <v>18821</v>
      </c>
      <c r="AZ1457" s="3" t="s">
        <v>74</v>
      </c>
      <c r="BB1457" s="3" t="s">
        <v>18822</v>
      </c>
      <c r="BC1457" s="3" t="s">
        <v>18823</v>
      </c>
      <c r="BD1457" s="3" t="s">
        <v>18824</v>
      </c>
    </row>
    <row r="1458" spans="1:56" ht="45.75" customHeight="1" x14ac:dyDescent="0.25">
      <c r="A1458" s="7" t="s">
        <v>58</v>
      </c>
      <c r="B1458" s="2" t="s">
        <v>18825</v>
      </c>
      <c r="C1458" s="2" t="s">
        <v>18826</v>
      </c>
      <c r="D1458" s="2" t="s">
        <v>18827</v>
      </c>
      <c r="F1458" s="3" t="s">
        <v>58</v>
      </c>
      <c r="G1458" s="3" t="s">
        <v>59</v>
      </c>
      <c r="H1458" s="3" t="s">
        <v>58</v>
      </c>
      <c r="I1458" s="3" t="s">
        <v>58</v>
      </c>
      <c r="J1458" s="3" t="s">
        <v>60</v>
      </c>
      <c r="K1458" s="2" t="s">
        <v>18828</v>
      </c>
      <c r="L1458" s="2" t="s">
        <v>10733</v>
      </c>
      <c r="M1458" s="3" t="s">
        <v>131</v>
      </c>
      <c r="O1458" s="3" t="s">
        <v>65</v>
      </c>
      <c r="P1458" s="3" t="s">
        <v>84</v>
      </c>
      <c r="R1458" s="3" t="s">
        <v>67</v>
      </c>
      <c r="S1458" s="4">
        <v>1</v>
      </c>
      <c r="T1458" s="4">
        <v>1</v>
      </c>
      <c r="U1458" s="5" t="s">
        <v>7404</v>
      </c>
      <c r="V1458" s="5" t="s">
        <v>7404</v>
      </c>
      <c r="W1458" s="5" t="s">
        <v>7404</v>
      </c>
      <c r="X1458" s="5" t="s">
        <v>7404</v>
      </c>
      <c r="Y1458" s="4">
        <v>438</v>
      </c>
      <c r="Z1458" s="4">
        <v>399</v>
      </c>
      <c r="AA1458" s="4">
        <v>1183</v>
      </c>
      <c r="AB1458" s="4">
        <v>1</v>
      </c>
      <c r="AC1458" s="4">
        <v>15</v>
      </c>
      <c r="AD1458" s="4">
        <v>19</v>
      </c>
      <c r="AE1458" s="4">
        <v>42</v>
      </c>
      <c r="AF1458" s="4">
        <v>6</v>
      </c>
      <c r="AG1458" s="4">
        <v>13</v>
      </c>
      <c r="AH1458" s="4">
        <v>4</v>
      </c>
      <c r="AI1458" s="4">
        <v>8</v>
      </c>
      <c r="AJ1458" s="4">
        <v>11</v>
      </c>
      <c r="AK1458" s="4">
        <v>15</v>
      </c>
      <c r="AL1458" s="4">
        <v>0</v>
      </c>
      <c r="AM1458" s="4">
        <v>10</v>
      </c>
      <c r="AN1458" s="4">
        <v>2</v>
      </c>
      <c r="AO1458" s="4">
        <v>3</v>
      </c>
      <c r="AP1458" s="3" t="s">
        <v>58</v>
      </c>
      <c r="AQ1458" s="3" t="s">
        <v>58</v>
      </c>
      <c r="AS1458" s="6" t="str">
        <f>HYPERLINK("https://creighton-primo.hosted.exlibrisgroup.com/primo-explore/search?tab=default_tab&amp;search_scope=EVERYTHING&amp;vid=01CRU&amp;lang=en_US&amp;offset=0&amp;query=any,contains,991005131949702656","Catalog Record")</f>
        <v>Catalog Record</v>
      </c>
      <c r="AT1458" s="6" t="str">
        <f>HYPERLINK("http://www.worldcat.org/oclc/62089873","WorldCat Record")</f>
        <v>WorldCat Record</v>
      </c>
      <c r="AU1458" s="3" t="s">
        <v>18829</v>
      </c>
      <c r="AV1458" s="3" t="s">
        <v>18830</v>
      </c>
      <c r="AW1458" s="3" t="s">
        <v>18831</v>
      </c>
      <c r="AX1458" s="3" t="s">
        <v>18831</v>
      </c>
      <c r="AY1458" s="3" t="s">
        <v>18832</v>
      </c>
      <c r="AZ1458" s="3" t="s">
        <v>74</v>
      </c>
      <c r="BB1458" s="3" t="s">
        <v>18833</v>
      </c>
      <c r="BC1458" s="3" t="s">
        <v>18834</v>
      </c>
      <c r="BD1458" s="3" t="s">
        <v>18835</v>
      </c>
    </row>
    <row r="1459" spans="1:56" ht="45.75" customHeight="1" x14ac:dyDescent="0.25">
      <c r="A1459" s="7" t="s">
        <v>58</v>
      </c>
      <c r="B1459" s="2" t="s">
        <v>18836</v>
      </c>
      <c r="C1459" s="2" t="s">
        <v>18837</v>
      </c>
      <c r="D1459" s="2" t="s">
        <v>18838</v>
      </c>
      <c r="F1459" s="3" t="s">
        <v>58</v>
      </c>
      <c r="G1459" s="3" t="s">
        <v>59</v>
      </c>
      <c r="H1459" s="3" t="s">
        <v>58</v>
      </c>
      <c r="I1459" s="3" t="s">
        <v>58</v>
      </c>
      <c r="J1459" s="3" t="s">
        <v>60</v>
      </c>
      <c r="K1459" s="2" t="s">
        <v>261</v>
      </c>
      <c r="L1459" s="2" t="s">
        <v>18839</v>
      </c>
      <c r="M1459" s="3" t="s">
        <v>557</v>
      </c>
      <c r="O1459" s="3" t="s">
        <v>65</v>
      </c>
      <c r="P1459" s="3" t="s">
        <v>132</v>
      </c>
      <c r="Q1459" s="2" t="s">
        <v>18840</v>
      </c>
      <c r="R1459" s="3" t="s">
        <v>67</v>
      </c>
      <c r="S1459" s="4">
        <v>1</v>
      </c>
      <c r="T1459" s="4">
        <v>1</v>
      </c>
      <c r="U1459" s="5" t="s">
        <v>18841</v>
      </c>
      <c r="V1459" s="5" t="s">
        <v>18841</v>
      </c>
      <c r="W1459" s="5" t="s">
        <v>18842</v>
      </c>
      <c r="X1459" s="5" t="s">
        <v>18842</v>
      </c>
      <c r="Y1459" s="4">
        <v>405</v>
      </c>
      <c r="Z1459" s="4">
        <v>271</v>
      </c>
      <c r="AA1459" s="4">
        <v>340</v>
      </c>
      <c r="AB1459" s="4">
        <v>3</v>
      </c>
      <c r="AC1459" s="4">
        <v>3</v>
      </c>
      <c r="AD1459" s="4">
        <v>14</v>
      </c>
      <c r="AE1459" s="4">
        <v>18</v>
      </c>
      <c r="AF1459" s="4">
        <v>6</v>
      </c>
      <c r="AG1459" s="4">
        <v>8</v>
      </c>
      <c r="AH1459" s="4">
        <v>2</v>
      </c>
      <c r="AI1459" s="4">
        <v>4</v>
      </c>
      <c r="AJ1459" s="4">
        <v>7</v>
      </c>
      <c r="AK1459" s="4">
        <v>8</v>
      </c>
      <c r="AL1459" s="4">
        <v>2</v>
      </c>
      <c r="AM1459" s="4">
        <v>2</v>
      </c>
      <c r="AN1459" s="4">
        <v>0</v>
      </c>
      <c r="AO1459" s="4">
        <v>0</v>
      </c>
      <c r="AP1459" s="3" t="s">
        <v>58</v>
      </c>
      <c r="AQ1459" s="3" t="s">
        <v>87</v>
      </c>
      <c r="AR1459" s="6" t="str">
        <f>HYPERLINK("http://catalog.hathitrust.org/Record/002782461","HathiTrust Record")</f>
        <v>HathiTrust Record</v>
      </c>
      <c r="AS1459" s="6" t="str">
        <f>HYPERLINK("https://creighton-primo.hosted.exlibrisgroup.com/primo-explore/search?tab=default_tab&amp;search_scope=EVERYTHING&amp;vid=01CRU&amp;lang=en_US&amp;offset=0&amp;query=any,contains,991002204329702656","Catalog Record")</f>
        <v>Catalog Record</v>
      </c>
      <c r="AT1459" s="6" t="str">
        <f>HYPERLINK("http://www.worldcat.org/oclc/28374375","WorldCat Record")</f>
        <v>WorldCat Record</v>
      </c>
      <c r="AU1459" s="3" t="s">
        <v>18843</v>
      </c>
      <c r="AV1459" s="3" t="s">
        <v>18844</v>
      </c>
      <c r="AW1459" s="3" t="s">
        <v>18845</v>
      </c>
      <c r="AX1459" s="3" t="s">
        <v>18845</v>
      </c>
      <c r="AY1459" s="3" t="s">
        <v>18846</v>
      </c>
      <c r="AZ1459" s="3" t="s">
        <v>74</v>
      </c>
      <c r="BB1459" s="3" t="s">
        <v>18847</v>
      </c>
      <c r="BC1459" s="3" t="s">
        <v>18848</v>
      </c>
      <c r="BD1459" s="3" t="s">
        <v>18849</v>
      </c>
    </row>
    <row r="1460" spans="1:56" ht="45.75" customHeight="1" x14ac:dyDescent="0.25">
      <c r="A1460" s="7" t="s">
        <v>58</v>
      </c>
      <c r="B1460" s="2" t="s">
        <v>18850</v>
      </c>
      <c r="C1460" s="2" t="s">
        <v>18851</v>
      </c>
      <c r="D1460" s="2" t="s">
        <v>18852</v>
      </c>
      <c r="F1460" s="3" t="s">
        <v>58</v>
      </c>
      <c r="G1460" s="3" t="s">
        <v>59</v>
      </c>
      <c r="H1460" s="3" t="s">
        <v>58</v>
      </c>
      <c r="I1460" s="3" t="s">
        <v>58</v>
      </c>
      <c r="J1460" s="3" t="s">
        <v>60</v>
      </c>
      <c r="K1460" s="2" t="s">
        <v>18853</v>
      </c>
      <c r="L1460" s="2" t="s">
        <v>11082</v>
      </c>
      <c r="M1460" s="3" t="s">
        <v>528</v>
      </c>
      <c r="O1460" s="3" t="s">
        <v>65</v>
      </c>
      <c r="P1460" s="3" t="s">
        <v>84</v>
      </c>
      <c r="R1460" s="3" t="s">
        <v>67</v>
      </c>
      <c r="S1460" s="4">
        <v>5</v>
      </c>
      <c r="T1460" s="4">
        <v>5</v>
      </c>
      <c r="U1460" s="5" t="s">
        <v>18854</v>
      </c>
      <c r="V1460" s="5" t="s">
        <v>18854</v>
      </c>
      <c r="W1460" s="5" t="s">
        <v>18855</v>
      </c>
      <c r="X1460" s="5" t="s">
        <v>18855</v>
      </c>
      <c r="Y1460" s="4">
        <v>605</v>
      </c>
      <c r="Z1460" s="4">
        <v>525</v>
      </c>
      <c r="AA1460" s="4">
        <v>563</v>
      </c>
      <c r="AB1460" s="4">
        <v>5</v>
      </c>
      <c r="AC1460" s="4">
        <v>5</v>
      </c>
      <c r="AD1460" s="4">
        <v>30</v>
      </c>
      <c r="AE1460" s="4">
        <v>31</v>
      </c>
      <c r="AF1460" s="4">
        <v>10</v>
      </c>
      <c r="AG1460" s="4">
        <v>10</v>
      </c>
      <c r="AH1460" s="4">
        <v>9</v>
      </c>
      <c r="AI1460" s="4">
        <v>9</v>
      </c>
      <c r="AJ1460" s="4">
        <v>15</v>
      </c>
      <c r="AK1460" s="4">
        <v>16</v>
      </c>
      <c r="AL1460" s="4">
        <v>4</v>
      </c>
      <c r="AM1460" s="4">
        <v>4</v>
      </c>
      <c r="AN1460" s="4">
        <v>0</v>
      </c>
      <c r="AO1460" s="4">
        <v>0</v>
      </c>
      <c r="AP1460" s="3" t="s">
        <v>58</v>
      </c>
      <c r="AQ1460" s="3" t="s">
        <v>87</v>
      </c>
      <c r="AR1460" s="6" t="str">
        <f>HYPERLINK("http://catalog.hathitrust.org/Record/001842129","HathiTrust Record")</f>
        <v>HathiTrust Record</v>
      </c>
      <c r="AS1460" s="6" t="str">
        <f>HYPERLINK("https://creighton-primo.hosted.exlibrisgroup.com/primo-explore/search?tab=default_tab&amp;search_scope=EVERYTHING&amp;vid=01CRU&amp;lang=en_US&amp;offset=0&amp;query=any,contains,991001533339702656","Catalog Record")</f>
        <v>Catalog Record</v>
      </c>
      <c r="AT1460" s="6" t="str">
        <f>HYPERLINK("http://www.worldcat.org/oclc/20056336","WorldCat Record")</f>
        <v>WorldCat Record</v>
      </c>
      <c r="AU1460" s="3" t="s">
        <v>18856</v>
      </c>
      <c r="AV1460" s="3" t="s">
        <v>18857</v>
      </c>
      <c r="AW1460" s="3" t="s">
        <v>18858</v>
      </c>
      <c r="AX1460" s="3" t="s">
        <v>18858</v>
      </c>
      <c r="AY1460" s="3" t="s">
        <v>18859</v>
      </c>
      <c r="AZ1460" s="3" t="s">
        <v>74</v>
      </c>
      <c r="BB1460" s="3" t="s">
        <v>18860</v>
      </c>
      <c r="BC1460" s="3" t="s">
        <v>18861</v>
      </c>
      <c r="BD1460" s="3" t="s">
        <v>18862</v>
      </c>
    </row>
    <row r="1461" spans="1:56" ht="45.75" customHeight="1" x14ac:dyDescent="0.25">
      <c r="A1461" s="7" t="s">
        <v>58</v>
      </c>
      <c r="B1461" s="2" t="s">
        <v>18863</v>
      </c>
      <c r="C1461" s="2" t="s">
        <v>18864</v>
      </c>
      <c r="D1461" s="2" t="s">
        <v>18865</v>
      </c>
      <c r="F1461" s="3" t="s">
        <v>58</v>
      </c>
      <c r="G1461" s="3" t="s">
        <v>59</v>
      </c>
      <c r="H1461" s="3" t="s">
        <v>58</v>
      </c>
      <c r="I1461" s="3" t="s">
        <v>58</v>
      </c>
      <c r="J1461" s="3" t="s">
        <v>60</v>
      </c>
      <c r="K1461" s="2" t="s">
        <v>18866</v>
      </c>
      <c r="L1461" s="2" t="s">
        <v>18632</v>
      </c>
      <c r="M1461" s="3" t="s">
        <v>83</v>
      </c>
      <c r="O1461" s="3" t="s">
        <v>65</v>
      </c>
      <c r="P1461" s="3" t="s">
        <v>336</v>
      </c>
      <c r="R1461" s="3" t="s">
        <v>67</v>
      </c>
      <c r="S1461" s="4">
        <v>19</v>
      </c>
      <c r="T1461" s="4">
        <v>19</v>
      </c>
      <c r="U1461" s="5" t="s">
        <v>18867</v>
      </c>
      <c r="V1461" s="5" t="s">
        <v>18867</v>
      </c>
      <c r="W1461" s="5" t="s">
        <v>2573</v>
      </c>
      <c r="X1461" s="5" t="s">
        <v>2573</v>
      </c>
      <c r="Y1461" s="4">
        <v>203</v>
      </c>
      <c r="Z1461" s="4">
        <v>179</v>
      </c>
      <c r="AA1461" s="4">
        <v>186</v>
      </c>
      <c r="AB1461" s="4">
        <v>1</v>
      </c>
      <c r="AC1461" s="4">
        <v>1</v>
      </c>
      <c r="AD1461" s="4">
        <v>6</v>
      </c>
      <c r="AE1461" s="4">
        <v>6</v>
      </c>
      <c r="AF1461" s="4">
        <v>1</v>
      </c>
      <c r="AG1461" s="4">
        <v>1</v>
      </c>
      <c r="AH1461" s="4">
        <v>3</v>
      </c>
      <c r="AI1461" s="4">
        <v>3</v>
      </c>
      <c r="AJ1461" s="4">
        <v>4</v>
      </c>
      <c r="AK1461" s="4">
        <v>4</v>
      </c>
      <c r="AL1461" s="4">
        <v>0</v>
      </c>
      <c r="AM1461" s="4">
        <v>0</v>
      </c>
      <c r="AN1461" s="4">
        <v>0</v>
      </c>
      <c r="AO1461" s="4">
        <v>0</v>
      </c>
      <c r="AP1461" s="3" t="s">
        <v>58</v>
      </c>
      <c r="AQ1461" s="3" t="s">
        <v>87</v>
      </c>
      <c r="AR1461" s="6" t="str">
        <f>HYPERLINK("http://catalog.hathitrust.org/Record/000590087","HathiTrust Record")</f>
        <v>HathiTrust Record</v>
      </c>
      <c r="AS1461" s="6" t="str">
        <f>HYPERLINK("https://creighton-primo.hosted.exlibrisgroup.com/primo-explore/search?tab=default_tab&amp;search_scope=EVERYTHING&amp;vid=01CRU&amp;lang=en_US&amp;offset=0&amp;query=any,contains,991000765669702656","Catalog Record")</f>
        <v>Catalog Record</v>
      </c>
      <c r="AT1461" s="6" t="str">
        <f>HYPERLINK("http://www.worldcat.org/oclc/12999050","WorldCat Record")</f>
        <v>WorldCat Record</v>
      </c>
      <c r="AU1461" s="3" t="s">
        <v>18868</v>
      </c>
      <c r="AV1461" s="3" t="s">
        <v>18869</v>
      </c>
      <c r="AW1461" s="3" t="s">
        <v>18870</v>
      </c>
      <c r="AX1461" s="3" t="s">
        <v>18870</v>
      </c>
      <c r="AY1461" s="3" t="s">
        <v>18871</v>
      </c>
      <c r="AZ1461" s="3" t="s">
        <v>74</v>
      </c>
      <c r="BB1461" s="3" t="s">
        <v>18872</v>
      </c>
      <c r="BC1461" s="3" t="s">
        <v>18873</v>
      </c>
      <c r="BD1461" s="3" t="s">
        <v>18874</v>
      </c>
    </row>
    <row r="1462" spans="1:56" ht="45.75" customHeight="1" x14ac:dyDescent="0.25">
      <c r="A1462" s="7" t="s">
        <v>58</v>
      </c>
      <c r="B1462" s="2" t="s">
        <v>18875</v>
      </c>
      <c r="C1462" s="2" t="s">
        <v>18876</v>
      </c>
      <c r="D1462" s="2" t="s">
        <v>18877</v>
      </c>
      <c r="F1462" s="3" t="s">
        <v>58</v>
      </c>
      <c r="G1462" s="3" t="s">
        <v>59</v>
      </c>
      <c r="H1462" s="3" t="s">
        <v>58</v>
      </c>
      <c r="I1462" s="3" t="s">
        <v>58</v>
      </c>
      <c r="J1462" s="3" t="s">
        <v>60</v>
      </c>
      <c r="K1462" s="2" t="s">
        <v>18878</v>
      </c>
      <c r="L1462" s="2" t="s">
        <v>18879</v>
      </c>
      <c r="M1462" s="3" t="s">
        <v>263</v>
      </c>
      <c r="O1462" s="3" t="s">
        <v>65</v>
      </c>
      <c r="P1462" s="3" t="s">
        <v>84</v>
      </c>
      <c r="R1462" s="3" t="s">
        <v>67</v>
      </c>
      <c r="S1462" s="4">
        <v>3</v>
      </c>
      <c r="T1462" s="4">
        <v>3</v>
      </c>
      <c r="U1462" s="5" t="s">
        <v>13184</v>
      </c>
      <c r="V1462" s="5" t="s">
        <v>13184</v>
      </c>
      <c r="W1462" s="5" t="s">
        <v>18880</v>
      </c>
      <c r="X1462" s="5" t="s">
        <v>18880</v>
      </c>
      <c r="Y1462" s="4">
        <v>662</v>
      </c>
      <c r="Z1462" s="4">
        <v>638</v>
      </c>
      <c r="AA1462" s="4">
        <v>678</v>
      </c>
      <c r="AB1462" s="4">
        <v>7</v>
      </c>
      <c r="AC1462" s="4">
        <v>9</v>
      </c>
      <c r="AD1462" s="4">
        <v>18</v>
      </c>
      <c r="AE1462" s="4">
        <v>20</v>
      </c>
      <c r="AF1462" s="4">
        <v>7</v>
      </c>
      <c r="AG1462" s="4">
        <v>8</v>
      </c>
      <c r="AH1462" s="4">
        <v>4</v>
      </c>
      <c r="AI1462" s="4">
        <v>4</v>
      </c>
      <c r="AJ1462" s="4">
        <v>8</v>
      </c>
      <c r="AK1462" s="4">
        <v>8</v>
      </c>
      <c r="AL1462" s="4">
        <v>3</v>
      </c>
      <c r="AM1462" s="4">
        <v>4</v>
      </c>
      <c r="AN1462" s="4">
        <v>0</v>
      </c>
      <c r="AO1462" s="4">
        <v>0</v>
      </c>
      <c r="AP1462" s="3" t="s">
        <v>58</v>
      </c>
      <c r="AQ1462" s="3" t="s">
        <v>87</v>
      </c>
      <c r="AR1462" s="6" t="str">
        <f>HYPERLINK("http://catalog.hathitrust.org/Record/003062701","HathiTrust Record")</f>
        <v>HathiTrust Record</v>
      </c>
      <c r="AS1462" s="6" t="str">
        <f>HYPERLINK("https://creighton-primo.hosted.exlibrisgroup.com/primo-explore/search?tab=default_tab&amp;search_scope=EVERYTHING&amp;vid=01CRU&amp;lang=en_US&amp;offset=0&amp;query=any,contains,991002600049702656","Catalog Record")</f>
        <v>Catalog Record</v>
      </c>
      <c r="AT1462" s="6" t="str">
        <f>HYPERLINK("http://www.worldcat.org/oclc/34076452","WorldCat Record")</f>
        <v>WorldCat Record</v>
      </c>
      <c r="AU1462" s="3" t="s">
        <v>18881</v>
      </c>
      <c r="AV1462" s="3" t="s">
        <v>18882</v>
      </c>
      <c r="AW1462" s="3" t="s">
        <v>18883</v>
      </c>
      <c r="AX1462" s="3" t="s">
        <v>18883</v>
      </c>
      <c r="AY1462" s="3" t="s">
        <v>18884</v>
      </c>
      <c r="AZ1462" s="3" t="s">
        <v>74</v>
      </c>
      <c r="BB1462" s="3" t="s">
        <v>18885</v>
      </c>
      <c r="BC1462" s="3" t="s">
        <v>18886</v>
      </c>
      <c r="BD1462" s="3" t="s">
        <v>18887</v>
      </c>
    </row>
    <row r="1463" spans="1:56" ht="45.75" customHeight="1" x14ac:dyDescent="0.25">
      <c r="A1463" s="7" t="s">
        <v>58</v>
      </c>
      <c r="B1463" s="2" t="s">
        <v>18888</v>
      </c>
      <c r="C1463" s="2" t="s">
        <v>18889</v>
      </c>
      <c r="D1463" s="2" t="s">
        <v>18890</v>
      </c>
      <c r="F1463" s="3" t="s">
        <v>58</v>
      </c>
      <c r="G1463" s="3" t="s">
        <v>59</v>
      </c>
      <c r="H1463" s="3" t="s">
        <v>58</v>
      </c>
      <c r="I1463" s="3" t="s">
        <v>58</v>
      </c>
      <c r="J1463" s="3" t="s">
        <v>60</v>
      </c>
      <c r="K1463" s="2" t="s">
        <v>18891</v>
      </c>
      <c r="L1463" s="2" t="s">
        <v>18892</v>
      </c>
      <c r="M1463" s="3" t="s">
        <v>1032</v>
      </c>
      <c r="O1463" s="3" t="s">
        <v>65</v>
      </c>
      <c r="P1463" s="3" t="s">
        <v>84</v>
      </c>
      <c r="R1463" s="3" t="s">
        <v>67</v>
      </c>
      <c r="S1463" s="4">
        <v>15</v>
      </c>
      <c r="T1463" s="4">
        <v>15</v>
      </c>
      <c r="U1463" s="5" t="s">
        <v>18283</v>
      </c>
      <c r="V1463" s="5" t="s">
        <v>18283</v>
      </c>
      <c r="W1463" s="5" t="s">
        <v>18893</v>
      </c>
      <c r="X1463" s="5" t="s">
        <v>18893</v>
      </c>
      <c r="Y1463" s="4">
        <v>408</v>
      </c>
      <c r="Z1463" s="4">
        <v>338</v>
      </c>
      <c r="AA1463" s="4">
        <v>395</v>
      </c>
      <c r="AB1463" s="4">
        <v>3</v>
      </c>
      <c r="AC1463" s="4">
        <v>4</v>
      </c>
      <c r="AD1463" s="4">
        <v>17</v>
      </c>
      <c r="AE1463" s="4">
        <v>21</v>
      </c>
      <c r="AF1463" s="4">
        <v>4</v>
      </c>
      <c r="AG1463" s="4">
        <v>4</v>
      </c>
      <c r="AH1463" s="4">
        <v>3</v>
      </c>
      <c r="AI1463" s="4">
        <v>6</v>
      </c>
      <c r="AJ1463" s="4">
        <v>9</v>
      </c>
      <c r="AK1463" s="4">
        <v>10</v>
      </c>
      <c r="AL1463" s="4">
        <v>2</v>
      </c>
      <c r="AM1463" s="4">
        <v>3</v>
      </c>
      <c r="AN1463" s="4">
        <v>2</v>
      </c>
      <c r="AO1463" s="4">
        <v>2</v>
      </c>
      <c r="AP1463" s="3" t="s">
        <v>58</v>
      </c>
      <c r="AQ1463" s="3" t="s">
        <v>58</v>
      </c>
      <c r="AS1463" s="6" t="str">
        <f>HYPERLINK("https://creighton-primo.hosted.exlibrisgroup.com/primo-explore/search?tab=default_tab&amp;search_scope=EVERYTHING&amp;vid=01CRU&amp;lang=en_US&amp;offset=0&amp;query=any,contains,991002686069702656","Catalog Record")</f>
        <v>Catalog Record</v>
      </c>
      <c r="AT1463" s="6" t="str">
        <f>HYPERLINK("http://www.worldcat.org/oclc/35095929","WorldCat Record")</f>
        <v>WorldCat Record</v>
      </c>
      <c r="AU1463" s="3" t="s">
        <v>18894</v>
      </c>
      <c r="AV1463" s="3" t="s">
        <v>18895</v>
      </c>
      <c r="AW1463" s="3" t="s">
        <v>18896</v>
      </c>
      <c r="AX1463" s="3" t="s">
        <v>18896</v>
      </c>
      <c r="AY1463" s="3" t="s">
        <v>18897</v>
      </c>
      <c r="AZ1463" s="3" t="s">
        <v>74</v>
      </c>
      <c r="BB1463" s="3" t="s">
        <v>18898</v>
      </c>
      <c r="BC1463" s="3" t="s">
        <v>18899</v>
      </c>
      <c r="BD1463" s="3" t="s">
        <v>18900</v>
      </c>
    </row>
    <row r="1464" spans="1:56" ht="45.75" customHeight="1" x14ac:dyDescent="0.25">
      <c r="A1464" s="7" t="s">
        <v>58</v>
      </c>
      <c r="B1464" s="2" t="s">
        <v>18901</v>
      </c>
      <c r="C1464" s="2" t="s">
        <v>18902</v>
      </c>
      <c r="D1464" s="2" t="s">
        <v>18903</v>
      </c>
      <c r="F1464" s="3" t="s">
        <v>58</v>
      </c>
      <c r="G1464" s="3" t="s">
        <v>59</v>
      </c>
      <c r="H1464" s="3" t="s">
        <v>58</v>
      </c>
      <c r="I1464" s="3" t="s">
        <v>58</v>
      </c>
      <c r="J1464" s="3" t="s">
        <v>60</v>
      </c>
      <c r="K1464" s="2" t="s">
        <v>18904</v>
      </c>
      <c r="L1464" s="2" t="s">
        <v>18905</v>
      </c>
      <c r="M1464" s="3" t="s">
        <v>528</v>
      </c>
      <c r="O1464" s="3" t="s">
        <v>65</v>
      </c>
      <c r="P1464" s="3" t="s">
        <v>66</v>
      </c>
      <c r="R1464" s="3" t="s">
        <v>67</v>
      </c>
      <c r="S1464" s="4">
        <v>19</v>
      </c>
      <c r="T1464" s="4">
        <v>19</v>
      </c>
      <c r="U1464" s="5" t="s">
        <v>18906</v>
      </c>
      <c r="V1464" s="5" t="s">
        <v>18906</v>
      </c>
      <c r="W1464" s="5" t="s">
        <v>18907</v>
      </c>
      <c r="X1464" s="5" t="s">
        <v>18907</v>
      </c>
      <c r="Y1464" s="4">
        <v>655</v>
      </c>
      <c r="Z1464" s="4">
        <v>604</v>
      </c>
      <c r="AA1464" s="4">
        <v>609</v>
      </c>
      <c r="AB1464" s="4">
        <v>4</v>
      </c>
      <c r="AC1464" s="4">
        <v>4</v>
      </c>
      <c r="AD1464" s="4">
        <v>28</v>
      </c>
      <c r="AE1464" s="4">
        <v>28</v>
      </c>
      <c r="AF1464" s="4">
        <v>9</v>
      </c>
      <c r="AG1464" s="4">
        <v>9</v>
      </c>
      <c r="AH1464" s="4">
        <v>7</v>
      </c>
      <c r="AI1464" s="4">
        <v>7</v>
      </c>
      <c r="AJ1464" s="4">
        <v>12</v>
      </c>
      <c r="AK1464" s="4">
        <v>12</v>
      </c>
      <c r="AL1464" s="4">
        <v>3</v>
      </c>
      <c r="AM1464" s="4">
        <v>3</v>
      </c>
      <c r="AN1464" s="4">
        <v>4</v>
      </c>
      <c r="AO1464" s="4">
        <v>4</v>
      </c>
      <c r="AP1464" s="3" t="s">
        <v>58</v>
      </c>
      <c r="AQ1464" s="3" t="s">
        <v>58</v>
      </c>
      <c r="AS1464" s="6" t="str">
        <f>HYPERLINK("https://creighton-primo.hosted.exlibrisgroup.com/primo-explore/search?tab=default_tab&amp;search_scope=EVERYTHING&amp;vid=01CRU&amp;lang=en_US&amp;offset=0&amp;query=any,contains,991001767359702656","Catalog Record")</f>
        <v>Catalog Record</v>
      </c>
      <c r="AT1464" s="6" t="str">
        <f>HYPERLINK("http://www.worldcat.org/oclc/22314277","WorldCat Record")</f>
        <v>WorldCat Record</v>
      </c>
      <c r="AU1464" s="3" t="s">
        <v>18908</v>
      </c>
      <c r="AV1464" s="3" t="s">
        <v>18909</v>
      </c>
      <c r="AW1464" s="3" t="s">
        <v>18910</v>
      </c>
      <c r="AX1464" s="3" t="s">
        <v>18910</v>
      </c>
      <c r="AY1464" s="3" t="s">
        <v>18911</v>
      </c>
      <c r="AZ1464" s="3" t="s">
        <v>74</v>
      </c>
      <c r="BB1464" s="3" t="s">
        <v>18912</v>
      </c>
      <c r="BC1464" s="3" t="s">
        <v>18913</v>
      </c>
      <c r="BD1464" s="3" t="s">
        <v>18914</v>
      </c>
    </row>
    <row r="1465" spans="1:56" ht="45.75" customHeight="1" x14ac:dyDescent="0.25">
      <c r="A1465" s="7" t="s">
        <v>58</v>
      </c>
      <c r="B1465" s="2" t="s">
        <v>18915</v>
      </c>
      <c r="C1465" s="2" t="s">
        <v>18916</v>
      </c>
      <c r="D1465" s="2" t="s">
        <v>18917</v>
      </c>
      <c r="F1465" s="3" t="s">
        <v>58</v>
      </c>
      <c r="G1465" s="3" t="s">
        <v>59</v>
      </c>
      <c r="H1465" s="3" t="s">
        <v>58</v>
      </c>
      <c r="I1465" s="3" t="s">
        <v>87</v>
      </c>
      <c r="J1465" s="3" t="s">
        <v>60</v>
      </c>
      <c r="K1465" s="2" t="s">
        <v>18918</v>
      </c>
      <c r="L1465" s="2" t="s">
        <v>18919</v>
      </c>
      <c r="M1465" s="3" t="s">
        <v>557</v>
      </c>
      <c r="N1465" s="2" t="s">
        <v>18920</v>
      </c>
      <c r="O1465" s="3" t="s">
        <v>65</v>
      </c>
      <c r="P1465" s="3" t="s">
        <v>84</v>
      </c>
      <c r="R1465" s="3" t="s">
        <v>67</v>
      </c>
      <c r="S1465" s="4">
        <v>6</v>
      </c>
      <c r="T1465" s="4">
        <v>6</v>
      </c>
      <c r="U1465" s="5" t="s">
        <v>13184</v>
      </c>
      <c r="V1465" s="5" t="s">
        <v>13184</v>
      </c>
      <c r="W1465" s="5" t="s">
        <v>17301</v>
      </c>
      <c r="X1465" s="5" t="s">
        <v>17301</v>
      </c>
      <c r="Y1465" s="4">
        <v>591</v>
      </c>
      <c r="Z1465" s="4">
        <v>511</v>
      </c>
      <c r="AA1465" s="4">
        <v>1622</v>
      </c>
      <c r="AB1465" s="4">
        <v>4</v>
      </c>
      <c r="AC1465" s="4">
        <v>12</v>
      </c>
      <c r="AD1465" s="4">
        <v>19</v>
      </c>
      <c r="AE1465" s="4">
        <v>71</v>
      </c>
      <c r="AF1465" s="4">
        <v>5</v>
      </c>
      <c r="AG1465" s="4">
        <v>26</v>
      </c>
      <c r="AH1465" s="4">
        <v>2</v>
      </c>
      <c r="AI1465" s="4">
        <v>11</v>
      </c>
      <c r="AJ1465" s="4">
        <v>8</v>
      </c>
      <c r="AK1465" s="4">
        <v>25</v>
      </c>
      <c r="AL1465" s="4">
        <v>3</v>
      </c>
      <c r="AM1465" s="4">
        <v>9</v>
      </c>
      <c r="AN1465" s="4">
        <v>3</v>
      </c>
      <c r="AO1465" s="4">
        <v>14</v>
      </c>
      <c r="AP1465" s="3" t="s">
        <v>58</v>
      </c>
      <c r="AQ1465" s="3" t="s">
        <v>87</v>
      </c>
      <c r="AR1465" s="6" t="str">
        <f>HYPERLINK("http://catalog.hathitrust.org/Record/005053350","HathiTrust Record")</f>
        <v>HathiTrust Record</v>
      </c>
      <c r="AS1465" s="6" t="str">
        <f>HYPERLINK("https://creighton-primo.hosted.exlibrisgroup.com/primo-explore/search?tab=default_tab&amp;search_scope=EVERYTHING&amp;vid=01CRU&amp;lang=en_US&amp;offset=0&amp;query=any,contains,991002177399702656","Catalog Record")</f>
        <v>Catalog Record</v>
      </c>
      <c r="AT1465" s="6" t="str">
        <f>HYPERLINK("http://www.worldcat.org/oclc/28026493","WorldCat Record")</f>
        <v>WorldCat Record</v>
      </c>
      <c r="AU1465" s="3" t="s">
        <v>18921</v>
      </c>
      <c r="AV1465" s="3" t="s">
        <v>18922</v>
      </c>
      <c r="AW1465" s="3" t="s">
        <v>18923</v>
      </c>
      <c r="AX1465" s="3" t="s">
        <v>18923</v>
      </c>
      <c r="AY1465" s="3" t="s">
        <v>18924</v>
      </c>
      <c r="AZ1465" s="3" t="s">
        <v>74</v>
      </c>
      <c r="BB1465" s="3" t="s">
        <v>18925</v>
      </c>
      <c r="BC1465" s="3" t="s">
        <v>18926</v>
      </c>
      <c r="BD1465" s="3" t="s">
        <v>18927</v>
      </c>
    </row>
    <row r="1466" spans="1:56" ht="45.75" customHeight="1" x14ac:dyDescent="0.25">
      <c r="A1466" s="7" t="s">
        <v>58</v>
      </c>
      <c r="B1466" s="2" t="s">
        <v>18928</v>
      </c>
      <c r="C1466" s="2" t="s">
        <v>18929</v>
      </c>
      <c r="D1466" s="2" t="s">
        <v>18930</v>
      </c>
      <c r="F1466" s="3" t="s">
        <v>58</v>
      </c>
      <c r="G1466" s="3" t="s">
        <v>59</v>
      </c>
      <c r="H1466" s="3" t="s">
        <v>58</v>
      </c>
      <c r="I1466" s="3" t="s">
        <v>58</v>
      </c>
      <c r="J1466" s="3" t="s">
        <v>60</v>
      </c>
      <c r="L1466" s="2" t="s">
        <v>17565</v>
      </c>
      <c r="M1466" s="3" t="s">
        <v>307</v>
      </c>
      <c r="O1466" s="3" t="s">
        <v>65</v>
      </c>
      <c r="P1466" s="3" t="s">
        <v>132</v>
      </c>
      <c r="R1466" s="3" t="s">
        <v>67</v>
      </c>
      <c r="S1466" s="4">
        <v>14</v>
      </c>
      <c r="T1466" s="4">
        <v>14</v>
      </c>
      <c r="U1466" s="5" t="s">
        <v>5474</v>
      </c>
      <c r="V1466" s="5" t="s">
        <v>5474</v>
      </c>
      <c r="W1466" s="5" t="s">
        <v>6783</v>
      </c>
      <c r="X1466" s="5" t="s">
        <v>6783</v>
      </c>
      <c r="Y1466" s="4">
        <v>559</v>
      </c>
      <c r="Z1466" s="4">
        <v>477</v>
      </c>
      <c r="AA1466" s="4">
        <v>478</v>
      </c>
      <c r="AB1466" s="4">
        <v>4</v>
      </c>
      <c r="AC1466" s="4">
        <v>4</v>
      </c>
      <c r="AD1466" s="4">
        <v>29</v>
      </c>
      <c r="AE1466" s="4">
        <v>29</v>
      </c>
      <c r="AF1466" s="4">
        <v>9</v>
      </c>
      <c r="AG1466" s="4">
        <v>9</v>
      </c>
      <c r="AH1466" s="4">
        <v>8</v>
      </c>
      <c r="AI1466" s="4">
        <v>8</v>
      </c>
      <c r="AJ1466" s="4">
        <v>14</v>
      </c>
      <c r="AK1466" s="4">
        <v>14</v>
      </c>
      <c r="AL1466" s="4">
        <v>3</v>
      </c>
      <c r="AM1466" s="4">
        <v>3</v>
      </c>
      <c r="AN1466" s="4">
        <v>1</v>
      </c>
      <c r="AO1466" s="4">
        <v>1</v>
      </c>
      <c r="AP1466" s="3" t="s">
        <v>58</v>
      </c>
      <c r="AQ1466" s="3" t="s">
        <v>58</v>
      </c>
      <c r="AS1466" s="6" t="str">
        <f>HYPERLINK("https://creighton-primo.hosted.exlibrisgroup.com/primo-explore/search?tab=default_tab&amp;search_scope=EVERYTHING&amp;vid=01CRU&amp;lang=en_US&amp;offset=0&amp;query=any,contains,991002444969702656","Catalog Record")</f>
        <v>Catalog Record</v>
      </c>
      <c r="AT1466" s="6" t="str">
        <f>HYPERLINK("http://www.worldcat.org/oclc/31899925","WorldCat Record")</f>
        <v>WorldCat Record</v>
      </c>
      <c r="AU1466" s="3" t="s">
        <v>18931</v>
      </c>
      <c r="AV1466" s="3" t="s">
        <v>18932</v>
      </c>
      <c r="AW1466" s="3" t="s">
        <v>18933</v>
      </c>
      <c r="AX1466" s="3" t="s">
        <v>18933</v>
      </c>
      <c r="AY1466" s="3" t="s">
        <v>18934</v>
      </c>
      <c r="AZ1466" s="3" t="s">
        <v>74</v>
      </c>
      <c r="BB1466" s="3" t="s">
        <v>18935</v>
      </c>
      <c r="BC1466" s="3" t="s">
        <v>18936</v>
      </c>
      <c r="BD1466" s="3" t="s">
        <v>18937</v>
      </c>
    </row>
    <row r="1467" spans="1:56" ht="45.75" customHeight="1" x14ac:dyDescent="0.25">
      <c r="A1467" s="7" t="s">
        <v>58</v>
      </c>
      <c r="B1467" s="2" t="s">
        <v>18938</v>
      </c>
      <c r="C1467" s="2" t="s">
        <v>18939</v>
      </c>
      <c r="D1467" s="2" t="s">
        <v>18940</v>
      </c>
      <c r="F1467" s="3" t="s">
        <v>58</v>
      </c>
      <c r="G1467" s="3" t="s">
        <v>59</v>
      </c>
      <c r="H1467" s="3" t="s">
        <v>58</v>
      </c>
      <c r="I1467" s="3" t="s">
        <v>58</v>
      </c>
      <c r="J1467" s="3" t="s">
        <v>60</v>
      </c>
      <c r="L1467" s="2" t="s">
        <v>18941</v>
      </c>
      <c r="M1467" s="3" t="s">
        <v>742</v>
      </c>
      <c r="O1467" s="3" t="s">
        <v>65</v>
      </c>
      <c r="P1467" s="3" t="s">
        <v>190</v>
      </c>
      <c r="R1467" s="3" t="s">
        <v>67</v>
      </c>
      <c r="S1467" s="4">
        <v>24</v>
      </c>
      <c r="T1467" s="4">
        <v>24</v>
      </c>
      <c r="U1467" s="5" t="s">
        <v>18942</v>
      </c>
      <c r="V1467" s="5" t="s">
        <v>18942</v>
      </c>
      <c r="W1467" s="5" t="s">
        <v>2573</v>
      </c>
      <c r="X1467" s="5" t="s">
        <v>2573</v>
      </c>
      <c r="Y1467" s="4">
        <v>212</v>
      </c>
      <c r="Z1467" s="4">
        <v>190</v>
      </c>
      <c r="AA1467" s="4">
        <v>197</v>
      </c>
      <c r="AB1467" s="4">
        <v>2</v>
      </c>
      <c r="AC1467" s="4">
        <v>2</v>
      </c>
      <c r="AD1467" s="4">
        <v>10</v>
      </c>
      <c r="AE1467" s="4">
        <v>10</v>
      </c>
      <c r="AF1467" s="4">
        <v>3</v>
      </c>
      <c r="AG1467" s="4">
        <v>3</v>
      </c>
      <c r="AH1467" s="4">
        <v>1</v>
      </c>
      <c r="AI1467" s="4">
        <v>1</v>
      </c>
      <c r="AJ1467" s="4">
        <v>7</v>
      </c>
      <c r="AK1467" s="4">
        <v>7</v>
      </c>
      <c r="AL1467" s="4">
        <v>1</v>
      </c>
      <c r="AM1467" s="4">
        <v>1</v>
      </c>
      <c r="AN1467" s="4">
        <v>0</v>
      </c>
      <c r="AO1467" s="4">
        <v>0</v>
      </c>
      <c r="AP1467" s="3" t="s">
        <v>58</v>
      </c>
      <c r="AQ1467" s="3" t="s">
        <v>87</v>
      </c>
      <c r="AR1467" s="6" t="str">
        <f>HYPERLINK("http://catalog.hathitrust.org/Record/004500744","HathiTrust Record")</f>
        <v>HathiTrust Record</v>
      </c>
      <c r="AS1467" s="6" t="str">
        <f>HYPERLINK("https://creighton-primo.hosted.exlibrisgroup.com/primo-explore/search?tab=default_tab&amp;search_scope=EVERYTHING&amp;vid=01CRU&amp;lang=en_US&amp;offset=0&amp;query=any,contains,991001366839702656","Catalog Record")</f>
        <v>Catalog Record</v>
      </c>
      <c r="AT1467" s="6" t="str">
        <f>HYPERLINK("http://www.worldcat.org/oclc/18559147","WorldCat Record")</f>
        <v>WorldCat Record</v>
      </c>
      <c r="AU1467" s="3" t="s">
        <v>18943</v>
      </c>
      <c r="AV1467" s="3" t="s">
        <v>18944</v>
      </c>
      <c r="AW1467" s="3" t="s">
        <v>18945</v>
      </c>
      <c r="AX1467" s="3" t="s">
        <v>18945</v>
      </c>
      <c r="AY1467" s="3" t="s">
        <v>18946</v>
      </c>
      <c r="AZ1467" s="3" t="s">
        <v>74</v>
      </c>
      <c r="BB1467" s="3" t="s">
        <v>18947</v>
      </c>
      <c r="BC1467" s="3" t="s">
        <v>18948</v>
      </c>
      <c r="BD1467" s="3" t="s">
        <v>18949</v>
      </c>
    </row>
    <row r="1468" spans="1:56" ht="45.75" customHeight="1" x14ac:dyDescent="0.25">
      <c r="A1468" s="7" t="s">
        <v>58</v>
      </c>
      <c r="B1468" s="2" t="s">
        <v>18950</v>
      </c>
      <c r="C1468" s="2" t="s">
        <v>18951</v>
      </c>
      <c r="D1468" s="2" t="s">
        <v>18952</v>
      </c>
      <c r="E1468" s="3" t="s">
        <v>12185</v>
      </c>
      <c r="F1468" s="3" t="s">
        <v>87</v>
      </c>
      <c r="G1468" s="3" t="s">
        <v>59</v>
      </c>
      <c r="H1468" s="3" t="s">
        <v>58</v>
      </c>
      <c r="I1468" s="3" t="s">
        <v>58</v>
      </c>
      <c r="J1468" s="3" t="s">
        <v>60</v>
      </c>
      <c r="L1468" s="2" t="s">
        <v>18953</v>
      </c>
      <c r="M1468" s="3" t="s">
        <v>116</v>
      </c>
      <c r="O1468" s="3" t="s">
        <v>65</v>
      </c>
      <c r="P1468" s="3" t="s">
        <v>84</v>
      </c>
      <c r="Q1468" s="2" t="s">
        <v>3167</v>
      </c>
      <c r="R1468" s="3" t="s">
        <v>67</v>
      </c>
      <c r="S1468" s="4">
        <v>2</v>
      </c>
      <c r="T1468" s="4">
        <v>2</v>
      </c>
      <c r="U1468" s="5" t="s">
        <v>18954</v>
      </c>
      <c r="V1468" s="5" t="s">
        <v>18954</v>
      </c>
      <c r="W1468" s="5" t="s">
        <v>11926</v>
      </c>
      <c r="X1468" s="5" t="s">
        <v>11926</v>
      </c>
      <c r="Y1468" s="4">
        <v>263</v>
      </c>
      <c r="Z1468" s="4">
        <v>234</v>
      </c>
      <c r="AA1468" s="4">
        <v>240</v>
      </c>
      <c r="AB1468" s="4">
        <v>1</v>
      </c>
      <c r="AC1468" s="4">
        <v>1</v>
      </c>
      <c r="AD1468" s="4">
        <v>12</v>
      </c>
      <c r="AE1468" s="4">
        <v>12</v>
      </c>
      <c r="AF1468" s="4">
        <v>5</v>
      </c>
      <c r="AG1468" s="4">
        <v>5</v>
      </c>
      <c r="AH1468" s="4">
        <v>3</v>
      </c>
      <c r="AI1468" s="4">
        <v>3</v>
      </c>
      <c r="AJ1468" s="4">
        <v>9</v>
      </c>
      <c r="AK1468" s="4">
        <v>9</v>
      </c>
      <c r="AL1468" s="4">
        <v>0</v>
      </c>
      <c r="AM1468" s="4">
        <v>0</v>
      </c>
      <c r="AN1468" s="4">
        <v>0</v>
      </c>
      <c r="AO1468" s="4">
        <v>0</v>
      </c>
      <c r="AP1468" s="3" t="s">
        <v>58</v>
      </c>
      <c r="AQ1468" s="3" t="s">
        <v>58</v>
      </c>
      <c r="AS1468" s="6" t="str">
        <f>HYPERLINK("https://creighton-primo.hosted.exlibrisgroup.com/primo-explore/search?tab=default_tab&amp;search_scope=EVERYTHING&amp;vid=01CRU&amp;lang=en_US&amp;offset=0&amp;query=any,contains,991002831229702656","Catalog Record")</f>
        <v>Catalog Record</v>
      </c>
      <c r="AT1468" s="6" t="str">
        <f>HYPERLINK("http://www.worldcat.org/oclc/37281705","WorldCat Record")</f>
        <v>WorldCat Record</v>
      </c>
      <c r="AU1468" s="3" t="s">
        <v>18955</v>
      </c>
      <c r="AV1468" s="3" t="s">
        <v>18956</v>
      </c>
      <c r="AW1468" s="3" t="s">
        <v>18957</v>
      </c>
      <c r="AX1468" s="3" t="s">
        <v>18957</v>
      </c>
      <c r="AY1468" s="3" t="s">
        <v>18958</v>
      </c>
      <c r="AZ1468" s="3" t="s">
        <v>74</v>
      </c>
      <c r="BB1468" s="3" t="s">
        <v>18959</v>
      </c>
      <c r="BC1468" s="3" t="s">
        <v>18960</v>
      </c>
      <c r="BD1468" s="3" t="s">
        <v>18961</v>
      </c>
    </row>
    <row r="1469" spans="1:56" ht="45.75" customHeight="1" x14ac:dyDescent="0.25">
      <c r="A1469" s="7" t="s">
        <v>58</v>
      </c>
      <c r="B1469" s="2" t="s">
        <v>18962</v>
      </c>
      <c r="C1469" s="2" t="s">
        <v>18963</v>
      </c>
      <c r="D1469" s="2" t="s">
        <v>18964</v>
      </c>
      <c r="F1469" s="3" t="s">
        <v>58</v>
      </c>
      <c r="G1469" s="3" t="s">
        <v>59</v>
      </c>
      <c r="H1469" s="3" t="s">
        <v>58</v>
      </c>
      <c r="I1469" s="3" t="s">
        <v>58</v>
      </c>
      <c r="J1469" s="3" t="s">
        <v>60</v>
      </c>
      <c r="L1469" s="2" t="s">
        <v>2865</v>
      </c>
      <c r="M1469" s="3" t="s">
        <v>131</v>
      </c>
      <c r="O1469" s="3" t="s">
        <v>65</v>
      </c>
      <c r="P1469" s="3" t="s">
        <v>84</v>
      </c>
      <c r="R1469" s="3" t="s">
        <v>67</v>
      </c>
      <c r="S1469" s="4">
        <v>3</v>
      </c>
      <c r="T1469" s="4">
        <v>3</v>
      </c>
      <c r="U1469" s="5" t="s">
        <v>5474</v>
      </c>
      <c r="V1469" s="5" t="s">
        <v>5474</v>
      </c>
      <c r="W1469" s="5" t="s">
        <v>2866</v>
      </c>
      <c r="X1469" s="5" t="s">
        <v>2866</v>
      </c>
      <c r="Y1469" s="4">
        <v>277</v>
      </c>
      <c r="Z1469" s="4">
        <v>226</v>
      </c>
      <c r="AA1469" s="4">
        <v>255</v>
      </c>
      <c r="AB1469" s="4">
        <v>2</v>
      </c>
      <c r="AC1469" s="4">
        <v>2</v>
      </c>
      <c r="AD1469" s="4">
        <v>8</v>
      </c>
      <c r="AE1469" s="4">
        <v>8</v>
      </c>
      <c r="AF1469" s="4">
        <v>2</v>
      </c>
      <c r="AG1469" s="4">
        <v>2</v>
      </c>
      <c r="AH1469" s="4">
        <v>2</v>
      </c>
      <c r="AI1469" s="4">
        <v>2</v>
      </c>
      <c r="AJ1469" s="4">
        <v>6</v>
      </c>
      <c r="AK1469" s="4">
        <v>6</v>
      </c>
      <c r="AL1469" s="4">
        <v>1</v>
      </c>
      <c r="AM1469" s="4">
        <v>1</v>
      </c>
      <c r="AN1469" s="4">
        <v>0</v>
      </c>
      <c r="AO1469" s="4">
        <v>0</v>
      </c>
      <c r="AP1469" s="3" t="s">
        <v>58</v>
      </c>
      <c r="AQ1469" s="3" t="s">
        <v>87</v>
      </c>
      <c r="AR1469" s="6" t="str">
        <f>HYPERLINK("http://catalog.hathitrust.org/Record/005234527","HathiTrust Record")</f>
        <v>HathiTrust Record</v>
      </c>
      <c r="AS1469" s="6" t="str">
        <f>HYPERLINK("https://creighton-primo.hosted.exlibrisgroup.com/primo-explore/search?tab=default_tab&amp;search_scope=EVERYTHING&amp;vid=01CRU&amp;lang=en_US&amp;offset=0&amp;query=any,contains,991004924519702656","Catalog Record")</f>
        <v>Catalog Record</v>
      </c>
      <c r="AT1469" s="6" t="str">
        <f>HYPERLINK("http://www.worldcat.org/oclc/61261274","WorldCat Record")</f>
        <v>WorldCat Record</v>
      </c>
      <c r="AU1469" s="3" t="s">
        <v>18965</v>
      </c>
      <c r="AV1469" s="3" t="s">
        <v>18966</v>
      </c>
      <c r="AW1469" s="3" t="s">
        <v>18967</v>
      </c>
      <c r="AX1469" s="3" t="s">
        <v>18967</v>
      </c>
      <c r="AY1469" s="3" t="s">
        <v>18968</v>
      </c>
      <c r="AZ1469" s="3" t="s">
        <v>74</v>
      </c>
      <c r="BB1469" s="3" t="s">
        <v>18969</v>
      </c>
      <c r="BC1469" s="3" t="s">
        <v>18970</v>
      </c>
      <c r="BD1469" s="3" t="s">
        <v>18971</v>
      </c>
    </row>
    <row r="1470" spans="1:56" ht="45.75" customHeight="1" x14ac:dyDescent="0.25">
      <c r="A1470" s="7" t="s">
        <v>58</v>
      </c>
      <c r="B1470" s="2" t="s">
        <v>18972</v>
      </c>
      <c r="C1470" s="2" t="s">
        <v>18973</v>
      </c>
      <c r="D1470" s="2" t="s">
        <v>18974</v>
      </c>
      <c r="F1470" s="3" t="s">
        <v>58</v>
      </c>
      <c r="G1470" s="3" t="s">
        <v>59</v>
      </c>
      <c r="H1470" s="3" t="s">
        <v>58</v>
      </c>
      <c r="I1470" s="3" t="s">
        <v>58</v>
      </c>
      <c r="J1470" s="3" t="s">
        <v>60</v>
      </c>
      <c r="K1470" s="2" t="s">
        <v>18975</v>
      </c>
      <c r="L1470" s="2" t="s">
        <v>18976</v>
      </c>
      <c r="M1470" s="3" t="s">
        <v>923</v>
      </c>
      <c r="O1470" s="3" t="s">
        <v>65</v>
      </c>
      <c r="P1470" s="3" t="s">
        <v>84</v>
      </c>
      <c r="Q1470" s="2" t="s">
        <v>18977</v>
      </c>
      <c r="R1470" s="3" t="s">
        <v>67</v>
      </c>
      <c r="S1470" s="4">
        <v>15</v>
      </c>
      <c r="T1470" s="4">
        <v>15</v>
      </c>
      <c r="U1470" s="5" t="s">
        <v>18978</v>
      </c>
      <c r="V1470" s="5" t="s">
        <v>18978</v>
      </c>
      <c r="W1470" s="5" t="s">
        <v>103</v>
      </c>
      <c r="X1470" s="5" t="s">
        <v>103</v>
      </c>
      <c r="Y1470" s="4">
        <v>292</v>
      </c>
      <c r="Z1470" s="4">
        <v>260</v>
      </c>
      <c r="AA1470" s="4">
        <v>268</v>
      </c>
      <c r="AB1470" s="4">
        <v>2</v>
      </c>
      <c r="AC1470" s="4">
        <v>2</v>
      </c>
      <c r="AD1470" s="4">
        <v>13</v>
      </c>
      <c r="AE1470" s="4">
        <v>13</v>
      </c>
      <c r="AF1470" s="4">
        <v>5</v>
      </c>
      <c r="AG1470" s="4">
        <v>5</v>
      </c>
      <c r="AH1470" s="4">
        <v>4</v>
      </c>
      <c r="AI1470" s="4">
        <v>4</v>
      </c>
      <c r="AJ1470" s="4">
        <v>8</v>
      </c>
      <c r="AK1470" s="4">
        <v>8</v>
      </c>
      <c r="AL1470" s="4">
        <v>1</v>
      </c>
      <c r="AM1470" s="4">
        <v>1</v>
      </c>
      <c r="AN1470" s="4">
        <v>0</v>
      </c>
      <c r="AO1470" s="4">
        <v>0</v>
      </c>
      <c r="AP1470" s="3" t="s">
        <v>58</v>
      </c>
      <c r="AQ1470" s="3" t="s">
        <v>87</v>
      </c>
      <c r="AR1470" s="6" t="str">
        <f>HYPERLINK("http://catalog.hathitrust.org/Record/009909546","HathiTrust Record")</f>
        <v>HathiTrust Record</v>
      </c>
      <c r="AS1470" s="6" t="str">
        <f>HYPERLINK("https://creighton-primo.hosted.exlibrisgroup.com/primo-explore/search?tab=default_tab&amp;search_scope=EVERYTHING&amp;vid=01CRU&amp;lang=en_US&amp;offset=0&amp;query=any,contains,991000039569702656","Catalog Record")</f>
        <v>Catalog Record</v>
      </c>
      <c r="AT1470" s="6" t="str">
        <f>HYPERLINK("http://www.worldcat.org/oclc/8634970","WorldCat Record")</f>
        <v>WorldCat Record</v>
      </c>
      <c r="AU1470" s="3" t="s">
        <v>18979</v>
      </c>
      <c r="AV1470" s="3" t="s">
        <v>18980</v>
      </c>
      <c r="AW1470" s="3" t="s">
        <v>18981</v>
      </c>
      <c r="AX1470" s="3" t="s">
        <v>18981</v>
      </c>
      <c r="AY1470" s="3" t="s">
        <v>18982</v>
      </c>
      <c r="AZ1470" s="3" t="s">
        <v>74</v>
      </c>
      <c r="BB1470" s="3" t="s">
        <v>18983</v>
      </c>
      <c r="BC1470" s="3" t="s">
        <v>18984</v>
      </c>
      <c r="BD1470" s="3" t="s">
        <v>18985</v>
      </c>
    </row>
    <row r="1471" spans="1:56" ht="45.75" customHeight="1" x14ac:dyDescent="0.25">
      <c r="A1471" s="7" t="s">
        <v>58</v>
      </c>
      <c r="B1471" s="2" t="s">
        <v>18986</v>
      </c>
      <c r="C1471" s="2" t="s">
        <v>18987</v>
      </c>
      <c r="D1471" s="2" t="s">
        <v>18988</v>
      </c>
      <c r="F1471" s="3" t="s">
        <v>58</v>
      </c>
      <c r="G1471" s="3" t="s">
        <v>59</v>
      </c>
      <c r="H1471" s="3" t="s">
        <v>58</v>
      </c>
      <c r="I1471" s="3" t="s">
        <v>58</v>
      </c>
      <c r="J1471" s="3" t="s">
        <v>60</v>
      </c>
      <c r="K1471" s="2" t="s">
        <v>18989</v>
      </c>
      <c r="L1471" s="2" t="s">
        <v>18990</v>
      </c>
      <c r="M1471" s="3" t="s">
        <v>63</v>
      </c>
      <c r="O1471" s="3" t="s">
        <v>65</v>
      </c>
      <c r="P1471" s="3" t="s">
        <v>66</v>
      </c>
      <c r="Q1471" s="2" t="s">
        <v>18991</v>
      </c>
      <c r="R1471" s="3" t="s">
        <v>67</v>
      </c>
      <c r="S1471" s="4">
        <v>1</v>
      </c>
      <c r="T1471" s="4">
        <v>1</v>
      </c>
      <c r="U1471" s="5" t="s">
        <v>488</v>
      </c>
      <c r="V1471" s="5" t="s">
        <v>488</v>
      </c>
      <c r="W1471" s="5" t="s">
        <v>488</v>
      </c>
      <c r="X1471" s="5" t="s">
        <v>488</v>
      </c>
      <c r="Y1471" s="4">
        <v>256</v>
      </c>
      <c r="Z1471" s="4">
        <v>210</v>
      </c>
      <c r="AA1471" s="4">
        <v>210</v>
      </c>
      <c r="AB1471" s="4">
        <v>2</v>
      </c>
      <c r="AC1471" s="4">
        <v>2</v>
      </c>
      <c r="AD1471" s="4">
        <v>7</v>
      </c>
      <c r="AE1471" s="4">
        <v>7</v>
      </c>
      <c r="AF1471" s="4">
        <v>1</v>
      </c>
      <c r="AG1471" s="4">
        <v>1</v>
      </c>
      <c r="AH1471" s="4">
        <v>2</v>
      </c>
      <c r="AI1471" s="4">
        <v>2</v>
      </c>
      <c r="AJ1471" s="4">
        <v>6</v>
      </c>
      <c r="AK1471" s="4">
        <v>6</v>
      </c>
      <c r="AL1471" s="4">
        <v>1</v>
      </c>
      <c r="AM1471" s="4">
        <v>1</v>
      </c>
      <c r="AN1471" s="4">
        <v>0</v>
      </c>
      <c r="AO1471" s="4">
        <v>0</v>
      </c>
      <c r="AP1471" s="3" t="s">
        <v>58</v>
      </c>
      <c r="AQ1471" s="3" t="s">
        <v>58</v>
      </c>
      <c r="AS1471" s="6" t="str">
        <f>HYPERLINK("https://creighton-primo.hosted.exlibrisgroup.com/primo-explore/search?tab=default_tab&amp;search_scope=EVERYTHING&amp;vid=01CRU&amp;lang=en_US&amp;offset=0&amp;query=any,contains,991004910919702656","Catalog Record")</f>
        <v>Catalog Record</v>
      </c>
      <c r="AT1471" s="6" t="str">
        <f>HYPERLINK("http://www.worldcat.org/oclc/56617214","WorldCat Record")</f>
        <v>WorldCat Record</v>
      </c>
      <c r="AU1471" s="3" t="s">
        <v>18992</v>
      </c>
      <c r="AV1471" s="3" t="s">
        <v>18993</v>
      </c>
      <c r="AW1471" s="3" t="s">
        <v>18994</v>
      </c>
      <c r="AX1471" s="3" t="s">
        <v>18994</v>
      </c>
      <c r="AY1471" s="3" t="s">
        <v>18995</v>
      </c>
      <c r="AZ1471" s="3" t="s">
        <v>74</v>
      </c>
      <c r="BB1471" s="3" t="s">
        <v>18996</v>
      </c>
      <c r="BC1471" s="3" t="s">
        <v>18997</v>
      </c>
      <c r="BD1471" s="3" t="s">
        <v>18998</v>
      </c>
    </row>
    <row r="1472" spans="1:56" ht="45.75" customHeight="1" x14ac:dyDescent="0.25">
      <c r="A1472" s="7" t="s">
        <v>58</v>
      </c>
      <c r="B1472" s="2" t="s">
        <v>18999</v>
      </c>
      <c r="C1472" s="2" t="s">
        <v>19000</v>
      </c>
      <c r="D1472" s="2" t="s">
        <v>19001</v>
      </c>
      <c r="F1472" s="3" t="s">
        <v>58</v>
      </c>
      <c r="G1472" s="3" t="s">
        <v>59</v>
      </c>
      <c r="H1472" s="3" t="s">
        <v>58</v>
      </c>
      <c r="I1472" s="3" t="s">
        <v>58</v>
      </c>
      <c r="J1472" s="3" t="s">
        <v>60</v>
      </c>
      <c r="K1472" s="2" t="s">
        <v>19002</v>
      </c>
      <c r="L1472" s="2" t="s">
        <v>19003</v>
      </c>
      <c r="M1472" s="3" t="s">
        <v>908</v>
      </c>
      <c r="O1472" s="3" t="s">
        <v>65</v>
      </c>
      <c r="P1472" s="3" t="s">
        <v>84</v>
      </c>
      <c r="R1472" s="3" t="s">
        <v>67</v>
      </c>
      <c r="S1472" s="4">
        <v>8</v>
      </c>
      <c r="T1472" s="4">
        <v>8</v>
      </c>
      <c r="U1472" s="5" t="s">
        <v>19004</v>
      </c>
      <c r="V1472" s="5" t="s">
        <v>19004</v>
      </c>
      <c r="W1472" s="5" t="s">
        <v>2573</v>
      </c>
      <c r="X1472" s="5" t="s">
        <v>2573</v>
      </c>
      <c r="Y1472" s="4">
        <v>374</v>
      </c>
      <c r="Z1472" s="4">
        <v>295</v>
      </c>
      <c r="AA1472" s="4">
        <v>329</v>
      </c>
      <c r="AB1472" s="4">
        <v>4</v>
      </c>
      <c r="AC1472" s="4">
        <v>4</v>
      </c>
      <c r="AD1472" s="4">
        <v>19</v>
      </c>
      <c r="AE1472" s="4">
        <v>20</v>
      </c>
      <c r="AF1472" s="4">
        <v>5</v>
      </c>
      <c r="AG1472" s="4">
        <v>6</v>
      </c>
      <c r="AH1472" s="4">
        <v>6</v>
      </c>
      <c r="AI1472" s="4">
        <v>6</v>
      </c>
      <c r="AJ1472" s="4">
        <v>8</v>
      </c>
      <c r="AK1472" s="4">
        <v>8</v>
      </c>
      <c r="AL1472" s="4">
        <v>3</v>
      </c>
      <c r="AM1472" s="4">
        <v>3</v>
      </c>
      <c r="AN1472" s="4">
        <v>2</v>
      </c>
      <c r="AO1472" s="4">
        <v>2</v>
      </c>
      <c r="AP1472" s="3" t="s">
        <v>58</v>
      </c>
      <c r="AQ1472" s="3" t="s">
        <v>58</v>
      </c>
      <c r="AS1472" s="6" t="str">
        <f>HYPERLINK("https://creighton-primo.hosted.exlibrisgroup.com/primo-explore/search?tab=default_tab&amp;search_scope=EVERYTHING&amp;vid=01CRU&amp;lang=en_US&amp;offset=0&amp;query=any,contains,991004831769702656","Catalog Record")</f>
        <v>Catalog Record</v>
      </c>
      <c r="AT1472" s="6" t="str">
        <f>HYPERLINK("http://www.worldcat.org/oclc/5411562","WorldCat Record")</f>
        <v>WorldCat Record</v>
      </c>
      <c r="AU1472" s="3" t="s">
        <v>19005</v>
      </c>
      <c r="AV1472" s="3" t="s">
        <v>19006</v>
      </c>
      <c r="AW1472" s="3" t="s">
        <v>19007</v>
      </c>
      <c r="AX1472" s="3" t="s">
        <v>19007</v>
      </c>
      <c r="AY1472" s="3" t="s">
        <v>19008</v>
      </c>
      <c r="AZ1472" s="3" t="s">
        <v>74</v>
      </c>
      <c r="BB1472" s="3" t="s">
        <v>19009</v>
      </c>
      <c r="BC1472" s="3" t="s">
        <v>19010</v>
      </c>
      <c r="BD1472" s="3" t="s">
        <v>19011</v>
      </c>
    </row>
    <row r="1473" spans="1:56" ht="45.75" customHeight="1" x14ac:dyDescent="0.25">
      <c r="A1473" s="7" t="s">
        <v>58</v>
      </c>
      <c r="B1473" s="2" t="s">
        <v>19012</v>
      </c>
      <c r="C1473" s="2" t="s">
        <v>19013</v>
      </c>
      <c r="D1473" s="2" t="s">
        <v>19014</v>
      </c>
      <c r="F1473" s="3" t="s">
        <v>58</v>
      </c>
      <c r="G1473" s="3" t="s">
        <v>59</v>
      </c>
      <c r="H1473" s="3" t="s">
        <v>58</v>
      </c>
      <c r="I1473" s="3" t="s">
        <v>58</v>
      </c>
      <c r="J1473" s="3" t="s">
        <v>60</v>
      </c>
      <c r="K1473" s="2" t="s">
        <v>19015</v>
      </c>
      <c r="L1473" s="2" t="s">
        <v>19016</v>
      </c>
      <c r="M1473" s="3" t="s">
        <v>263</v>
      </c>
      <c r="O1473" s="3" t="s">
        <v>65</v>
      </c>
      <c r="P1473" s="3" t="s">
        <v>66</v>
      </c>
      <c r="R1473" s="3" t="s">
        <v>67</v>
      </c>
      <c r="S1473" s="4">
        <v>13</v>
      </c>
      <c r="T1473" s="4">
        <v>13</v>
      </c>
      <c r="U1473" s="5" t="s">
        <v>19017</v>
      </c>
      <c r="V1473" s="5" t="s">
        <v>19017</v>
      </c>
      <c r="W1473" s="5" t="s">
        <v>19018</v>
      </c>
      <c r="X1473" s="5" t="s">
        <v>19018</v>
      </c>
      <c r="Y1473" s="4">
        <v>537</v>
      </c>
      <c r="Z1473" s="4">
        <v>484</v>
      </c>
      <c r="AA1473" s="4">
        <v>493</v>
      </c>
      <c r="AB1473" s="4">
        <v>1</v>
      </c>
      <c r="AC1473" s="4">
        <v>1</v>
      </c>
      <c r="AD1473" s="4">
        <v>26</v>
      </c>
      <c r="AE1473" s="4">
        <v>26</v>
      </c>
      <c r="AF1473" s="4">
        <v>12</v>
      </c>
      <c r="AG1473" s="4">
        <v>12</v>
      </c>
      <c r="AH1473" s="4">
        <v>6</v>
      </c>
      <c r="AI1473" s="4">
        <v>6</v>
      </c>
      <c r="AJ1473" s="4">
        <v>16</v>
      </c>
      <c r="AK1473" s="4">
        <v>16</v>
      </c>
      <c r="AL1473" s="4">
        <v>0</v>
      </c>
      <c r="AM1473" s="4">
        <v>0</v>
      </c>
      <c r="AN1473" s="4">
        <v>1</v>
      </c>
      <c r="AO1473" s="4">
        <v>1</v>
      </c>
      <c r="AP1473" s="3" t="s">
        <v>58</v>
      </c>
      <c r="AQ1473" s="3" t="s">
        <v>87</v>
      </c>
      <c r="AR1473" s="6" t="str">
        <f>HYPERLINK("http://catalog.hathitrust.org/Record/003112503","HathiTrust Record")</f>
        <v>HathiTrust Record</v>
      </c>
      <c r="AS1473" s="6" t="str">
        <f>HYPERLINK("https://creighton-primo.hosted.exlibrisgroup.com/primo-explore/search?tab=default_tab&amp;search_scope=EVERYTHING&amp;vid=01CRU&amp;lang=en_US&amp;offset=0&amp;query=any,contains,991002707019702656","Catalog Record")</f>
        <v>Catalog Record</v>
      </c>
      <c r="AT1473" s="6" t="str">
        <f>HYPERLINK("http://www.worldcat.org/oclc/35360604","WorldCat Record")</f>
        <v>WorldCat Record</v>
      </c>
      <c r="AU1473" s="3" t="s">
        <v>19019</v>
      </c>
      <c r="AV1473" s="3" t="s">
        <v>19020</v>
      </c>
      <c r="AW1473" s="3" t="s">
        <v>19021</v>
      </c>
      <c r="AX1473" s="3" t="s">
        <v>19021</v>
      </c>
      <c r="AY1473" s="3" t="s">
        <v>19022</v>
      </c>
      <c r="AZ1473" s="3" t="s">
        <v>74</v>
      </c>
      <c r="BB1473" s="3" t="s">
        <v>19023</v>
      </c>
      <c r="BC1473" s="3" t="s">
        <v>19024</v>
      </c>
      <c r="BD1473" s="3" t="s">
        <v>19025</v>
      </c>
    </row>
    <row r="1474" spans="1:56" ht="45.75" customHeight="1" x14ac:dyDescent="0.25">
      <c r="A1474" s="7" t="s">
        <v>58</v>
      </c>
      <c r="B1474" s="2" t="s">
        <v>19026</v>
      </c>
      <c r="C1474" s="2" t="s">
        <v>19027</v>
      </c>
      <c r="D1474" s="2" t="s">
        <v>19028</v>
      </c>
      <c r="F1474" s="3" t="s">
        <v>58</v>
      </c>
      <c r="G1474" s="3" t="s">
        <v>59</v>
      </c>
      <c r="H1474" s="3" t="s">
        <v>58</v>
      </c>
      <c r="I1474" s="3" t="s">
        <v>58</v>
      </c>
      <c r="J1474" s="3" t="s">
        <v>60</v>
      </c>
      <c r="L1474" s="2" t="s">
        <v>19029</v>
      </c>
      <c r="M1474" s="3" t="s">
        <v>100</v>
      </c>
      <c r="O1474" s="3" t="s">
        <v>65</v>
      </c>
      <c r="P1474" s="3" t="s">
        <v>336</v>
      </c>
      <c r="Q1474" s="2" t="s">
        <v>2258</v>
      </c>
      <c r="R1474" s="3" t="s">
        <v>67</v>
      </c>
      <c r="S1474" s="4">
        <v>7</v>
      </c>
      <c r="T1474" s="4">
        <v>7</v>
      </c>
      <c r="U1474" s="5" t="s">
        <v>19030</v>
      </c>
      <c r="V1474" s="5" t="s">
        <v>19030</v>
      </c>
      <c r="W1474" s="5" t="s">
        <v>715</v>
      </c>
      <c r="X1474" s="5" t="s">
        <v>715</v>
      </c>
      <c r="Y1474" s="4">
        <v>703</v>
      </c>
      <c r="Z1474" s="4">
        <v>608</v>
      </c>
      <c r="AA1474" s="4">
        <v>610</v>
      </c>
      <c r="AB1474" s="4">
        <v>5</v>
      </c>
      <c r="AC1474" s="4">
        <v>5</v>
      </c>
      <c r="AD1474" s="4">
        <v>28</v>
      </c>
      <c r="AE1474" s="4">
        <v>28</v>
      </c>
      <c r="AF1474" s="4">
        <v>12</v>
      </c>
      <c r="AG1474" s="4">
        <v>12</v>
      </c>
      <c r="AH1474" s="4">
        <v>6</v>
      </c>
      <c r="AI1474" s="4">
        <v>6</v>
      </c>
      <c r="AJ1474" s="4">
        <v>13</v>
      </c>
      <c r="AK1474" s="4">
        <v>13</v>
      </c>
      <c r="AL1474" s="4">
        <v>4</v>
      </c>
      <c r="AM1474" s="4">
        <v>4</v>
      </c>
      <c r="AN1474" s="4">
        <v>0</v>
      </c>
      <c r="AO1474" s="4">
        <v>0</v>
      </c>
      <c r="AP1474" s="3" t="s">
        <v>58</v>
      </c>
      <c r="AQ1474" s="3" t="s">
        <v>87</v>
      </c>
      <c r="AR1474" s="6" t="str">
        <f>HYPERLINK("http://catalog.hathitrust.org/Record/000028031","HathiTrust Record")</f>
        <v>HathiTrust Record</v>
      </c>
      <c r="AS1474" s="6" t="str">
        <f>HYPERLINK("https://creighton-primo.hosted.exlibrisgroup.com/primo-explore/search?tab=default_tab&amp;search_scope=EVERYTHING&amp;vid=01CRU&amp;lang=en_US&amp;offset=0&amp;query=any,contains,991003850139702656","Catalog Record")</f>
        <v>Catalog Record</v>
      </c>
      <c r="AT1474" s="6" t="str">
        <f>HYPERLINK("http://www.worldcat.org/oclc/1637886","WorldCat Record")</f>
        <v>WorldCat Record</v>
      </c>
      <c r="AU1474" s="3" t="s">
        <v>19031</v>
      </c>
      <c r="AV1474" s="3" t="s">
        <v>19032</v>
      </c>
      <c r="AW1474" s="3" t="s">
        <v>19033</v>
      </c>
      <c r="AX1474" s="3" t="s">
        <v>19033</v>
      </c>
      <c r="AY1474" s="3" t="s">
        <v>19034</v>
      </c>
      <c r="AZ1474" s="3" t="s">
        <v>74</v>
      </c>
      <c r="BB1474" s="3" t="s">
        <v>19035</v>
      </c>
      <c r="BC1474" s="3" t="s">
        <v>19036</v>
      </c>
      <c r="BD1474" s="3" t="s">
        <v>19037</v>
      </c>
    </row>
    <row r="1475" spans="1:56" ht="45.75" customHeight="1" x14ac:dyDescent="0.25">
      <c r="A1475" s="7" t="s">
        <v>58</v>
      </c>
      <c r="B1475" s="2" t="s">
        <v>19038</v>
      </c>
      <c r="C1475" s="2" t="s">
        <v>19039</v>
      </c>
      <c r="D1475" s="2" t="s">
        <v>19040</v>
      </c>
      <c r="F1475" s="3" t="s">
        <v>58</v>
      </c>
      <c r="G1475" s="3" t="s">
        <v>59</v>
      </c>
      <c r="H1475" s="3" t="s">
        <v>58</v>
      </c>
      <c r="I1475" s="3" t="s">
        <v>58</v>
      </c>
      <c r="J1475" s="3" t="s">
        <v>60</v>
      </c>
      <c r="L1475" s="2" t="s">
        <v>19041</v>
      </c>
      <c r="M1475" s="3" t="s">
        <v>1032</v>
      </c>
      <c r="O1475" s="3" t="s">
        <v>65</v>
      </c>
      <c r="P1475" s="3" t="s">
        <v>132</v>
      </c>
      <c r="Q1475" s="2" t="s">
        <v>13965</v>
      </c>
      <c r="R1475" s="3" t="s">
        <v>67</v>
      </c>
      <c r="S1475" s="4">
        <v>3</v>
      </c>
      <c r="T1475" s="4">
        <v>3</v>
      </c>
      <c r="U1475" s="5" t="s">
        <v>19017</v>
      </c>
      <c r="V1475" s="5" t="s">
        <v>19017</v>
      </c>
      <c r="W1475" s="5" t="s">
        <v>19042</v>
      </c>
      <c r="X1475" s="5" t="s">
        <v>19042</v>
      </c>
      <c r="Y1475" s="4">
        <v>528</v>
      </c>
      <c r="Z1475" s="4">
        <v>525</v>
      </c>
      <c r="AA1475" s="4">
        <v>532</v>
      </c>
      <c r="AB1475" s="4">
        <v>3</v>
      </c>
      <c r="AC1475" s="4">
        <v>3</v>
      </c>
      <c r="AD1475" s="4">
        <v>7</v>
      </c>
      <c r="AE1475" s="4">
        <v>7</v>
      </c>
      <c r="AF1475" s="4">
        <v>1</v>
      </c>
      <c r="AG1475" s="4">
        <v>1</v>
      </c>
      <c r="AH1475" s="4">
        <v>0</v>
      </c>
      <c r="AI1475" s="4">
        <v>0</v>
      </c>
      <c r="AJ1475" s="4">
        <v>5</v>
      </c>
      <c r="AK1475" s="4">
        <v>5</v>
      </c>
      <c r="AL1475" s="4">
        <v>1</v>
      </c>
      <c r="AM1475" s="4">
        <v>1</v>
      </c>
      <c r="AN1475" s="4">
        <v>0</v>
      </c>
      <c r="AO1475" s="4">
        <v>0</v>
      </c>
      <c r="AP1475" s="3" t="s">
        <v>58</v>
      </c>
      <c r="AQ1475" s="3" t="s">
        <v>58</v>
      </c>
      <c r="AS1475" s="6" t="str">
        <f>HYPERLINK("https://creighton-primo.hosted.exlibrisgroup.com/primo-explore/search?tab=default_tab&amp;search_scope=EVERYTHING&amp;vid=01CRU&amp;lang=en_US&amp;offset=0&amp;query=any,contains,991002698659702656","Catalog Record")</f>
        <v>Catalog Record</v>
      </c>
      <c r="AT1475" s="6" t="str">
        <f>HYPERLINK("http://www.worldcat.org/oclc/35235162","WorldCat Record")</f>
        <v>WorldCat Record</v>
      </c>
      <c r="AU1475" s="3" t="s">
        <v>19043</v>
      </c>
      <c r="AV1475" s="3" t="s">
        <v>19044</v>
      </c>
      <c r="AW1475" s="3" t="s">
        <v>19045</v>
      </c>
      <c r="AX1475" s="3" t="s">
        <v>19045</v>
      </c>
      <c r="AY1475" s="3" t="s">
        <v>19046</v>
      </c>
      <c r="AZ1475" s="3" t="s">
        <v>74</v>
      </c>
      <c r="BB1475" s="3" t="s">
        <v>19047</v>
      </c>
      <c r="BC1475" s="3" t="s">
        <v>19048</v>
      </c>
      <c r="BD1475" s="3" t="s">
        <v>19049</v>
      </c>
    </row>
    <row r="1476" spans="1:56" ht="45.75" customHeight="1" x14ac:dyDescent="0.25">
      <c r="A1476" s="7" t="s">
        <v>58</v>
      </c>
      <c r="B1476" s="2" t="s">
        <v>19050</v>
      </c>
      <c r="C1476" s="2" t="s">
        <v>19051</v>
      </c>
      <c r="D1476" s="2" t="s">
        <v>19052</v>
      </c>
      <c r="F1476" s="3" t="s">
        <v>58</v>
      </c>
      <c r="G1476" s="3" t="s">
        <v>59</v>
      </c>
      <c r="H1476" s="3" t="s">
        <v>58</v>
      </c>
      <c r="I1476" s="3" t="s">
        <v>58</v>
      </c>
      <c r="J1476" s="3" t="s">
        <v>60</v>
      </c>
      <c r="L1476" s="2" t="s">
        <v>19053</v>
      </c>
      <c r="M1476" s="3" t="s">
        <v>220</v>
      </c>
      <c r="O1476" s="3" t="s">
        <v>65</v>
      </c>
      <c r="P1476" s="3" t="s">
        <v>66</v>
      </c>
      <c r="R1476" s="3" t="s">
        <v>67</v>
      </c>
      <c r="S1476" s="4">
        <v>6</v>
      </c>
      <c r="T1476" s="4">
        <v>6</v>
      </c>
      <c r="U1476" s="5" t="s">
        <v>1448</v>
      </c>
      <c r="V1476" s="5" t="s">
        <v>1448</v>
      </c>
      <c r="W1476" s="5" t="s">
        <v>4411</v>
      </c>
      <c r="X1476" s="5" t="s">
        <v>4411</v>
      </c>
      <c r="Y1476" s="4">
        <v>302</v>
      </c>
      <c r="Z1476" s="4">
        <v>260</v>
      </c>
      <c r="AA1476" s="4">
        <v>262</v>
      </c>
      <c r="AB1476" s="4">
        <v>3</v>
      </c>
      <c r="AC1476" s="4">
        <v>3</v>
      </c>
      <c r="AD1476" s="4">
        <v>11</v>
      </c>
      <c r="AE1476" s="4">
        <v>11</v>
      </c>
      <c r="AF1476" s="4">
        <v>4</v>
      </c>
      <c r="AG1476" s="4">
        <v>4</v>
      </c>
      <c r="AH1476" s="4">
        <v>1</v>
      </c>
      <c r="AI1476" s="4">
        <v>1</v>
      </c>
      <c r="AJ1476" s="4">
        <v>6</v>
      </c>
      <c r="AK1476" s="4">
        <v>6</v>
      </c>
      <c r="AL1476" s="4">
        <v>2</v>
      </c>
      <c r="AM1476" s="4">
        <v>2</v>
      </c>
      <c r="AN1476" s="4">
        <v>1</v>
      </c>
      <c r="AO1476" s="4">
        <v>1</v>
      </c>
      <c r="AP1476" s="3" t="s">
        <v>58</v>
      </c>
      <c r="AQ1476" s="3" t="s">
        <v>87</v>
      </c>
      <c r="AR1476" s="6" t="str">
        <f>HYPERLINK("http://catalog.hathitrust.org/Record/004069969","HathiTrust Record")</f>
        <v>HathiTrust Record</v>
      </c>
      <c r="AS1476" s="6" t="str">
        <f>HYPERLINK("https://creighton-primo.hosted.exlibrisgroup.com/primo-explore/search?tab=default_tab&amp;search_scope=EVERYTHING&amp;vid=01CRU&amp;lang=en_US&amp;offset=0&amp;query=any,contains,991003233939702656","Catalog Record")</f>
        <v>Catalog Record</v>
      </c>
      <c r="AT1476" s="6" t="str">
        <f>HYPERLINK("http://www.worldcat.org/oclc/42603205","WorldCat Record")</f>
        <v>WorldCat Record</v>
      </c>
      <c r="AU1476" s="3" t="s">
        <v>19054</v>
      </c>
      <c r="AV1476" s="3" t="s">
        <v>19055</v>
      </c>
      <c r="AW1476" s="3" t="s">
        <v>19056</v>
      </c>
      <c r="AX1476" s="3" t="s">
        <v>19056</v>
      </c>
      <c r="AY1476" s="3" t="s">
        <v>19057</v>
      </c>
      <c r="AZ1476" s="3" t="s">
        <v>74</v>
      </c>
      <c r="BB1476" s="3" t="s">
        <v>19058</v>
      </c>
      <c r="BC1476" s="3" t="s">
        <v>19059</v>
      </c>
      <c r="BD1476" s="3" t="s">
        <v>19060</v>
      </c>
    </row>
    <row r="1477" spans="1:56" ht="45.75" customHeight="1" x14ac:dyDescent="0.25">
      <c r="A1477" s="7" t="s">
        <v>58</v>
      </c>
      <c r="B1477" s="2" t="s">
        <v>19061</v>
      </c>
      <c r="C1477" s="2" t="s">
        <v>19062</v>
      </c>
      <c r="D1477" s="2" t="s">
        <v>19063</v>
      </c>
      <c r="F1477" s="3" t="s">
        <v>58</v>
      </c>
      <c r="G1477" s="3" t="s">
        <v>59</v>
      </c>
      <c r="H1477" s="3" t="s">
        <v>58</v>
      </c>
      <c r="I1477" s="3" t="s">
        <v>58</v>
      </c>
      <c r="J1477" s="3" t="s">
        <v>60</v>
      </c>
      <c r="L1477" s="2" t="s">
        <v>19064</v>
      </c>
      <c r="M1477" s="3" t="s">
        <v>1058</v>
      </c>
      <c r="O1477" s="3" t="s">
        <v>65</v>
      </c>
      <c r="P1477" s="3" t="s">
        <v>772</v>
      </c>
      <c r="R1477" s="3" t="s">
        <v>67</v>
      </c>
      <c r="S1477" s="4">
        <v>18</v>
      </c>
      <c r="T1477" s="4">
        <v>18</v>
      </c>
      <c r="U1477" s="5" t="s">
        <v>3409</v>
      </c>
      <c r="V1477" s="5" t="s">
        <v>3409</v>
      </c>
      <c r="W1477" s="5" t="s">
        <v>2573</v>
      </c>
      <c r="X1477" s="5" t="s">
        <v>2573</v>
      </c>
      <c r="Y1477" s="4">
        <v>218</v>
      </c>
      <c r="Z1477" s="4">
        <v>182</v>
      </c>
      <c r="AA1477" s="4">
        <v>184</v>
      </c>
      <c r="AB1477" s="4">
        <v>3</v>
      </c>
      <c r="AC1477" s="4">
        <v>3</v>
      </c>
      <c r="AD1477" s="4">
        <v>12</v>
      </c>
      <c r="AE1477" s="4">
        <v>12</v>
      </c>
      <c r="AF1477" s="4">
        <v>4</v>
      </c>
      <c r="AG1477" s="4">
        <v>4</v>
      </c>
      <c r="AH1477" s="4">
        <v>1</v>
      </c>
      <c r="AI1477" s="4">
        <v>1</v>
      </c>
      <c r="AJ1477" s="4">
        <v>4</v>
      </c>
      <c r="AK1477" s="4">
        <v>4</v>
      </c>
      <c r="AL1477" s="4">
        <v>2</v>
      </c>
      <c r="AM1477" s="4">
        <v>2</v>
      </c>
      <c r="AN1477" s="4">
        <v>2</v>
      </c>
      <c r="AO1477" s="4">
        <v>2</v>
      </c>
      <c r="AP1477" s="3" t="s">
        <v>58</v>
      </c>
      <c r="AQ1477" s="3" t="s">
        <v>87</v>
      </c>
      <c r="AR1477" s="6" t="str">
        <f>HYPERLINK("http://catalog.hathitrust.org/Record/000927035","HathiTrust Record")</f>
        <v>HathiTrust Record</v>
      </c>
      <c r="AS1477" s="6" t="str">
        <f>HYPERLINK("https://creighton-primo.hosted.exlibrisgroup.com/primo-explore/search?tab=default_tab&amp;search_scope=EVERYTHING&amp;vid=01CRU&amp;lang=en_US&amp;offset=0&amp;query=any,contains,991001285539702656","Catalog Record")</f>
        <v>Catalog Record</v>
      </c>
      <c r="AT1477" s="6" t="str">
        <f>HYPERLINK("http://www.worldcat.org/oclc/17953844","WorldCat Record")</f>
        <v>WorldCat Record</v>
      </c>
      <c r="AU1477" s="3" t="s">
        <v>19065</v>
      </c>
      <c r="AV1477" s="3" t="s">
        <v>19066</v>
      </c>
      <c r="AW1477" s="3" t="s">
        <v>19067</v>
      </c>
      <c r="AX1477" s="3" t="s">
        <v>19067</v>
      </c>
      <c r="AY1477" s="3" t="s">
        <v>19068</v>
      </c>
      <c r="AZ1477" s="3" t="s">
        <v>74</v>
      </c>
      <c r="BB1477" s="3" t="s">
        <v>19069</v>
      </c>
      <c r="BC1477" s="3" t="s">
        <v>19070</v>
      </c>
      <c r="BD1477" s="3" t="s">
        <v>19071</v>
      </c>
    </row>
    <row r="1478" spans="1:56" ht="45.75" customHeight="1" x14ac:dyDescent="0.25">
      <c r="A1478" s="7" t="s">
        <v>58</v>
      </c>
      <c r="B1478" s="2" t="s">
        <v>19072</v>
      </c>
      <c r="C1478" s="2" t="s">
        <v>19073</v>
      </c>
      <c r="D1478" s="2" t="s">
        <v>19074</v>
      </c>
      <c r="F1478" s="3" t="s">
        <v>58</v>
      </c>
      <c r="G1478" s="3" t="s">
        <v>59</v>
      </c>
      <c r="H1478" s="3" t="s">
        <v>58</v>
      </c>
      <c r="I1478" s="3" t="s">
        <v>58</v>
      </c>
      <c r="J1478" s="3" t="s">
        <v>60</v>
      </c>
      <c r="L1478" s="2" t="s">
        <v>19075</v>
      </c>
      <c r="M1478" s="3" t="s">
        <v>203</v>
      </c>
      <c r="O1478" s="3" t="s">
        <v>65</v>
      </c>
      <c r="P1478" s="3" t="s">
        <v>66</v>
      </c>
      <c r="R1478" s="3" t="s">
        <v>67</v>
      </c>
      <c r="S1478" s="4">
        <v>2</v>
      </c>
      <c r="T1478" s="4">
        <v>2</v>
      </c>
      <c r="U1478" s="5" t="s">
        <v>1448</v>
      </c>
      <c r="V1478" s="5" t="s">
        <v>1448</v>
      </c>
      <c r="W1478" s="5" t="s">
        <v>19076</v>
      </c>
      <c r="X1478" s="5" t="s">
        <v>19076</v>
      </c>
      <c r="Y1478" s="4">
        <v>489</v>
      </c>
      <c r="Z1478" s="4">
        <v>453</v>
      </c>
      <c r="AA1478" s="4">
        <v>455</v>
      </c>
      <c r="AB1478" s="4">
        <v>3</v>
      </c>
      <c r="AC1478" s="4">
        <v>3</v>
      </c>
      <c r="AD1478" s="4">
        <v>27</v>
      </c>
      <c r="AE1478" s="4">
        <v>27</v>
      </c>
      <c r="AF1478" s="4">
        <v>11</v>
      </c>
      <c r="AG1478" s="4">
        <v>11</v>
      </c>
      <c r="AH1478" s="4">
        <v>8</v>
      </c>
      <c r="AI1478" s="4">
        <v>8</v>
      </c>
      <c r="AJ1478" s="4">
        <v>12</v>
      </c>
      <c r="AK1478" s="4">
        <v>12</v>
      </c>
      <c r="AL1478" s="4">
        <v>2</v>
      </c>
      <c r="AM1478" s="4">
        <v>2</v>
      </c>
      <c r="AN1478" s="4">
        <v>1</v>
      </c>
      <c r="AO1478" s="4">
        <v>1</v>
      </c>
      <c r="AP1478" s="3" t="s">
        <v>58</v>
      </c>
      <c r="AQ1478" s="3" t="s">
        <v>87</v>
      </c>
      <c r="AR1478" s="6" t="str">
        <f>HYPERLINK("http://catalog.hathitrust.org/Record/004236716","HathiTrust Record")</f>
        <v>HathiTrust Record</v>
      </c>
      <c r="AS1478" s="6" t="str">
        <f>HYPERLINK("https://creighton-primo.hosted.exlibrisgroup.com/primo-explore/search?tab=default_tab&amp;search_scope=EVERYTHING&amp;vid=01CRU&amp;lang=en_US&amp;offset=0&amp;query=any,contains,991003952289702656","Catalog Record")</f>
        <v>Catalog Record</v>
      </c>
      <c r="AT1478" s="6" t="str">
        <f>HYPERLINK("http://www.worldcat.org/oclc/49031152","WorldCat Record")</f>
        <v>WorldCat Record</v>
      </c>
      <c r="AU1478" s="3" t="s">
        <v>19077</v>
      </c>
      <c r="AV1478" s="3" t="s">
        <v>19078</v>
      </c>
      <c r="AW1478" s="3" t="s">
        <v>19079</v>
      </c>
      <c r="AX1478" s="3" t="s">
        <v>19079</v>
      </c>
      <c r="AY1478" s="3" t="s">
        <v>19080</v>
      </c>
      <c r="AZ1478" s="3" t="s">
        <v>74</v>
      </c>
      <c r="BB1478" s="3" t="s">
        <v>19081</v>
      </c>
      <c r="BC1478" s="3" t="s">
        <v>19082</v>
      </c>
      <c r="BD1478" s="3" t="s">
        <v>19083</v>
      </c>
    </row>
    <row r="1479" spans="1:56" ht="45.75" customHeight="1" x14ac:dyDescent="0.25">
      <c r="A1479" s="7" t="s">
        <v>58</v>
      </c>
      <c r="B1479" s="2" t="s">
        <v>19084</v>
      </c>
      <c r="C1479" s="2" t="s">
        <v>19085</v>
      </c>
      <c r="D1479" s="2" t="s">
        <v>19086</v>
      </c>
      <c r="F1479" s="3" t="s">
        <v>58</v>
      </c>
      <c r="G1479" s="3" t="s">
        <v>59</v>
      </c>
      <c r="H1479" s="3" t="s">
        <v>58</v>
      </c>
      <c r="I1479" s="3" t="s">
        <v>58</v>
      </c>
      <c r="J1479" s="3" t="s">
        <v>60</v>
      </c>
      <c r="K1479" s="2" t="s">
        <v>19087</v>
      </c>
      <c r="L1479" s="2" t="s">
        <v>19088</v>
      </c>
      <c r="M1479" s="3" t="s">
        <v>307</v>
      </c>
      <c r="N1479" s="2" t="s">
        <v>543</v>
      </c>
      <c r="O1479" s="3" t="s">
        <v>65</v>
      </c>
      <c r="P1479" s="3" t="s">
        <v>84</v>
      </c>
      <c r="R1479" s="3" t="s">
        <v>67</v>
      </c>
      <c r="S1479" s="4">
        <v>2</v>
      </c>
      <c r="T1479" s="4">
        <v>2</v>
      </c>
      <c r="U1479" s="5" t="s">
        <v>19089</v>
      </c>
      <c r="V1479" s="5" t="s">
        <v>19089</v>
      </c>
      <c r="W1479" s="5" t="s">
        <v>19090</v>
      </c>
      <c r="X1479" s="5" t="s">
        <v>19090</v>
      </c>
      <c r="Y1479" s="4">
        <v>422</v>
      </c>
      <c r="Z1479" s="4">
        <v>398</v>
      </c>
      <c r="AA1479" s="4">
        <v>399</v>
      </c>
      <c r="AB1479" s="4">
        <v>2</v>
      </c>
      <c r="AC1479" s="4">
        <v>2</v>
      </c>
      <c r="AD1479" s="4">
        <v>8</v>
      </c>
      <c r="AE1479" s="4">
        <v>8</v>
      </c>
      <c r="AF1479" s="4">
        <v>1</v>
      </c>
      <c r="AG1479" s="4">
        <v>1</v>
      </c>
      <c r="AH1479" s="4">
        <v>3</v>
      </c>
      <c r="AI1479" s="4">
        <v>3</v>
      </c>
      <c r="AJ1479" s="4">
        <v>5</v>
      </c>
      <c r="AK1479" s="4">
        <v>5</v>
      </c>
      <c r="AL1479" s="4">
        <v>1</v>
      </c>
      <c r="AM1479" s="4">
        <v>1</v>
      </c>
      <c r="AN1479" s="4">
        <v>0</v>
      </c>
      <c r="AO1479" s="4">
        <v>0</v>
      </c>
      <c r="AP1479" s="3" t="s">
        <v>58</v>
      </c>
      <c r="AQ1479" s="3" t="s">
        <v>58</v>
      </c>
      <c r="AS1479" s="6" t="str">
        <f>HYPERLINK("https://creighton-primo.hosted.exlibrisgroup.com/primo-explore/search?tab=default_tab&amp;search_scope=EVERYTHING&amp;vid=01CRU&amp;lang=en_US&amp;offset=0&amp;query=any,contains,991002468639702656","Catalog Record")</f>
        <v>Catalog Record</v>
      </c>
      <c r="AT1479" s="6" t="str">
        <f>HYPERLINK("http://www.worldcat.org/oclc/32166387","WorldCat Record")</f>
        <v>WorldCat Record</v>
      </c>
      <c r="AU1479" s="3" t="s">
        <v>19091</v>
      </c>
      <c r="AV1479" s="3" t="s">
        <v>19092</v>
      </c>
      <c r="AW1479" s="3" t="s">
        <v>19093</v>
      </c>
      <c r="AX1479" s="3" t="s">
        <v>19093</v>
      </c>
      <c r="AY1479" s="3" t="s">
        <v>19094</v>
      </c>
      <c r="AZ1479" s="3" t="s">
        <v>74</v>
      </c>
      <c r="BB1479" s="3" t="s">
        <v>19095</v>
      </c>
      <c r="BC1479" s="3" t="s">
        <v>19096</v>
      </c>
      <c r="BD1479" s="3" t="s">
        <v>19097</v>
      </c>
    </row>
    <row r="1480" spans="1:56" ht="45.75" customHeight="1" x14ac:dyDescent="0.25">
      <c r="A1480" s="7" t="s">
        <v>58</v>
      </c>
      <c r="B1480" s="2" t="s">
        <v>19098</v>
      </c>
      <c r="C1480" s="2" t="s">
        <v>19099</v>
      </c>
      <c r="D1480" s="2" t="s">
        <v>19100</v>
      </c>
      <c r="F1480" s="3" t="s">
        <v>58</v>
      </c>
      <c r="G1480" s="3" t="s">
        <v>59</v>
      </c>
      <c r="H1480" s="3" t="s">
        <v>58</v>
      </c>
      <c r="I1480" s="3" t="s">
        <v>87</v>
      </c>
      <c r="J1480" s="3" t="s">
        <v>60</v>
      </c>
      <c r="K1480" s="2" t="s">
        <v>19101</v>
      </c>
      <c r="L1480" s="2" t="s">
        <v>19102</v>
      </c>
      <c r="M1480" s="3" t="s">
        <v>1500</v>
      </c>
      <c r="N1480" s="2" t="s">
        <v>19103</v>
      </c>
      <c r="O1480" s="3" t="s">
        <v>65</v>
      </c>
      <c r="P1480" s="3" t="s">
        <v>84</v>
      </c>
      <c r="R1480" s="3" t="s">
        <v>67</v>
      </c>
      <c r="S1480" s="4">
        <v>3</v>
      </c>
      <c r="T1480" s="4">
        <v>3</v>
      </c>
      <c r="U1480" s="5" t="s">
        <v>9011</v>
      </c>
      <c r="V1480" s="5" t="s">
        <v>9011</v>
      </c>
      <c r="W1480" s="5" t="s">
        <v>3821</v>
      </c>
      <c r="X1480" s="5" t="s">
        <v>3821</v>
      </c>
      <c r="Y1480" s="4">
        <v>129</v>
      </c>
      <c r="Z1480" s="4">
        <v>107</v>
      </c>
      <c r="AA1480" s="4">
        <v>857</v>
      </c>
      <c r="AB1480" s="4">
        <v>1</v>
      </c>
      <c r="AC1480" s="4">
        <v>7</v>
      </c>
      <c r="AD1480" s="4">
        <v>8</v>
      </c>
      <c r="AE1480" s="4">
        <v>42</v>
      </c>
      <c r="AF1480" s="4">
        <v>3</v>
      </c>
      <c r="AG1480" s="4">
        <v>14</v>
      </c>
      <c r="AH1480" s="4">
        <v>2</v>
      </c>
      <c r="AI1480" s="4">
        <v>7</v>
      </c>
      <c r="AJ1480" s="4">
        <v>4</v>
      </c>
      <c r="AK1480" s="4">
        <v>19</v>
      </c>
      <c r="AL1480" s="4">
        <v>0</v>
      </c>
      <c r="AM1480" s="4">
        <v>4</v>
      </c>
      <c r="AN1480" s="4">
        <v>0</v>
      </c>
      <c r="AO1480" s="4">
        <v>7</v>
      </c>
      <c r="AP1480" s="3" t="s">
        <v>58</v>
      </c>
      <c r="AQ1480" s="3" t="s">
        <v>58</v>
      </c>
      <c r="AS1480" s="6" t="str">
        <f>HYPERLINK("https://creighton-primo.hosted.exlibrisgroup.com/primo-explore/search?tab=default_tab&amp;search_scope=EVERYTHING&amp;vid=01CRU&amp;lang=en_US&amp;offset=0&amp;query=any,contains,991004927599702656","Catalog Record")</f>
        <v>Catalog Record</v>
      </c>
      <c r="AT1480" s="6" t="str">
        <f>HYPERLINK("http://www.worldcat.org/oclc/6087202","WorldCat Record")</f>
        <v>WorldCat Record</v>
      </c>
      <c r="AU1480" s="3" t="s">
        <v>19104</v>
      </c>
      <c r="AV1480" s="3" t="s">
        <v>19105</v>
      </c>
      <c r="AW1480" s="3" t="s">
        <v>19106</v>
      </c>
      <c r="AX1480" s="3" t="s">
        <v>19106</v>
      </c>
      <c r="AY1480" s="3" t="s">
        <v>19107</v>
      </c>
      <c r="AZ1480" s="3" t="s">
        <v>74</v>
      </c>
      <c r="BB1480" s="3" t="s">
        <v>19108</v>
      </c>
      <c r="BC1480" s="3" t="s">
        <v>19109</v>
      </c>
      <c r="BD1480" s="3" t="s">
        <v>19110</v>
      </c>
    </row>
    <row r="1481" spans="1:56" ht="45.75" customHeight="1" x14ac:dyDescent="0.25">
      <c r="A1481" s="7" t="s">
        <v>58</v>
      </c>
      <c r="B1481" s="2" t="s">
        <v>19111</v>
      </c>
      <c r="C1481" s="2" t="s">
        <v>19112</v>
      </c>
      <c r="D1481" s="2" t="s">
        <v>19113</v>
      </c>
      <c r="F1481" s="3" t="s">
        <v>58</v>
      </c>
      <c r="G1481" s="3" t="s">
        <v>59</v>
      </c>
      <c r="H1481" s="3" t="s">
        <v>58</v>
      </c>
      <c r="I1481" s="3" t="s">
        <v>58</v>
      </c>
      <c r="J1481" s="3" t="s">
        <v>60</v>
      </c>
      <c r="L1481" s="2" t="s">
        <v>19114</v>
      </c>
      <c r="M1481" s="3" t="s">
        <v>263</v>
      </c>
      <c r="O1481" s="3" t="s">
        <v>65</v>
      </c>
      <c r="P1481" s="3" t="s">
        <v>8794</v>
      </c>
      <c r="R1481" s="3" t="s">
        <v>67</v>
      </c>
      <c r="S1481" s="4">
        <v>12</v>
      </c>
      <c r="T1481" s="4">
        <v>12</v>
      </c>
      <c r="U1481" s="5" t="s">
        <v>18283</v>
      </c>
      <c r="V1481" s="5" t="s">
        <v>18283</v>
      </c>
      <c r="W1481" s="5" t="s">
        <v>17482</v>
      </c>
      <c r="X1481" s="5" t="s">
        <v>17482</v>
      </c>
      <c r="Y1481" s="4">
        <v>397</v>
      </c>
      <c r="Z1481" s="4">
        <v>372</v>
      </c>
      <c r="AA1481" s="4">
        <v>379</v>
      </c>
      <c r="AB1481" s="4">
        <v>2</v>
      </c>
      <c r="AC1481" s="4">
        <v>2</v>
      </c>
      <c r="AD1481" s="4">
        <v>17</v>
      </c>
      <c r="AE1481" s="4">
        <v>17</v>
      </c>
      <c r="AF1481" s="4">
        <v>6</v>
      </c>
      <c r="AG1481" s="4">
        <v>6</v>
      </c>
      <c r="AH1481" s="4">
        <v>4</v>
      </c>
      <c r="AI1481" s="4">
        <v>4</v>
      </c>
      <c r="AJ1481" s="4">
        <v>9</v>
      </c>
      <c r="AK1481" s="4">
        <v>9</v>
      </c>
      <c r="AL1481" s="4">
        <v>1</v>
      </c>
      <c r="AM1481" s="4">
        <v>1</v>
      </c>
      <c r="AN1481" s="4">
        <v>1</v>
      </c>
      <c r="AO1481" s="4">
        <v>1</v>
      </c>
      <c r="AP1481" s="3" t="s">
        <v>58</v>
      </c>
      <c r="AQ1481" s="3" t="s">
        <v>87</v>
      </c>
      <c r="AR1481" s="6" t="str">
        <f>HYPERLINK("http://catalog.hathitrust.org/Record/003062188","HathiTrust Record")</f>
        <v>HathiTrust Record</v>
      </c>
      <c r="AS1481" s="6" t="str">
        <f>HYPERLINK("https://creighton-primo.hosted.exlibrisgroup.com/primo-explore/search?tab=default_tab&amp;search_scope=EVERYTHING&amp;vid=01CRU&amp;lang=en_US&amp;offset=0&amp;query=any,contains,991005422419702656","Catalog Record")</f>
        <v>Catalog Record</v>
      </c>
      <c r="AT1481" s="6" t="str">
        <f>HYPERLINK("http://www.worldcat.org/oclc/33281644","WorldCat Record")</f>
        <v>WorldCat Record</v>
      </c>
      <c r="AU1481" s="3" t="s">
        <v>19115</v>
      </c>
      <c r="AV1481" s="3" t="s">
        <v>19116</v>
      </c>
      <c r="AW1481" s="3" t="s">
        <v>19117</v>
      </c>
      <c r="AX1481" s="3" t="s">
        <v>19117</v>
      </c>
      <c r="AY1481" s="3" t="s">
        <v>19118</v>
      </c>
      <c r="AZ1481" s="3" t="s">
        <v>74</v>
      </c>
      <c r="BB1481" s="3" t="s">
        <v>19119</v>
      </c>
      <c r="BC1481" s="3" t="s">
        <v>19120</v>
      </c>
      <c r="BD1481" s="3" t="s">
        <v>19121</v>
      </c>
    </row>
    <row r="1482" spans="1:56" ht="45.75" customHeight="1" x14ac:dyDescent="0.25">
      <c r="A1482" s="7" t="s">
        <v>58</v>
      </c>
      <c r="B1482" s="2" t="s">
        <v>19122</v>
      </c>
      <c r="C1482" s="2" t="s">
        <v>19123</v>
      </c>
      <c r="D1482" s="2" t="s">
        <v>19124</v>
      </c>
      <c r="F1482" s="3" t="s">
        <v>58</v>
      </c>
      <c r="G1482" s="3" t="s">
        <v>59</v>
      </c>
      <c r="H1482" s="3" t="s">
        <v>58</v>
      </c>
      <c r="I1482" s="3" t="s">
        <v>58</v>
      </c>
      <c r="J1482" s="3" t="s">
        <v>60</v>
      </c>
      <c r="K1482" s="2" t="s">
        <v>19125</v>
      </c>
      <c r="L1482" s="2" t="s">
        <v>19126</v>
      </c>
      <c r="M1482" s="3" t="s">
        <v>1500</v>
      </c>
      <c r="O1482" s="3" t="s">
        <v>65</v>
      </c>
      <c r="P1482" s="3" t="s">
        <v>190</v>
      </c>
      <c r="R1482" s="3" t="s">
        <v>67</v>
      </c>
      <c r="S1482" s="4">
        <v>13</v>
      </c>
      <c r="T1482" s="4">
        <v>13</v>
      </c>
      <c r="U1482" s="5" t="s">
        <v>19127</v>
      </c>
      <c r="V1482" s="5" t="s">
        <v>19127</v>
      </c>
      <c r="W1482" s="5" t="s">
        <v>1758</v>
      </c>
      <c r="X1482" s="5" t="s">
        <v>1758</v>
      </c>
      <c r="Y1482" s="4">
        <v>180</v>
      </c>
      <c r="Z1482" s="4">
        <v>173</v>
      </c>
      <c r="AA1482" s="4">
        <v>316</v>
      </c>
      <c r="AB1482" s="4">
        <v>1</v>
      </c>
      <c r="AC1482" s="4">
        <v>5</v>
      </c>
      <c r="AD1482" s="4">
        <v>4</v>
      </c>
      <c r="AE1482" s="4">
        <v>12</v>
      </c>
      <c r="AF1482" s="4">
        <v>3</v>
      </c>
      <c r="AG1482" s="4">
        <v>6</v>
      </c>
      <c r="AH1482" s="4">
        <v>1</v>
      </c>
      <c r="AI1482" s="4">
        <v>2</v>
      </c>
      <c r="AJ1482" s="4">
        <v>3</v>
      </c>
      <c r="AK1482" s="4">
        <v>4</v>
      </c>
      <c r="AL1482" s="4">
        <v>0</v>
      </c>
      <c r="AM1482" s="4">
        <v>4</v>
      </c>
      <c r="AN1482" s="4">
        <v>0</v>
      </c>
      <c r="AO1482" s="4">
        <v>0</v>
      </c>
      <c r="AP1482" s="3" t="s">
        <v>58</v>
      </c>
      <c r="AQ1482" s="3" t="s">
        <v>58</v>
      </c>
      <c r="AS1482" s="6" t="str">
        <f>HYPERLINK("https://creighton-primo.hosted.exlibrisgroup.com/primo-explore/search?tab=default_tab&amp;search_scope=EVERYTHING&amp;vid=01CRU&amp;lang=en_US&amp;offset=0&amp;query=any,contains,991004943109702656","Catalog Record")</f>
        <v>Catalog Record</v>
      </c>
      <c r="AT1482" s="6" t="str">
        <f>HYPERLINK("http://www.worldcat.org/oclc/6195733","WorldCat Record")</f>
        <v>WorldCat Record</v>
      </c>
      <c r="AU1482" s="3" t="s">
        <v>19128</v>
      </c>
      <c r="AV1482" s="3" t="s">
        <v>19129</v>
      </c>
      <c r="AW1482" s="3" t="s">
        <v>19130</v>
      </c>
      <c r="AX1482" s="3" t="s">
        <v>19130</v>
      </c>
      <c r="AY1482" s="3" t="s">
        <v>19131</v>
      </c>
      <c r="AZ1482" s="3" t="s">
        <v>74</v>
      </c>
      <c r="BB1482" s="3" t="s">
        <v>19132</v>
      </c>
      <c r="BC1482" s="3" t="s">
        <v>19133</v>
      </c>
      <c r="BD1482" s="3" t="s">
        <v>19134</v>
      </c>
    </row>
    <row r="1483" spans="1:56" ht="45.75" customHeight="1" x14ac:dyDescent="0.25">
      <c r="A1483" s="7" t="s">
        <v>58</v>
      </c>
      <c r="B1483" s="2" t="s">
        <v>19135</v>
      </c>
      <c r="C1483" s="2" t="s">
        <v>19136</v>
      </c>
      <c r="D1483" s="2" t="s">
        <v>19137</v>
      </c>
      <c r="F1483" s="3" t="s">
        <v>58</v>
      </c>
      <c r="G1483" s="3" t="s">
        <v>59</v>
      </c>
      <c r="H1483" s="3" t="s">
        <v>58</v>
      </c>
      <c r="I1483" s="3" t="s">
        <v>58</v>
      </c>
      <c r="J1483" s="3" t="s">
        <v>60</v>
      </c>
      <c r="K1483" s="2" t="s">
        <v>19138</v>
      </c>
      <c r="L1483" s="2" t="s">
        <v>19139</v>
      </c>
      <c r="M1483" s="3" t="s">
        <v>3601</v>
      </c>
      <c r="O1483" s="3" t="s">
        <v>19140</v>
      </c>
      <c r="P1483" s="3" t="s">
        <v>19141</v>
      </c>
      <c r="R1483" s="3" t="s">
        <v>67</v>
      </c>
      <c r="S1483" s="4">
        <v>0</v>
      </c>
      <c r="T1483" s="4">
        <v>0</v>
      </c>
      <c r="U1483" s="5" t="s">
        <v>9011</v>
      </c>
      <c r="V1483" s="5" t="s">
        <v>9011</v>
      </c>
      <c r="W1483" s="5" t="s">
        <v>15332</v>
      </c>
      <c r="X1483" s="5" t="s">
        <v>15332</v>
      </c>
      <c r="Y1483" s="4">
        <v>12</v>
      </c>
      <c r="Z1483" s="4">
        <v>6</v>
      </c>
      <c r="AA1483" s="4">
        <v>53</v>
      </c>
      <c r="AB1483" s="4">
        <v>1</v>
      </c>
      <c r="AC1483" s="4">
        <v>1</v>
      </c>
      <c r="AD1483" s="4">
        <v>1</v>
      </c>
      <c r="AE1483" s="4">
        <v>1</v>
      </c>
      <c r="AF1483" s="4">
        <v>0</v>
      </c>
      <c r="AG1483" s="4">
        <v>0</v>
      </c>
      <c r="AH1483" s="4">
        <v>0</v>
      </c>
      <c r="AI1483" s="4">
        <v>0</v>
      </c>
      <c r="AJ1483" s="4">
        <v>1</v>
      </c>
      <c r="AK1483" s="4">
        <v>1</v>
      </c>
      <c r="AL1483" s="4">
        <v>0</v>
      </c>
      <c r="AM1483" s="4">
        <v>0</v>
      </c>
      <c r="AN1483" s="4">
        <v>0</v>
      </c>
      <c r="AO1483" s="4">
        <v>0</v>
      </c>
      <c r="AP1483" s="3" t="s">
        <v>58</v>
      </c>
      <c r="AQ1483" s="3" t="s">
        <v>58</v>
      </c>
      <c r="AS1483" s="6" t="str">
        <f>HYPERLINK("https://creighton-primo.hosted.exlibrisgroup.com/primo-explore/search?tab=default_tab&amp;search_scope=EVERYTHING&amp;vid=01CRU&amp;lang=en_US&amp;offset=0&amp;query=any,contains,991000428309702656","Catalog Record")</f>
        <v>Catalog Record</v>
      </c>
      <c r="AT1483" s="6" t="str">
        <f>HYPERLINK("http://www.worldcat.org/oclc/10769145","WorldCat Record")</f>
        <v>WorldCat Record</v>
      </c>
      <c r="AU1483" s="3" t="s">
        <v>19142</v>
      </c>
      <c r="AV1483" s="3" t="s">
        <v>19143</v>
      </c>
      <c r="AW1483" s="3" t="s">
        <v>19144</v>
      </c>
      <c r="AX1483" s="3" t="s">
        <v>19144</v>
      </c>
      <c r="AY1483" s="3" t="s">
        <v>19145</v>
      </c>
      <c r="AZ1483" s="3" t="s">
        <v>74</v>
      </c>
      <c r="BC1483" s="3" t="s">
        <v>19146</v>
      </c>
      <c r="BD1483" s="3" t="s">
        <v>19147</v>
      </c>
    </row>
    <row r="1484" spans="1:56" ht="45.75" customHeight="1" x14ac:dyDescent="0.25">
      <c r="A1484" s="7" t="s">
        <v>58</v>
      </c>
      <c r="B1484" s="2" t="s">
        <v>19148</v>
      </c>
      <c r="C1484" s="2" t="s">
        <v>19149</v>
      </c>
      <c r="D1484" s="2" t="s">
        <v>19150</v>
      </c>
      <c r="F1484" s="3" t="s">
        <v>58</v>
      </c>
      <c r="G1484" s="3" t="s">
        <v>59</v>
      </c>
      <c r="H1484" s="3" t="s">
        <v>58</v>
      </c>
      <c r="I1484" s="3" t="s">
        <v>58</v>
      </c>
      <c r="J1484" s="3" t="s">
        <v>60</v>
      </c>
      <c r="K1484" s="2" t="s">
        <v>19151</v>
      </c>
      <c r="L1484" s="2" t="s">
        <v>1057</v>
      </c>
      <c r="M1484" s="3" t="s">
        <v>1058</v>
      </c>
      <c r="O1484" s="3" t="s">
        <v>65</v>
      </c>
      <c r="P1484" s="3" t="s">
        <v>84</v>
      </c>
      <c r="Q1484" s="2" t="s">
        <v>19152</v>
      </c>
      <c r="R1484" s="3" t="s">
        <v>67</v>
      </c>
      <c r="S1484" s="4">
        <v>9</v>
      </c>
      <c r="T1484" s="4">
        <v>9</v>
      </c>
      <c r="U1484" s="5" t="s">
        <v>19153</v>
      </c>
      <c r="V1484" s="5" t="s">
        <v>19153</v>
      </c>
      <c r="W1484" s="5" t="s">
        <v>19154</v>
      </c>
      <c r="X1484" s="5" t="s">
        <v>19154</v>
      </c>
      <c r="Y1484" s="4">
        <v>350</v>
      </c>
      <c r="Z1484" s="4">
        <v>302</v>
      </c>
      <c r="AA1484" s="4">
        <v>309</v>
      </c>
      <c r="AB1484" s="4">
        <v>4</v>
      </c>
      <c r="AC1484" s="4">
        <v>4</v>
      </c>
      <c r="AD1484" s="4">
        <v>20</v>
      </c>
      <c r="AE1484" s="4">
        <v>20</v>
      </c>
      <c r="AF1484" s="4">
        <v>5</v>
      </c>
      <c r="AG1484" s="4">
        <v>5</v>
      </c>
      <c r="AH1484" s="4">
        <v>5</v>
      </c>
      <c r="AI1484" s="4">
        <v>5</v>
      </c>
      <c r="AJ1484" s="4">
        <v>9</v>
      </c>
      <c r="AK1484" s="4">
        <v>9</v>
      </c>
      <c r="AL1484" s="4">
        <v>3</v>
      </c>
      <c r="AM1484" s="4">
        <v>3</v>
      </c>
      <c r="AN1484" s="4">
        <v>1</v>
      </c>
      <c r="AO1484" s="4">
        <v>1</v>
      </c>
      <c r="AP1484" s="3" t="s">
        <v>58</v>
      </c>
      <c r="AQ1484" s="3" t="s">
        <v>87</v>
      </c>
      <c r="AR1484" s="6" t="str">
        <f>HYPERLINK("http://catalog.hathitrust.org/Record/001097682","HathiTrust Record")</f>
        <v>HathiTrust Record</v>
      </c>
      <c r="AS1484" s="6" t="str">
        <f>HYPERLINK("https://creighton-primo.hosted.exlibrisgroup.com/primo-explore/search?tab=default_tab&amp;search_scope=EVERYTHING&amp;vid=01CRU&amp;lang=en_US&amp;offset=0&amp;query=any,contains,991001289649702656","Catalog Record")</f>
        <v>Catalog Record</v>
      </c>
      <c r="AT1484" s="6" t="str">
        <f>HYPERLINK("http://www.worldcat.org/oclc/17982692","WorldCat Record")</f>
        <v>WorldCat Record</v>
      </c>
      <c r="AU1484" s="3" t="s">
        <v>19155</v>
      </c>
      <c r="AV1484" s="3" t="s">
        <v>19156</v>
      </c>
      <c r="AW1484" s="3" t="s">
        <v>19157</v>
      </c>
      <c r="AX1484" s="3" t="s">
        <v>19157</v>
      </c>
      <c r="AY1484" s="3" t="s">
        <v>19158</v>
      </c>
      <c r="AZ1484" s="3" t="s">
        <v>74</v>
      </c>
      <c r="BB1484" s="3" t="s">
        <v>19159</v>
      </c>
      <c r="BC1484" s="3" t="s">
        <v>19160</v>
      </c>
      <c r="BD1484" s="3" t="s">
        <v>19161</v>
      </c>
    </row>
    <row r="1485" spans="1:56" ht="45.75" customHeight="1" x14ac:dyDescent="0.25">
      <c r="A1485" s="7" t="s">
        <v>58</v>
      </c>
      <c r="B1485" s="2" t="s">
        <v>19162</v>
      </c>
      <c r="C1485" s="2" t="s">
        <v>19163</v>
      </c>
      <c r="D1485" s="2" t="s">
        <v>19164</v>
      </c>
      <c r="F1485" s="3" t="s">
        <v>58</v>
      </c>
      <c r="G1485" s="3" t="s">
        <v>59</v>
      </c>
      <c r="H1485" s="3" t="s">
        <v>58</v>
      </c>
      <c r="I1485" s="3" t="s">
        <v>58</v>
      </c>
      <c r="J1485" s="3" t="s">
        <v>60</v>
      </c>
      <c r="K1485" s="2" t="s">
        <v>19165</v>
      </c>
      <c r="L1485" s="2" t="s">
        <v>19166</v>
      </c>
      <c r="M1485" s="3" t="s">
        <v>63</v>
      </c>
      <c r="O1485" s="3" t="s">
        <v>65</v>
      </c>
      <c r="P1485" s="3" t="s">
        <v>19167</v>
      </c>
      <c r="R1485" s="3" t="s">
        <v>67</v>
      </c>
      <c r="S1485" s="4">
        <v>3</v>
      </c>
      <c r="T1485" s="4">
        <v>3</v>
      </c>
      <c r="U1485" s="5" t="s">
        <v>12760</v>
      </c>
      <c r="V1485" s="5" t="s">
        <v>12760</v>
      </c>
      <c r="W1485" s="5" t="s">
        <v>12760</v>
      </c>
      <c r="X1485" s="5" t="s">
        <v>12760</v>
      </c>
      <c r="Y1485" s="4">
        <v>237</v>
      </c>
      <c r="Z1485" s="4">
        <v>216</v>
      </c>
      <c r="AA1485" s="4">
        <v>221</v>
      </c>
      <c r="AB1485" s="4">
        <v>1</v>
      </c>
      <c r="AC1485" s="4">
        <v>1</v>
      </c>
      <c r="AD1485" s="4">
        <v>12</v>
      </c>
      <c r="AE1485" s="4">
        <v>12</v>
      </c>
      <c r="AF1485" s="4">
        <v>3</v>
      </c>
      <c r="AG1485" s="4">
        <v>3</v>
      </c>
      <c r="AH1485" s="4">
        <v>4</v>
      </c>
      <c r="AI1485" s="4">
        <v>4</v>
      </c>
      <c r="AJ1485" s="4">
        <v>10</v>
      </c>
      <c r="AK1485" s="4">
        <v>10</v>
      </c>
      <c r="AL1485" s="4">
        <v>0</v>
      </c>
      <c r="AM1485" s="4">
        <v>0</v>
      </c>
      <c r="AN1485" s="4">
        <v>0</v>
      </c>
      <c r="AO1485" s="4">
        <v>0</v>
      </c>
      <c r="AP1485" s="3" t="s">
        <v>58</v>
      </c>
      <c r="AQ1485" s="3" t="s">
        <v>58</v>
      </c>
      <c r="AS1485" s="6" t="str">
        <f>HYPERLINK("https://creighton-primo.hosted.exlibrisgroup.com/primo-explore/search?tab=default_tab&amp;search_scope=EVERYTHING&amp;vid=01CRU&amp;lang=en_US&amp;offset=0&amp;query=any,contains,991005275329702656","Catalog Record")</f>
        <v>Catalog Record</v>
      </c>
      <c r="AT1485" s="6" t="str">
        <f>HYPERLINK("http://www.worldcat.org/oclc/60705498","WorldCat Record")</f>
        <v>WorldCat Record</v>
      </c>
      <c r="AU1485" s="3" t="s">
        <v>19168</v>
      </c>
      <c r="AV1485" s="3" t="s">
        <v>19169</v>
      </c>
      <c r="AW1485" s="3" t="s">
        <v>19170</v>
      </c>
      <c r="AX1485" s="3" t="s">
        <v>19170</v>
      </c>
      <c r="AY1485" s="3" t="s">
        <v>19171</v>
      </c>
      <c r="AZ1485" s="3" t="s">
        <v>74</v>
      </c>
      <c r="BB1485" s="3" t="s">
        <v>19172</v>
      </c>
      <c r="BC1485" s="3" t="s">
        <v>19173</v>
      </c>
      <c r="BD1485" s="3" t="s">
        <v>19174</v>
      </c>
    </row>
    <row r="1486" spans="1:56" ht="45.75" customHeight="1" x14ac:dyDescent="0.25">
      <c r="A1486" s="7" t="s">
        <v>58</v>
      </c>
      <c r="B1486" s="2" t="s">
        <v>19175</v>
      </c>
      <c r="C1486" s="2" t="s">
        <v>19176</v>
      </c>
      <c r="D1486" s="2" t="s">
        <v>19177</v>
      </c>
      <c r="F1486" s="3" t="s">
        <v>58</v>
      </c>
      <c r="G1486" s="3" t="s">
        <v>59</v>
      </c>
      <c r="H1486" s="3" t="s">
        <v>58</v>
      </c>
      <c r="I1486" s="3" t="s">
        <v>58</v>
      </c>
      <c r="J1486" s="3" t="s">
        <v>60</v>
      </c>
      <c r="L1486" s="2" t="s">
        <v>19178</v>
      </c>
      <c r="M1486" s="3" t="s">
        <v>573</v>
      </c>
      <c r="O1486" s="3" t="s">
        <v>65</v>
      </c>
      <c r="P1486" s="3" t="s">
        <v>19179</v>
      </c>
      <c r="R1486" s="3" t="s">
        <v>67</v>
      </c>
      <c r="S1486" s="4">
        <v>1</v>
      </c>
      <c r="T1486" s="4">
        <v>1</v>
      </c>
      <c r="U1486" s="5" t="s">
        <v>10040</v>
      </c>
      <c r="V1486" s="5" t="s">
        <v>10040</v>
      </c>
      <c r="W1486" s="5" t="s">
        <v>10040</v>
      </c>
      <c r="X1486" s="5" t="s">
        <v>10040</v>
      </c>
      <c r="Y1486" s="4">
        <v>269</v>
      </c>
      <c r="Z1486" s="4">
        <v>248</v>
      </c>
      <c r="AA1486" s="4">
        <v>248</v>
      </c>
      <c r="AB1486" s="4">
        <v>1</v>
      </c>
      <c r="AC1486" s="4">
        <v>1</v>
      </c>
      <c r="AD1486" s="4">
        <v>12</v>
      </c>
      <c r="AE1486" s="4">
        <v>12</v>
      </c>
      <c r="AF1486" s="4">
        <v>4</v>
      </c>
      <c r="AG1486" s="4">
        <v>4</v>
      </c>
      <c r="AH1486" s="4">
        <v>2</v>
      </c>
      <c r="AI1486" s="4">
        <v>2</v>
      </c>
      <c r="AJ1486" s="4">
        <v>10</v>
      </c>
      <c r="AK1486" s="4">
        <v>10</v>
      </c>
      <c r="AL1486" s="4">
        <v>0</v>
      </c>
      <c r="AM1486" s="4">
        <v>0</v>
      </c>
      <c r="AN1486" s="4">
        <v>1</v>
      </c>
      <c r="AO1486" s="4">
        <v>1</v>
      </c>
      <c r="AP1486" s="3" t="s">
        <v>58</v>
      </c>
      <c r="AQ1486" s="3" t="s">
        <v>58</v>
      </c>
      <c r="AS1486" s="6" t="str">
        <f>HYPERLINK("https://creighton-primo.hosted.exlibrisgroup.com/primo-explore/search?tab=default_tab&amp;search_scope=EVERYTHING&amp;vid=01CRU&amp;lang=en_US&amp;offset=0&amp;query=any,contains,991004358539702656","Catalog Record")</f>
        <v>Catalog Record</v>
      </c>
      <c r="AT1486" s="6" t="str">
        <f>HYPERLINK("http://www.worldcat.org/oclc/50243267","WorldCat Record")</f>
        <v>WorldCat Record</v>
      </c>
      <c r="AU1486" s="3" t="s">
        <v>19180</v>
      </c>
      <c r="AV1486" s="3" t="s">
        <v>19181</v>
      </c>
      <c r="AW1486" s="3" t="s">
        <v>19182</v>
      </c>
      <c r="AX1486" s="3" t="s">
        <v>19182</v>
      </c>
      <c r="AY1486" s="3" t="s">
        <v>19183</v>
      </c>
      <c r="AZ1486" s="3" t="s">
        <v>74</v>
      </c>
      <c r="BB1486" s="3" t="s">
        <v>19184</v>
      </c>
      <c r="BC1486" s="3" t="s">
        <v>19185</v>
      </c>
      <c r="BD1486" s="3" t="s">
        <v>19186</v>
      </c>
    </row>
    <row r="1487" spans="1:56" ht="45.75" customHeight="1" x14ac:dyDescent="0.25">
      <c r="A1487" s="7" t="s">
        <v>58</v>
      </c>
      <c r="B1487" s="2" t="s">
        <v>19187</v>
      </c>
      <c r="C1487" s="2" t="s">
        <v>19188</v>
      </c>
      <c r="D1487" s="2" t="s">
        <v>19189</v>
      </c>
      <c r="F1487" s="3" t="s">
        <v>58</v>
      </c>
      <c r="G1487" s="3" t="s">
        <v>59</v>
      </c>
      <c r="H1487" s="3" t="s">
        <v>58</v>
      </c>
      <c r="I1487" s="3" t="s">
        <v>58</v>
      </c>
      <c r="J1487" s="3" t="s">
        <v>60</v>
      </c>
      <c r="K1487" s="2" t="s">
        <v>19190</v>
      </c>
      <c r="L1487" s="2" t="s">
        <v>19191</v>
      </c>
      <c r="M1487" s="3" t="s">
        <v>335</v>
      </c>
      <c r="O1487" s="3" t="s">
        <v>65</v>
      </c>
      <c r="P1487" s="3" t="s">
        <v>19192</v>
      </c>
      <c r="R1487" s="3" t="s">
        <v>67</v>
      </c>
      <c r="S1487" s="4">
        <v>2</v>
      </c>
      <c r="T1487" s="4">
        <v>2</v>
      </c>
      <c r="U1487" s="5" t="s">
        <v>9843</v>
      </c>
      <c r="V1487" s="5" t="s">
        <v>9843</v>
      </c>
      <c r="W1487" s="5" t="s">
        <v>19193</v>
      </c>
      <c r="X1487" s="5" t="s">
        <v>19193</v>
      </c>
      <c r="Y1487" s="4">
        <v>61</v>
      </c>
      <c r="Z1487" s="4">
        <v>61</v>
      </c>
      <c r="AA1487" s="4">
        <v>64</v>
      </c>
      <c r="AB1487" s="4">
        <v>10</v>
      </c>
      <c r="AC1487" s="4">
        <v>10</v>
      </c>
      <c r="AD1487" s="4">
        <v>1</v>
      </c>
      <c r="AE1487" s="4">
        <v>1</v>
      </c>
      <c r="AF1487" s="4">
        <v>0</v>
      </c>
      <c r="AG1487" s="4">
        <v>0</v>
      </c>
      <c r="AH1487" s="4">
        <v>0</v>
      </c>
      <c r="AI1487" s="4">
        <v>0</v>
      </c>
      <c r="AJ1487" s="4">
        <v>0</v>
      </c>
      <c r="AK1487" s="4">
        <v>0</v>
      </c>
      <c r="AL1487" s="4">
        <v>1</v>
      </c>
      <c r="AM1487" s="4">
        <v>1</v>
      </c>
      <c r="AN1487" s="4">
        <v>0</v>
      </c>
      <c r="AO1487" s="4">
        <v>0</v>
      </c>
      <c r="AP1487" s="3" t="s">
        <v>58</v>
      </c>
      <c r="AQ1487" s="3" t="s">
        <v>58</v>
      </c>
      <c r="AS1487" s="6" t="str">
        <f>HYPERLINK("https://creighton-primo.hosted.exlibrisgroup.com/primo-explore/search?tab=default_tab&amp;search_scope=EVERYTHING&amp;vid=01CRU&amp;lang=en_US&amp;offset=0&amp;query=any,contains,991000191299702656","Catalog Record")</f>
        <v>Catalog Record</v>
      </c>
      <c r="AT1487" s="6" t="str">
        <f>HYPERLINK("http://www.worldcat.org/oclc/697319807","WorldCat Record")</f>
        <v>WorldCat Record</v>
      </c>
      <c r="AU1487" s="3" t="s">
        <v>19194</v>
      </c>
      <c r="AV1487" s="3" t="s">
        <v>19195</v>
      </c>
      <c r="AW1487" s="3" t="s">
        <v>19196</v>
      </c>
      <c r="AX1487" s="3" t="s">
        <v>19196</v>
      </c>
      <c r="AY1487" s="3" t="s">
        <v>19197</v>
      </c>
      <c r="AZ1487" s="3" t="s">
        <v>74</v>
      </c>
      <c r="BB1487" s="3" t="s">
        <v>19198</v>
      </c>
      <c r="BC1487" s="3" t="s">
        <v>19199</v>
      </c>
      <c r="BD1487" s="3" t="s">
        <v>19200</v>
      </c>
    </row>
    <row r="1488" spans="1:56" ht="45.75" customHeight="1" x14ac:dyDescent="0.25">
      <c r="A1488" s="7" t="s">
        <v>58</v>
      </c>
      <c r="B1488" s="2" t="s">
        <v>19201</v>
      </c>
      <c r="C1488" s="2" t="s">
        <v>19202</v>
      </c>
      <c r="D1488" s="2" t="s">
        <v>19203</v>
      </c>
      <c r="F1488" s="3" t="s">
        <v>58</v>
      </c>
      <c r="G1488" s="3" t="s">
        <v>59</v>
      </c>
      <c r="H1488" s="3" t="s">
        <v>58</v>
      </c>
      <c r="I1488" s="3" t="s">
        <v>58</v>
      </c>
      <c r="J1488" s="3" t="s">
        <v>60</v>
      </c>
      <c r="L1488" s="2" t="s">
        <v>6740</v>
      </c>
      <c r="M1488" s="3" t="s">
        <v>1032</v>
      </c>
      <c r="O1488" s="3" t="s">
        <v>65</v>
      </c>
      <c r="P1488" s="3" t="s">
        <v>148</v>
      </c>
      <c r="R1488" s="3" t="s">
        <v>67</v>
      </c>
      <c r="S1488" s="4">
        <v>2</v>
      </c>
      <c r="T1488" s="4">
        <v>2</v>
      </c>
      <c r="U1488" s="5" t="s">
        <v>19204</v>
      </c>
      <c r="V1488" s="5" t="s">
        <v>19204</v>
      </c>
      <c r="W1488" s="5" t="s">
        <v>19205</v>
      </c>
      <c r="X1488" s="5" t="s">
        <v>19205</v>
      </c>
      <c r="Y1488" s="4">
        <v>611</v>
      </c>
      <c r="Z1488" s="4">
        <v>553</v>
      </c>
      <c r="AA1488" s="4">
        <v>584</v>
      </c>
      <c r="AB1488" s="4">
        <v>5</v>
      </c>
      <c r="AC1488" s="4">
        <v>5</v>
      </c>
      <c r="AD1488" s="4">
        <v>22</v>
      </c>
      <c r="AE1488" s="4">
        <v>24</v>
      </c>
      <c r="AF1488" s="4">
        <v>5</v>
      </c>
      <c r="AG1488" s="4">
        <v>7</v>
      </c>
      <c r="AH1488" s="4">
        <v>8</v>
      </c>
      <c r="AI1488" s="4">
        <v>8</v>
      </c>
      <c r="AJ1488" s="4">
        <v>11</v>
      </c>
      <c r="AK1488" s="4">
        <v>12</v>
      </c>
      <c r="AL1488" s="4">
        <v>4</v>
      </c>
      <c r="AM1488" s="4">
        <v>4</v>
      </c>
      <c r="AN1488" s="4">
        <v>0</v>
      </c>
      <c r="AO1488" s="4">
        <v>0</v>
      </c>
      <c r="AP1488" s="3" t="s">
        <v>58</v>
      </c>
      <c r="AQ1488" s="3" t="s">
        <v>87</v>
      </c>
      <c r="AR1488" s="6" t="str">
        <f>HYPERLINK("http://catalog.hathitrust.org/Record/003962710","HathiTrust Record")</f>
        <v>HathiTrust Record</v>
      </c>
      <c r="AS1488" s="6" t="str">
        <f>HYPERLINK("https://creighton-primo.hosted.exlibrisgroup.com/primo-explore/search?tab=default_tab&amp;search_scope=EVERYTHING&amp;vid=01CRU&amp;lang=en_US&amp;offset=0&amp;query=any,contains,991002819359702656","Catalog Record")</f>
        <v>Catalog Record</v>
      </c>
      <c r="AT1488" s="6" t="str">
        <f>HYPERLINK("http://www.worldcat.org/oclc/37037431","WorldCat Record")</f>
        <v>WorldCat Record</v>
      </c>
      <c r="AU1488" s="3" t="s">
        <v>19206</v>
      </c>
      <c r="AV1488" s="3" t="s">
        <v>19207</v>
      </c>
      <c r="AW1488" s="3" t="s">
        <v>19208</v>
      </c>
      <c r="AX1488" s="3" t="s">
        <v>19208</v>
      </c>
      <c r="AY1488" s="3" t="s">
        <v>19209</v>
      </c>
      <c r="AZ1488" s="3" t="s">
        <v>74</v>
      </c>
      <c r="BB1488" s="3" t="s">
        <v>19210</v>
      </c>
      <c r="BC1488" s="3" t="s">
        <v>19211</v>
      </c>
      <c r="BD1488" s="3" t="s">
        <v>19212</v>
      </c>
    </row>
    <row r="1489" spans="1:56" ht="45.75" customHeight="1" x14ac:dyDescent="0.25">
      <c r="A1489" s="7" t="s">
        <v>58</v>
      </c>
      <c r="B1489" s="2" t="s">
        <v>19213</v>
      </c>
      <c r="C1489" s="2" t="s">
        <v>19214</v>
      </c>
      <c r="D1489" s="2" t="s">
        <v>19215</v>
      </c>
      <c r="F1489" s="3" t="s">
        <v>58</v>
      </c>
      <c r="G1489" s="3" t="s">
        <v>59</v>
      </c>
      <c r="H1489" s="3" t="s">
        <v>58</v>
      </c>
      <c r="I1489" s="3" t="s">
        <v>58</v>
      </c>
      <c r="J1489" s="3" t="s">
        <v>60</v>
      </c>
      <c r="K1489" s="2" t="s">
        <v>19216</v>
      </c>
      <c r="L1489" s="2" t="s">
        <v>19217</v>
      </c>
      <c r="M1489" s="3" t="s">
        <v>1674</v>
      </c>
      <c r="O1489" s="3" t="s">
        <v>65</v>
      </c>
      <c r="P1489" s="3" t="s">
        <v>84</v>
      </c>
      <c r="Q1489" s="2" t="s">
        <v>19218</v>
      </c>
      <c r="R1489" s="3" t="s">
        <v>67</v>
      </c>
      <c r="S1489" s="4">
        <v>4</v>
      </c>
      <c r="T1489" s="4">
        <v>4</v>
      </c>
      <c r="U1489" s="5" t="s">
        <v>19219</v>
      </c>
      <c r="V1489" s="5" t="s">
        <v>19219</v>
      </c>
      <c r="W1489" s="5" t="s">
        <v>103</v>
      </c>
      <c r="X1489" s="5" t="s">
        <v>103</v>
      </c>
      <c r="Y1489" s="4">
        <v>434</v>
      </c>
      <c r="Z1489" s="4">
        <v>378</v>
      </c>
      <c r="AA1489" s="4">
        <v>379</v>
      </c>
      <c r="AB1489" s="4">
        <v>2</v>
      </c>
      <c r="AC1489" s="4">
        <v>2</v>
      </c>
      <c r="AD1489" s="4">
        <v>18</v>
      </c>
      <c r="AE1489" s="4">
        <v>18</v>
      </c>
      <c r="AF1489" s="4">
        <v>6</v>
      </c>
      <c r="AG1489" s="4">
        <v>6</v>
      </c>
      <c r="AH1489" s="4">
        <v>3</v>
      </c>
      <c r="AI1489" s="4">
        <v>3</v>
      </c>
      <c r="AJ1489" s="4">
        <v>9</v>
      </c>
      <c r="AK1489" s="4">
        <v>9</v>
      </c>
      <c r="AL1489" s="4">
        <v>1</v>
      </c>
      <c r="AM1489" s="4">
        <v>1</v>
      </c>
      <c r="AN1489" s="4">
        <v>1</v>
      </c>
      <c r="AO1489" s="4">
        <v>1</v>
      </c>
      <c r="AP1489" s="3" t="s">
        <v>58</v>
      </c>
      <c r="AQ1489" s="3" t="s">
        <v>87</v>
      </c>
      <c r="AR1489" s="6" t="str">
        <f>HYPERLINK("http://catalog.hathitrust.org/Record/001131967","HathiTrust Record")</f>
        <v>HathiTrust Record</v>
      </c>
      <c r="AS1489" s="6" t="str">
        <f>HYPERLINK("https://creighton-primo.hosted.exlibrisgroup.com/primo-explore/search?tab=default_tab&amp;search_scope=EVERYTHING&amp;vid=01CRU&amp;lang=en_US&amp;offset=0&amp;query=any,contains,991000131449702656","Catalog Record")</f>
        <v>Catalog Record</v>
      </c>
      <c r="AT1489" s="6" t="str">
        <f>HYPERLINK("http://www.worldcat.org/oclc/54316","WorldCat Record")</f>
        <v>WorldCat Record</v>
      </c>
      <c r="AU1489" s="3" t="s">
        <v>19220</v>
      </c>
      <c r="AV1489" s="3" t="s">
        <v>19221</v>
      </c>
      <c r="AW1489" s="3" t="s">
        <v>19222</v>
      </c>
      <c r="AX1489" s="3" t="s">
        <v>19222</v>
      </c>
      <c r="AY1489" s="3" t="s">
        <v>19223</v>
      </c>
      <c r="AZ1489" s="3" t="s">
        <v>74</v>
      </c>
      <c r="BC1489" s="3" t="s">
        <v>19224</v>
      </c>
      <c r="BD1489" s="3" t="s">
        <v>19225</v>
      </c>
    </row>
    <row r="1490" spans="1:56" ht="45.75" customHeight="1" x14ac:dyDescent="0.25">
      <c r="A1490" s="7" t="s">
        <v>58</v>
      </c>
      <c r="B1490" s="2" t="s">
        <v>19226</v>
      </c>
      <c r="C1490" s="2" t="s">
        <v>19227</v>
      </c>
      <c r="D1490" s="2" t="s">
        <v>19228</v>
      </c>
      <c r="F1490" s="3" t="s">
        <v>58</v>
      </c>
      <c r="G1490" s="3" t="s">
        <v>59</v>
      </c>
      <c r="H1490" s="3" t="s">
        <v>58</v>
      </c>
      <c r="I1490" s="3" t="s">
        <v>58</v>
      </c>
      <c r="J1490" s="3" t="s">
        <v>60</v>
      </c>
      <c r="K1490" s="2" t="s">
        <v>19229</v>
      </c>
      <c r="L1490" s="2" t="s">
        <v>6976</v>
      </c>
      <c r="M1490" s="3" t="s">
        <v>742</v>
      </c>
      <c r="O1490" s="3" t="s">
        <v>65</v>
      </c>
      <c r="P1490" s="3" t="s">
        <v>84</v>
      </c>
      <c r="R1490" s="3" t="s">
        <v>67</v>
      </c>
      <c r="S1490" s="4">
        <v>8</v>
      </c>
      <c r="T1490" s="4">
        <v>8</v>
      </c>
      <c r="U1490" s="5" t="s">
        <v>19230</v>
      </c>
      <c r="V1490" s="5" t="s">
        <v>19230</v>
      </c>
      <c r="W1490" s="5" t="s">
        <v>19231</v>
      </c>
      <c r="X1490" s="5" t="s">
        <v>19231</v>
      </c>
      <c r="Y1490" s="4">
        <v>467</v>
      </c>
      <c r="Z1490" s="4">
        <v>416</v>
      </c>
      <c r="AA1490" s="4">
        <v>421</v>
      </c>
      <c r="AB1490" s="4">
        <v>5</v>
      </c>
      <c r="AC1490" s="4">
        <v>5</v>
      </c>
      <c r="AD1490" s="4">
        <v>25</v>
      </c>
      <c r="AE1490" s="4">
        <v>25</v>
      </c>
      <c r="AF1490" s="4">
        <v>6</v>
      </c>
      <c r="AG1490" s="4">
        <v>6</v>
      </c>
      <c r="AH1490" s="4">
        <v>7</v>
      </c>
      <c r="AI1490" s="4">
        <v>7</v>
      </c>
      <c r="AJ1490" s="4">
        <v>16</v>
      </c>
      <c r="AK1490" s="4">
        <v>16</v>
      </c>
      <c r="AL1490" s="4">
        <v>4</v>
      </c>
      <c r="AM1490" s="4">
        <v>4</v>
      </c>
      <c r="AN1490" s="4">
        <v>0</v>
      </c>
      <c r="AO1490" s="4">
        <v>0</v>
      </c>
      <c r="AP1490" s="3" t="s">
        <v>58</v>
      </c>
      <c r="AQ1490" s="3" t="s">
        <v>58</v>
      </c>
      <c r="AS1490" s="6" t="str">
        <f>HYPERLINK("https://creighton-primo.hosted.exlibrisgroup.com/primo-explore/search?tab=default_tab&amp;search_scope=EVERYTHING&amp;vid=01CRU&amp;lang=en_US&amp;offset=0&amp;query=any,contains,991001351889702656","Catalog Record")</f>
        <v>Catalog Record</v>
      </c>
      <c r="AT1490" s="6" t="str">
        <f>HYPERLINK("http://www.worldcat.org/oclc/18442462","WorldCat Record")</f>
        <v>WorldCat Record</v>
      </c>
      <c r="AU1490" s="3" t="s">
        <v>19232</v>
      </c>
      <c r="AV1490" s="3" t="s">
        <v>19233</v>
      </c>
      <c r="AW1490" s="3" t="s">
        <v>19234</v>
      </c>
      <c r="AX1490" s="3" t="s">
        <v>19234</v>
      </c>
      <c r="AY1490" s="3" t="s">
        <v>19235</v>
      </c>
      <c r="AZ1490" s="3" t="s">
        <v>74</v>
      </c>
      <c r="BB1490" s="3" t="s">
        <v>19236</v>
      </c>
      <c r="BC1490" s="3" t="s">
        <v>19237</v>
      </c>
      <c r="BD1490" s="3" t="s">
        <v>19238</v>
      </c>
    </row>
    <row r="1491" spans="1:56" ht="45.75" customHeight="1" x14ac:dyDescent="0.25">
      <c r="A1491" s="7" t="s">
        <v>58</v>
      </c>
      <c r="B1491" s="2" t="s">
        <v>19239</v>
      </c>
      <c r="C1491" s="2" t="s">
        <v>19240</v>
      </c>
      <c r="D1491" s="2" t="s">
        <v>19241</v>
      </c>
      <c r="F1491" s="3" t="s">
        <v>58</v>
      </c>
      <c r="G1491" s="3" t="s">
        <v>59</v>
      </c>
      <c r="H1491" s="3" t="s">
        <v>58</v>
      </c>
      <c r="I1491" s="3" t="s">
        <v>58</v>
      </c>
      <c r="J1491" s="3" t="s">
        <v>60</v>
      </c>
      <c r="K1491" s="2" t="s">
        <v>19242</v>
      </c>
      <c r="L1491" s="2" t="s">
        <v>19243</v>
      </c>
      <c r="M1491" s="3" t="s">
        <v>248</v>
      </c>
      <c r="O1491" s="3" t="s">
        <v>65</v>
      </c>
      <c r="P1491" s="3" t="s">
        <v>148</v>
      </c>
      <c r="R1491" s="3" t="s">
        <v>67</v>
      </c>
      <c r="S1491" s="4">
        <v>2</v>
      </c>
      <c r="T1491" s="4">
        <v>2</v>
      </c>
      <c r="U1491" s="5" t="s">
        <v>13455</v>
      </c>
      <c r="V1491" s="5" t="s">
        <v>13455</v>
      </c>
      <c r="W1491" s="5" t="s">
        <v>8229</v>
      </c>
      <c r="X1491" s="5" t="s">
        <v>8229</v>
      </c>
      <c r="Y1491" s="4">
        <v>921</v>
      </c>
      <c r="Z1491" s="4">
        <v>872</v>
      </c>
      <c r="AA1491" s="4">
        <v>1166</v>
      </c>
      <c r="AB1491" s="4">
        <v>5</v>
      </c>
      <c r="AC1491" s="4">
        <v>7</v>
      </c>
      <c r="AD1491" s="4">
        <v>33</v>
      </c>
      <c r="AE1491" s="4">
        <v>46</v>
      </c>
      <c r="AF1491" s="4">
        <v>13</v>
      </c>
      <c r="AG1491" s="4">
        <v>18</v>
      </c>
      <c r="AH1491" s="4">
        <v>6</v>
      </c>
      <c r="AI1491" s="4">
        <v>10</v>
      </c>
      <c r="AJ1491" s="4">
        <v>14</v>
      </c>
      <c r="AK1491" s="4">
        <v>17</v>
      </c>
      <c r="AL1491" s="4">
        <v>4</v>
      </c>
      <c r="AM1491" s="4">
        <v>6</v>
      </c>
      <c r="AN1491" s="4">
        <v>3</v>
      </c>
      <c r="AO1491" s="4">
        <v>4</v>
      </c>
      <c r="AP1491" s="3" t="s">
        <v>58</v>
      </c>
      <c r="AQ1491" s="3" t="s">
        <v>58</v>
      </c>
      <c r="AS1491" s="6" t="str">
        <f>HYPERLINK("https://creighton-primo.hosted.exlibrisgroup.com/primo-explore/search?tab=default_tab&amp;search_scope=EVERYTHING&amp;vid=01CRU&amp;lang=en_US&amp;offset=0&amp;query=any,contains,991005269419702656","Catalog Record")</f>
        <v>Catalog Record</v>
      </c>
      <c r="AT1491" s="6" t="str">
        <f>HYPERLINK("http://www.worldcat.org/oclc/71507740","WorldCat Record")</f>
        <v>WorldCat Record</v>
      </c>
      <c r="AU1491" s="3" t="s">
        <v>19244</v>
      </c>
      <c r="AV1491" s="3" t="s">
        <v>19245</v>
      </c>
      <c r="AW1491" s="3" t="s">
        <v>19246</v>
      </c>
      <c r="AX1491" s="3" t="s">
        <v>19246</v>
      </c>
      <c r="AY1491" s="3" t="s">
        <v>19247</v>
      </c>
      <c r="AZ1491" s="3" t="s">
        <v>74</v>
      </c>
      <c r="BB1491" s="3" t="s">
        <v>19248</v>
      </c>
      <c r="BC1491" s="3" t="s">
        <v>19249</v>
      </c>
      <c r="BD1491" s="3" t="s">
        <v>19250</v>
      </c>
    </row>
    <row r="1492" spans="1:56" ht="45.75" customHeight="1" x14ac:dyDescent="0.25">
      <c r="A1492" s="7" t="s">
        <v>58</v>
      </c>
      <c r="B1492" s="2" t="s">
        <v>19251</v>
      </c>
      <c r="C1492" s="2" t="s">
        <v>19252</v>
      </c>
      <c r="D1492" s="2" t="s">
        <v>19253</v>
      </c>
      <c r="F1492" s="3" t="s">
        <v>58</v>
      </c>
      <c r="G1492" s="3" t="s">
        <v>59</v>
      </c>
      <c r="H1492" s="3" t="s">
        <v>58</v>
      </c>
      <c r="I1492" s="3" t="s">
        <v>58</v>
      </c>
      <c r="J1492" s="3" t="s">
        <v>60</v>
      </c>
      <c r="K1492" s="2" t="s">
        <v>4827</v>
      </c>
      <c r="L1492" s="2" t="s">
        <v>19254</v>
      </c>
      <c r="M1492" s="3" t="s">
        <v>147</v>
      </c>
      <c r="O1492" s="3" t="s">
        <v>65</v>
      </c>
      <c r="P1492" s="3" t="s">
        <v>132</v>
      </c>
      <c r="Q1492" s="2" t="s">
        <v>4829</v>
      </c>
      <c r="R1492" s="3" t="s">
        <v>67</v>
      </c>
      <c r="S1492" s="4">
        <v>7</v>
      </c>
      <c r="T1492" s="4">
        <v>7</v>
      </c>
      <c r="U1492" s="5" t="s">
        <v>14195</v>
      </c>
      <c r="V1492" s="5" t="s">
        <v>14195</v>
      </c>
      <c r="W1492" s="5" t="s">
        <v>7481</v>
      </c>
      <c r="X1492" s="5" t="s">
        <v>7481</v>
      </c>
      <c r="Y1492" s="4">
        <v>901</v>
      </c>
      <c r="Z1492" s="4">
        <v>861</v>
      </c>
      <c r="AA1492" s="4">
        <v>1537</v>
      </c>
      <c r="AB1492" s="4">
        <v>6</v>
      </c>
      <c r="AC1492" s="4">
        <v>11</v>
      </c>
      <c r="AD1492" s="4">
        <v>29</v>
      </c>
      <c r="AE1492" s="4">
        <v>43</v>
      </c>
      <c r="AF1492" s="4">
        <v>9</v>
      </c>
      <c r="AG1492" s="4">
        <v>15</v>
      </c>
      <c r="AH1492" s="4">
        <v>5</v>
      </c>
      <c r="AI1492" s="4">
        <v>8</v>
      </c>
      <c r="AJ1492" s="4">
        <v>9</v>
      </c>
      <c r="AK1492" s="4">
        <v>14</v>
      </c>
      <c r="AL1492" s="4">
        <v>3</v>
      </c>
      <c r="AM1492" s="4">
        <v>7</v>
      </c>
      <c r="AN1492" s="4">
        <v>6</v>
      </c>
      <c r="AO1492" s="4">
        <v>6</v>
      </c>
      <c r="AP1492" s="3" t="s">
        <v>58</v>
      </c>
      <c r="AQ1492" s="3" t="s">
        <v>58</v>
      </c>
      <c r="AS1492" s="6" t="str">
        <f>HYPERLINK("https://creighton-primo.hosted.exlibrisgroup.com/primo-explore/search?tab=default_tab&amp;search_scope=EVERYTHING&amp;vid=01CRU&amp;lang=en_US&amp;offset=0&amp;query=any,contains,991004382659702656","Catalog Record")</f>
        <v>Catalog Record</v>
      </c>
      <c r="AT1492" s="6" t="str">
        <f>HYPERLINK("http://www.worldcat.org/oclc/55679301","WorldCat Record")</f>
        <v>WorldCat Record</v>
      </c>
      <c r="AU1492" s="3" t="s">
        <v>19255</v>
      </c>
      <c r="AV1492" s="3" t="s">
        <v>19256</v>
      </c>
      <c r="AW1492" s="3" t="s">
        <v>19257</v>
      </c>
      <c r="AX1492" s="3" t="s">
        <v>19257</v>
      </c>
      <c r="AY1492" s="3" t="s">
        <v>19258</v>
      </c>
      <c r="AZ1492" s="3" t="s">
        <v>74</v>
      </c>
      <c r="BB1492" s="3" t="s">
        <v>19259</v>
      </c>
      <c r="BC1492" s="3" t="s">
        <v>19260</v>
      </c>
      <c r="BD1492" s="3" t="s">
        <v>19261</v>
      </c>
    </row>
    <row r="1493" spans="1:56" ht="45.75" customHeight="1" x14ac:dyDescent="0.25">
      <c r="A1493" s="7" t="s">
        <v>58</v>
      </c>
      <c r="B1493" s="2" t="s">
        <v>19262</v>
      </c>
      <c r="C1493" s="2" t="s">
        <v>19263</v>
      </c>
      <c r="D1493" s="2" t="s">
        <v>19264</v>
      </c>
      <c r="F1493" s="3" t="s">
        <v>58</v>
      </c>
      <c r="G1493" s="3" t="s">
        <v>59</v>
      </c>
      <c r="H1493" s="3" t="s">
        <v>58</v>
      </c>
      <c r="I1493" s="3" t="s">
        <v>58</v>
      </c>
      <c r="J1493" s="3" t="s">
        <v>60</v>
      </c>
      <c r="L1493" s="2" t="s">
        <v>12109</v>
      </c>
      <c r="M1493" s="3" t="s">
        <v>1209</v>
      </c>
      <c r="O1493" s="3" t="s">
        <v>65</v>
      </c>
      <c r="P1493" s="3" t="s">
        <v>132</v>
      </c>
      <c r="Q1493" s="2" t="s">
        <v>19265</v>
      </c>
      <c r="R1493" s="3" t="s">
        <v>67</v>
      </c>
      <c r="S1493" s="4">
        <v>9</v>
      </c>
      <c r="T1493" s="4">
        <v>9</v>
      </c>
      <c r="U1493" s="5" t="s">
        <v>3847</v>
      </c>
      <c r="V1493" s="5" t="s">
        <v>3847</v>
      </c>
      <c r="W1493" s="5" t="s">
        <v>18295</v>
      </c>
      <c r="X1493" s="5" t="s">
        <v>18295</v>
      </c>
      <c r="Y1493" s="4">
        <v>447</v>
      </c>
      <c r="Z1493" s="4">
        <v>356</v>
      </c>
      <c r="AA1493" s="4">
        <v>362</v>
      </c>
      <c r="AB1493" s="4">
        <v>3</v>
      </c>
      <c r="AC1493" s="4">
        <v>3</v>
      </c>
      <c r="AD1493" s="4">
        <v>19</v>
      </c>
      <c r="AE1493" s="4">
        <v>19</v>
      </c>
      <c r="AF1493" s="4">
        <v>5</v>
      </c>
      <c r="AG1493" s="4">
        <v>5</v>
      </c>
      <c r="AH1493" s="4">
        <v>4</v>
      </c>
      <c r="AI1493" s="4">
        <v>4</v>
      </c>
      <c r="AJ1493" s="4">
        <v>8</v>
      </c>
      <c r="AK1493" s="4">
        <v>8</v>
      </c>
      <c r="AL1493" s="4">
        <v>2</v>
      </c>
      <c r="AM1493" s="4">
        <v>2</v>
      </c>
      <c r="AN1493" s="4">
        <v>5</v>
      </c>
      <c r="AO1493" s="4">
        <v>5</v>
      </c>
      <c r="AP1493" s="3" t="s">
        <v>58</v>
      </c>
      <c r="AQ1493" s="3" t="s">
        <v>58</v>
      </c>
      <c r="AS1493" s="6" t="str">
        <f>HYPERLINK("https://creighton-primo.hosted.exlibrisgroup.com/primo-explore/search?tab=default_tab&amp;search_scope=EVERYTHING&amp;vid=01CRU&amp;lang=en_US&amp;offset=0&amp;query=any,contains,991001161699702656","Catalog Record")</f>
        <v>Catalog Record</v>
      </c>
      <c r="AT1493" s="6" t="str">
        <f>HYPERLINK("http://www.worldcat.org/oclc/16900836","WorldCat Record")</f>
        <v>WorldCat Record</v>
      </c>
      <c r="AU1493" s="3" t="s">
        <v>19266</v>
      </c>
      <c r="AV1493" s="3" t="s">
        <v>19267</v>
      </c>
      <c r="AW1493" s="3" t="s">
        <v>19268</v>
      </c>
      <c r="AX1493" s="3" t="s">
        <v>19268</v>
      </c>
      <c r="AY1493" s="3" t="s">
        <v>19269</v>
      </c>
      <c r="AZ1493" s="3" t="s">
        <v>74</v>
      </c>
      <c r="BB1493" s="3" t="s">
        <v>19270</v>
      </c>
      <c r="BC1493" s="3" t="s">
        <v>19271</v>
      </c>
      <c r="BD1493" s="3" t="s">
        <v>19272</v>
      </c>
    </row>
    <row r="1494" spans="1:56" ht="45.75" customHeight="1" x14ac:dyDescent="0.25">
      <c r="A1494" s="7" t="s">
        <v>58</v>
      </c>
      <c r="B1494" s="2" t="s">
        <v>19273</v>
      </c>
      <c r="C1494" s="2" t="s">
        <v>19274</v>
      </c>
      <c r="D1494" s="2" t="s">
        <v>19275</v>
      </c>
      <c r="F1494" s="3" t="s">
        <v>58</v>
      </c>
      <c r="G1494" s="3" t="s">
        <v>59</v>
      </c>
      <c r="H1494" s="3" t="s">
        <v>58</v>
      </c>
      <c r="I1494" s="3" t="s">
        <v>58</v>
      </c>
      <c r="J1494" s="3" t="s">
        <v>60</v>
      </c>
      <c r="K1494" s="2" t="s">
        <v>19276</v>
      </c>
      <c r="L1494" s="2" t="s">
        <v>19277</v>
      </c>
      <c r="M1494" s="3" t="s">
        <v>419</v>
      </c>
      <c r="O1494" s="3" t="s">
        <v>65</v>
      </c>
      <c r="P1494" s="3" t="s">
        <v>1282</v>
      </c>
      <c r="R1494" s="3" t="s">
        <v>67</v>
      </c>
      <c r="S1494" s="4">
        <v>1</v>
      </c>
      <c r="T1494" s="4">
        <v>1</v>
      </c>
      <c r="U1494" s="5" t="s">
        <v>19278</v>
      </c>
      <c r="V1494" s="5" t="s">
        <v>19278</v>
      </c>
      <c r="W1494" s="5" t="s">
        <v>19278</v>
      </c>
      <c r="X1494" s="5" t="s">
        <v>19278</v>
      </c>
      <c r="Y1494" s="4">
        <v>1111</v>
      </c>
      <c r="Z1494" s="4">
        <v>1039</v>
      </c>
      <c r="AA1494" s="4">
        <v>1046</v>
      </c>
      <c r="AB1494" s="4">
        <v>10</v>
      </c>
      <c r="AC1494" s="4">
        <v>10</v>
      </c>
      <c r="AD1494" s="4">
        <v>51</v>
      </c>
      <c r="AE1494" s="4">
        <v>51</v>
      </c>
      <c r="AF1494" s="4">
        <v>18</v>
      </c>
      <c r="AG1494" s="4">
        <v>18</v>
      </c>
      <c r="AH1494" s="4">
        <v>10</v>
      </c>
      <c r="AI1494" s="4">
        <v>10</v>
      </c>
      <c r="AJ1494" s="4">
        <v>21</v>
      </c>
      <c r="AK1494" s="4">
        <v>21</v>
      </c>
      <c r="AL1494" s="4">
        <v>9</v>
      </c>
      <c r="AM1494" s="4">
        <v>9</v>
      </c>
      <c r="AN1494" s="4">
        <v>4</v>
      </c>
      <c r="AO1494" s="4">
        <v>4</v>
      </c>
      <c r="AP1494" s="3" t="s">
        <v>58</v>
      </c>
      <c r="AQ1494" s="3" t="s">
        <v>87</v>
      </c>
      <c r="AR1494" s="6" t="str">
        <f>HYPERLINK("http://catalog.hathitrust.org/Record/004064917","HathiTrust Record")</f>
        <v>HathiTrust Record</v>
      </c>
      <c r="AS1494" s="6" t="str">
        <f>HYPERLINK("https://creighton-primo.hosted.exlibrisgroup.com/primo-explore/search?tab=default_tab&amp;search_scope=EVERYTHING&amp;vid=01CRU&amp;lang=en_US&amp;offset=0&amp;query=any,contains,991003283499702656","Catalog Record")</f>
        <v>Catalog Record</v>
      </c>
      <c r="AT1494" s="6" t="str">
        <f>HYPERLINK("http://www.worldcat.org/oclc/42393517","WorldCat Record")</f>
        <v>WorldCat Record</v>
      </c>
      <c r="AU1494" s="3" t="s">
        <v>19279</v>
      </c>
      <c r="AV1494" s="3" t="s">
        <v>19280</v>
      </c>
      <c r="AW1494" s="3" t="s">
        <v>19281</v>
      </c>
      <c r="AX1494" s="3" t="s">
        <v>19281</v>
      </c>
      <c r="AY1494" s="3" t="s">
        <v>19282</v>
      </c>
      <c r="AZ1494" s="3" t="s">
        <v>74</v>
      </c>
      <c r="BB1494" s="3" t="s">
        <v>19283</v>
      </c>
      <c r="BC1494" s="3" t="s">
        <v>19284</v>
      </c>
      <c r="BD1494" s="3" t="s">
        <v>19285</v>
      </c>
    </row>
    <row r="1495" spans="1:56" ht="45.75" customHeight="1" x14ac:dyDescent="0.25">
      <c r="A1495" s="7" t="s">
        <v>58</v>
      </c>
      <c r="B1495" s="2" t="s">
        <v>19286</v>
      </c>
      <c r="C1495" s="2" t="s">
        <v>19287</v>
      </c>
      <c r="D1495" s="2" t="s">
        <v>19288</v>
      </c>
      <c r="F1495" s="3" t="s">
        <v>58</v>
      </c>
      <c r="G1495" s="3" t="s">
        <v>59</v>
      </c>
      <c r="H1495" s="3" t="s">
        <v>58</v>
      </c>
      <c r="I1495" s="3" t="s">
        <v>58</v>
      </c>
      <c r="J1495" s="3" t="s">
        <v>60</v>
      </c>
      <c r="K1495" s="2" t="s">
        <v>18330</v>
      </c>
      <c r="L1495" s="2" t="s">
        <v>19289</v>
      </c>
      <c r="M1495" s="3" t="s">
        <v>1032</v>
      </c>
      <c r="O1495" s="3" t="s">
        <v>65</v>
      </c>
      <c r="P1495" s="3" t="s">
        <v>132</v>
      </c>
      <c r="R1495" s="3" t="s">
        <v>67</v>
      </c>
      <c r="S1495" s="4">
        <v>4</v>
      </c>
      <c r="T1495" s="4">
        <v>4</v>
      </c>
      <c r="U1495" s="5" t="s">
        <v>10013</v>
      </c>
      <c r="V1495" s="5" t="s">
        <v>10013</v>
      </c>
      <c r="W1495" s="5" t="s">
        <v>3168</v>
      </c>
      <c r="X1495" s="5" t="s">
        <v>3168</v>
      </c>
      <c r="Y1495" s="4">
        <v>232</v>
      </c>
      <c r="Z1495" s="4">
        <v>200</v>
      </c>
      <c r="AA1495" s="4">
        <v>205</v>
      </c>
      <c r="AB1495" s="4">
        <v>3</v>
      </c>
      <c r="AC1495" s="4">
        <v>3</v>
      </c>
      <c r="AD1495" s="4">
        <v>10</v>
      </c>
      <c r="AE1495" s="4">
        <v>10</v>
      </c>
      <c r="AF1495" s="4">
        <v>5</v>
      </c>
      <c r="AG1495" s="4">
        <v>5</v>
      </c>
      <c r="AH1495" s="4">
        <v>1</v>
      </c>
      <c r="AI1495" s="4">
        <v>1</v>
      </c>
      <c r="AJ1495" s="4">
        <v>5</v>
      </c>
      <c r="AK1495" s="4">
        <v>5</v>
      </c>
      <c r="AL1495" s="4">
        <v>2</v>
      </c>
      <c r="AM1495" s="4">
        <v>2</v>
      </c>
      <c r="AN1495" s="4">
        <v>0</v>
      </c>
      <c r="AO1495" s="4">
        <v>0</v>
      </c>
      <c r="AP1495" s="3" t="s">
        <v>58</v>
      </c>
      <c r="AQ1495" s="3" t="s">
        <v>58</v>
      </c>
      <c r="AS1495" s="6" t="str">
        <f>HYPERLINK("https://creighton-primo.hosted.exlibrisgroup.com/primo-explore/search?tab=default_tab&amp;search_scope=EVERYTHING&amp;vid=01CRU&amp;lang=en_US&amp;offset=0&amp;query=any,contains,991002765439702656","Catalog Record")</f>
        <v>Catalog Record</v>
      </c>
      <c r="AT1495" s="6" t="str">
        <f>HYPERLINK("http://www.worldcat.org/oclc/36284506","WorldCat Record")</f>
        <v>WorldCat Record</v>
      </c>
      <c r="AU1495" s="3" t="s">
        <v>19290</v>
      </c>
      <c r="AV1495" s="3" t="s">
        <v>19291</v>
      </c>
      <c r="AW1495" s="3" t="s">
        <v>19292</v>
      </c>
      <c r="AX1495" s="3" t="s">
        <v>19292</v>
      </c>
      <c r="AY1495" s="3" t="s">
        <v>19293</v>
      </c>
      <c r="AZ1495" s="3" t="s">
        <v>74</v>
      </c>
      <c r="BB1495" s="3" t="s">
        <v>19294</v>
      </c>
      <c r="BC1495" s="3" t="s">
        <v>19295</v>
      </c>
      <c r="BD1495" s="3" t="s">
        <v>19296</v>
      </c>
    </row>
    <row r="1496" spans="1:56" ht="45.75" customHeight="1" x14ac:dyDescent="0.25">
      <c r="A1496" s="7" t="s">
        <v>58</v>
      </c>
      <c r="B1496" s="2" t="s">
        <v>19297</v>
      </c>
      <c r="C1496" s="2" t="s">
        <v>19298</v>
      </c>
      <c r="D1496" s="2" t="s">
        <v>19299</v>
      </c>
      <c r="F1496" s="3" t="s">
        <v>58</v>
      </c>
      <c r="G1496" s="3" t="s">
        <v>59</v>
      </c>
      <c r="H1496" s="3" t="s">
        <v>58</v>
      </c>
      <c r="I1496" s="3" t="s">
        <v>58</v>
      </c>
      <c r="J1496" s="3" t="s">
        <v>60</v>
      </c>
      <c r="K1496" s="2" t="s">
        <v>19300</v>
      </c>
      <c r="L1496" s="2" t="s">
        <v>13888</v>
      </c>
      <c r="M1496" s="3" t="s">
        <v>629</v>
      </c>
      <c r="O1496" s="3" t="s">
        <v>65</v>
      </c>
      <c r="P1496" s="3" t="s">
        <v>1224</v>
      </c>
      <c r="R1496" s="3" t="s">
        <v>67</v>
      </c>
      <c r="S1496" s="4">
        <v>3</v>
      </c>
      <c r="T1496" s="4">
        <v>3</v>
      </c>
      <c r="U1496" s="5" t="s">
        <v>18043</v>
      </c>
      <c r="V1496" s="5" t="s">
        <v>18043</v>
      </c>
      <c r="W1496" s="5" t="s">
        <v>5503</v>
      </c>
      <c r="X1496" s="5" t="s">
        <v>5503</v>
      </c>
      <c r="Y1496" s="4">
        <v>192</v>
      </c>
      <c r="Z1496" s="4">
        <v>177</v>
      </c>
      <c r="AA1496" s="4">
        <v>177</v>
      </c>
      <c r="AB1496" s="4">
        <v>1</v>
      </c>
      <c r="AC1496" s="4">
        <v>1</v>
      </c>
      <c r="AD1496" s="4">
        <v>9</v>
      </c>
      <c r="AE1496" s="4">
        <v>9</v>
      </c>
      <c r="AF1496" s="4">
        <v>2</v>
      </c>
      <c r="AG1496" s="4">
        <v>2</v>
      </c>
      <c r="AH1496" s="4">
        <v>0</v>
      </c>
      <c r="AI1496" s="4">
        <v>0</v>
      </c>
      <c r="AJ1496" s="4">
        <v>2</v>
      </c>
      <c r="AK1496" s="4">
        <v>2</v>
      </c>
      <c r="AL1496" s="4">
        <v>0</v>
      </c>
      <c r="AM1496" s="4">
        <v>0</v>
      </c>
      <c r="AN1496" s="4">
        <v>6</v>
      </c>
      <c r="AO1496" s="4">
        <v>6</v>
      </c>
      <c r="AP1496" s="3" t="s">
        <v>58</v>
      </c>
      <c r="AQ1496" s="3" t="s">
        <v>58</v>
      </c>
      <c r="AS1496" s="6" t="str">
        <f>HYPERLINK("https://creighton-primo.hosted.exlibrisgroup.com/primo-explore/search?tab=default_tab&amp;search_scope=EVERYTHING&amp;vid=01CRU&amp;lang=en_US&amp;offset=0&amp;query=any,contains,991002281699702656","Catalog Record")</f>
        <v>Catalog Record</v>
      </c>
      <c r="AT1496" s="6" t="str">
        <f>HYPERLINK("http://www.worldcat.org/oclc/29590698","WorldCat Record")</f>
        <v>WorldCat Record</v>
      </c>
      <c r="AU1496" s="3" t="s">
        <v>19301</v>
      </c>
      <c r="AV1496" s="3" t="s">
        <v>19302</v>
      </c>
      <c r="AW1496" s="3" t="s">
        <v>19303</v>
      </c>
      <c r="AX1496" s="3" t="s">
        <v>19303</v>
      </c>
      <c r="AY1496" s="3" t="s">
        <v>19304</v>
      </c>
      <c r="AZ1496" s="3" t="s">
        <v>74</v>
      </c>
      <c r="BB1496" s="3" t="s">
        <v>19305</v>
      </c>
      <c r="BC1496" s="3" t="s">
        <v>19306</v>
      </c>
      <c r="BD1496" s="3" t="s">
        <v>19307</v>
      </c>
    </row>
    <row r="1497" spans="1:56" ht="45.75" customHeight="1" x14ac:dyDescent="0.25">
      <c r="A1497" s="7" t="s">
        <v>58</v>
      </c>
      <c r="B1497" s="2" t="s">
        <v>19308</v>
      </c>
      <c r="C1497" s="2" t="s">
        <v>19309</v>
      </c>
      <c r="D1497" s="2" t="s">
        <v>19310</v>
      </c>
      <c r="F1497" s="3" t="s">
        <v>58</v>
      </c>
      <c r="G1497" s="3" t="s">
        <v>59</v>
      </c>
      <c r="H1497" s="3" t="s">
        <v>58</v>
      </c>
      <c r="I1497" s="3" t="s">
        <v>58</v>
      </c>
      <c r="J1497" s="3" t="s">
        <v>60</v>
      </c>
      <c r="K1497" s="2" t="s">
        <v>19311</v>
      </c>
      <c r="L1497" s="2" t="s">
        <v>349</v>
      </c>
      <c r="M1497" s="3" t="s">
        <v>263</v>
      </c>
      <c r="O1497" s="3" t="s">
        <v>65</v>
      </c>
      <c r="P1497" s="3" t="s">
        <v>132</v>
      </c>
      <c r="Q1497" s="2" t="s">
        <v>19312</v>
      </c>
      <c r="R1497" s="3" t="s">
        <v>67</v>
      </c>
      <c r="S1497" s="4">
        <v>3</v>
      </c>
      <c r="T1497" s="4">
        <v>3</v>
      </c>
      <c r="U1497" s="5" t="s">
        <v>13876</v>
      </c>
      <c r="V1497" s="5" t="s">
        <v>13876</v>
      </c>
      <c r="W1497" s="5" t="s">
        <v>19313</v>
      </c>
      <c r="X1497" s="5" t="s">
        <v>19313</v>
      </c>
      <c r="Y1497" s="4">
        <v>693</v>
      </c>
      <c r="Z1497" s="4">
        <v>588</v>
      </c>
      <c r="AA1497" s="4">
        <v>590</v>
      </c>
      <c r="AB1497" s="4">
        <v>5</v>
      </c>
      <c r="AC1497" s="4">
        <v>5</v>
      </c>
      <c r="AD1497" s="4">
        <v>42</v>
      </c>
      <c r="AE1497" s="4">
        <v>42</v>
      </c>
      <c r="AF1497" s="4">
        <v>14</v>
      </c>
      <c r="AG1497" s="4">
        <v>14</v>
      </c>
      <c r="AH1497" s="4">
        <v>6</v>
      </c>
      <c r="AI1497" s="4">
        <v>6</v>
      </c>
      <c r="AJ1497" s="4">
        <v>19</v>
      </c>
      <c r="AK1497" s="4">
        <v>19</v>
      </c>
      <c r="AL1497" s="4">
        <v>4</v>
      </c>
      <c r="AM1497" s="4">
        <v>4</v>
      </c>
      <c r="AN1497" s="4">
        <v>8</v>
      </c>
      <c r="AO1497" s="4">
        <v>8</v>
      </c>
      <c r="AP1497" s="3" t="s">
        <v>58</v>
      </c>
      <c r="AQ1497" s="3" t="s">
        <v>87</v>
      </c>
      <c r="AR1497" s="6" t="str">
        <f>HYPERLINK("http://catalog.hathitrust.org/Record/003055232","HathiTrust Record")</f>
        <v>HathiTrust Record</v>
      </c>
      <c r="AS1497" s="6" t="str">
        <f>HYPERLINK("https://creighton-primo.hosted.exlibrisgroup.com/primo-explore/search?tab=default_tab&amp;search_scope=EVERYTHING&amp;vid=01CRU&amp;lang=en_US&amp;offset=0&amp;query=any,contains,991002573339702656","Catalog Record")</f>
        <v>Catalog Record</v>
      </c>
      <c r="AT1497" s="6" t="str">
        <f>HYPERLINK("http://www.worldcat.org/oclc/33440775","WorldCat Record")</f>
        <v>WorldCat Record</v>
      </c>
      <c r="AU1497" s="3" t="s">
        <v>19314</v>
      </c>
      <c r="AV1497" s="3" t="s">
        <v>19315</v>
      </c>
      <c r="AW1497" s="3" t="s">
        <v>19316</v>
      </c>
      <c r="AX1497" s="3" t="s">
        <v>19316</v>
      </c>
      <c r="AY1497" s="3" t="s">
        <v>19317</v>
      </c>
      <c r="AZ1497" s="3" t="s">
        <v>74</v>
      </c>
      <c r="BB1497" s="3" t="s">
        <v>19318</v>
      </c>
      <c r="BC1497" s="3" t="s">
        <v>19319</v>
      </c>
      <c r="BD1497" s="3" t="s">
        <v>19320</v>
      </c>
    </row>
    <row r="1498" spans="1:56" ht="45.75" customHeight="1" x14ac:dyDescent="0.25">
      <c r="A1498" s="7" t="s">
        <v>58</v>
      </c>
      <c r="B1498" s="2" t="s">
        <v>19321</v>
      </c>
      <c r="C1498" s="2" t="s">
        <v>19322</v>
      </c>
      <c r="D1498" s="2" t="s">
        <v>19323</v>
      </c>
      <c r="F1498" s="3" t="s">
        <v>58</v>
      </c>
      <c r="G1498" s="3" t="s">
        <v>59</v>
      </c>
      <c r="H1498" s="3" t="s">
        <v>58</v>
      </c>
      <c r="I1498" s="3" t="s">
        <v>58</v>
      </c>
      <c r="J1498" s="3" t="s">
        <v>60</v>
      </c>
      <c r="K1498" s="2" t="s">
        <v>19324</v>
      </c>
      <c r="L1498" s="2" t="s">
        <v>19325</v>
      </c>
      <c r="M1498" s="3" t="s">
        <v>116</v>
      </c>
      <c r="O1498" s="3" t="s">
        <v>65</v>
      </c>
      <c r="P1498" s="3" t="s">
        <v>84</v>
      </c>
      <c r="Q1498" s="2" t="s">
        <v>8726</v>
      </c>
      <c r="R1498" s="3" t="s">
        <v>67</v>
      </c>
      <c r="S1498" s="4">
        <v>3</v>
      </c>
      <c r="T1498" s="4">
        <v>3</v>
      </c>
      <c r="U1498" s="5" t="s">
        <v>19326</v>
      </c>
      <c r="V1498" s="5" t="s">
        <v>19326</v>
      </c>
      <c r="W1498" s="5" t="s">
        <v>19327</v>
      </c>
      <c r="X1498" s="5" t="s">
        <v>19327</v>
      </c>
      <c r="Y1498" s="4">
        <v>652</v>
      </c>
      <c r="Z1498" s="4">
        <v>569</v>
      </c>
      <c r="AA1498" s="4">
        <v>1261</v>
      </c>
      <c r="AB1498" s="4">
        <v>4</v>
      </c>
      <c r="AC1498" s="4">
        <v>15</v>
      </c>
      <c r="AD1498" s="4">
        <v>42</v>
      </c>
      <c r="AE1498" s="4">
        <v>61</v>
      </c>
      <c r="AF1498" s="4">
        <v>12</v>
      </c>
      <c r="AG1498" s="4">
        <v>17</v>
      </c>
      <c r="AH1498" s="4">
        <v>7</v>
      </c>
      <c r="AI1498" s="4">
        <v>10</v>
      </c>
      <c r="AJ1498" s="4">
        <v>13</v>
      </c>
      <c r="AK1498" s="4">
        <v>17</v>
      </c>
      <c r="AL1498" s="4">
        <v>3</v>
      </c>
      <c r="AM1498" s="4">
        <v>13</v>
      </c>
      <c r="AN1498" s="4">
        <v>14</v>
      </c>
      <c r="AO1498" s="4">
        <v>14</v>
      </c>
      <c r="AP1498" s="3" t="s">
        <v>58</v>
      </c>
      <c r="AQ1498" s="3" t="s">
        <v>58</v>
      </c>
      <c r="AS1498" s="6" t="str">
        <f>HYPERLINK("https://creighton-primo.hosted.exlibrisgroup.com/primo-explore/search?tab=default_tab&amp;search_scope=EVERYTHING&amp;vid=01CRU&amp;lang=en_US&amp;offset=0&amp;query=any,contains,991003225309702656","Catalog Record")</f>
        <v>Catalog Record</v>
      </c>
      <c r="AT1498" s="6" t="str">
        <f>HYPERLINK("http://www.worldcat.org/oclc/38120616","WorldCat Record")</f>
        <v>WorldCat Record</v>
      </c>
      <c r="AU1498" s="3" t="s">
        <v>19328</v>
      </c>
      <c r="AV1498" s="3" t="s">
        <v>19329</v>
      </c>
      <c r="AW1498" s="3" t="s">
        <v>19330</v>
      </c>
      <c r="AX1498" s="3" t="s">
        <v>19330</v>
      </c>
      <c r="AY1498" s="3" t="s">
        <v>19331</v>
      </c>
      <c r="AZ1498" s="3" t="s">
        <v>74</v>
      </c>
      <c r="BB1498" s="3" t="s">
        <v>19332</v>
      </c>
      <c r="BC1498" s="3" t="s">
        <v>19333</v>
      </c>
      <c r="BD1498" s="3" t="s">
        <v>19334</v>
      </c>
    </row>
    <row r="1499" spans="1:56" ht="45.75" customHeight="1" x14ac:dyDescent="0.25">
      <c r="A1499" s="7" t="s">
        <v>58</v>
      </c>
      <c r="B1499" s="2" t="s">
        <v>19335</v>
      </c>
      <c r="C1499" s="2" t="s">
        <v>19336</v>
      </c>
      <c r="D1499" s="2" t="s">
        <v>19337</v>
      </c>
      <c r="F1499" s="3" t="s">
        <v>58</v>
      </c>
      <c r="G1499" s="3" t="s">
        <v>59</v>
      </c>
      <c r="H1499" s="3" t="s">
        <v>58</v>
      </c>
      <c r="I1499" s="3" t="s">
        <v>58</v>
      </c>
      <c r="J1499" s="3" t="s">
        <v>60</v>
      </c>
      <c r="K1499" s="2" t="s">
        <v>19338</v>
      </c>
      <c r="L1499" s="2" t="s">
        <v>19339</v>
      </c>
      <c r="M1499" s="3" t="s">
        <v>573</v>
      </c>
      <c r="N1499" s="2" t="s">
        <v>543</v>
      </c>
      <c r="O1499" s="3" t="s">
        <v>65</v>
      </c>
      <c r="P1499" s="3" t="s">
        <v>84</v>
      </c>
      <c r="R1499" s="3" t="s">
        <v>67</v>
      </c>
      <c r="S1499" s="4">
        <v>2</v>
      </c>
      <c r="T1499" s="4">
        <v>2</v>
      </c>
      <c r="U1499" s="5" t="s">
        <v>19340</v>
      </c>
      <c r="V1499" s="5" t="s">
        <v>19340</v>
      </c>
      <c r="W1499" s="5" t="s">
        <v>19341</v>
      </c>
      <c r="X1499" s="5" t="s">
        <v>19341</v>
      </c>
      <c r="Y1499" s="4">
        <v>877</v>
      </c>
      <c r="Z1499" s="4">
        <v>840</v>
      </c>
      <c r="AA1499" s="4">
        <v>852</v>
      </c>
      <c r="AB1499" s="4">
        <v>7</v>
      </c>
      <c r="AC1499" s="4">
        <v>7</v>
      </c>
      <c r="AD1499" s="4">
        <v>18</v>
      </c>
      <c r="AE1499" s="4">
        <v>18</v>
      </c>
      <c r="AF1499" s="4">
        <v>4</v>
      </c>
      <c r="AG1499" s="4">
        <v>4</v>
      </c>
      <c r="AH1499" s="4">
        <v>2</v>
      </c>
      <c r="AI1499" s="4">
        <v>2</v>
      </c>
      <c r="AJ1499" s="4">
        <v>7</v>
      </c>
      <c r="AK1499" s="4">
        <v>7</v>
      </c>
      <c r="AL1499" s="4">
        <v>2</v>
      </c>
      <c r="AM1499" s="4">
        <v>2</v>
      </c>
      <c r="AN1499" s="4">
        <v>8</v>
      </c>
      <c r="AO1499" s="4">
        <v>8</v>
      </c>
      <c r="AP1499" s="3" t="s">
        <v>58</v>
      </c>
      <c r="AQ1499" s="3" t="s">
        <v>58</v>
      </c>
      <c r="AS1499" s="6" t="str">
        <f>HYPERLINK("https://creighton-primo.hosted.exlibrisgroup.com/primo-explore/search?tab=default_tab&amp;search_scope=EVERYTHING&amp;vid=01CRU&amp;lang=en_US&amp;offset=0&amp;query=any,contains,991004112199702656","Catalog Record")</f>
        <v>Catalog Record</v>
      </c>
      <c r="AT1499" s="6" t="str">
        <f>HYPERLINK("http://www.worldcat.org/oclc/50958896","WorldCat Record")</f>
        <v>WorldCat Record</v>
      </c>
      <c r="AU1499" s="3" t="s">
        <v>19342</v>
      </c>
      <c r="AV1499" s="3" t="s">
        <v>19343</v>
      </c>
      <c r="AW1499" s="3" t="s">
        <v>19344</v>
      </c>
      <c r="AX1499" s="3" t="s">
        <v>19344</v>
      </c>
      <c r="AY1499" s="3" t="s">
        <v>19345</v>
      </c>
      <c r="AZ1499" s="3" t="s">
        <v>74</v>
      </c>
      <c r="BB1499" s="3" t="s">
        <v>19346</v>
      </c>
      <c r="BC1499" s="3" t="s">
        <v>19347</v>
      </c>
      <c r="BD1499" s="3" t="s">
        <v>19348</v>
      </c>
    </row>
    <row r="1500" spans="1:56" ht="45.75" customHeight="1" x14ac:dyDescent="0.25">
      <c r="A1500" s="7" t="s">
        <v>58</v>
      </c>
      <c r="B1500" s="2" t="s">
        <v>19349</v>
      </c>
      <c r="C1500" s="2" t="s">
        <v>19350</v>
      </c>
      <c r="D1500" s="2" t="s">
        <v>19351</v>
      </c>
      <c r="F1500" s="3" t="s">
        <v>58</v>
      </c>
      <c r="G1500" s="3" t="s">
        <v>59</v>
      </c>
      <c r="H1500" s="3" t="s">
        <v>58</v>
      </c>
      <c r="I1500" s="3" t="s">
        <v>58</v>
      </c>
      <c r="J1500" s="3" t="s">
        <v>60</v>
      </c>
      <c r="K1500" s="2" t="s">
        <v>19352</v>
      </c>
      <c r="L1500" s="2" t="s">
        <v>19353</v>
      </c>
      <c r="M1500" s="3" t="s">
        <v>1032</v>
      </c>
      <c r="O1500" s="3" t="s">
        <v>65</v>
      </c>
      <c r="P1500" s="3" t="s">
        <v>132</v>
      </c>
      <c r="R1500" s="3" t="s">
        <v>67</v>
      </c>
      <c r="S1500" s="4">
        <v>5</v>
      </c>
      <c r="T1500" s="4">
        <v>5</v>
      </c>
      <c r="U1500" s="5" t="s">
        <v>19354</v>
      </c>
      <c r="V1500" s="5" t="s">
        <v>19354</v>
      </c>
      <c r="W1500" s="5" t="s">
        <v>19355</v>
      </c>
      <c r="X1500" s="5" t="s">
        <v>19355</v>
      </c>
      <c r="Y1500" s="4">
        <v>286</v>
      </c>
      <c r="Z1500" s="4">
        <v>267</v>
      </c>
      <c r="AA1500" s="4">
        <v>272</v>
      </c>
      <c r="AB1500" s="4">
        <v>5</v>
      </c>
      <c r="AC1500" s="4">
        <v>5</v>
      </c>
      <c r="AD1500" s="4">
        <v>17</v>
      </c>
      <c r="AE1500" s="4">
        <v>17</v>
      </c>
      <c r="AF1500" s="4">
        <v>4</v>
      </c>
      <c r="AG1500" s="4">
        <v>4</v>
      </c>
      <c r="AH1500" s="4">
        <v>0</v>
      </c>
      <c r="AI1500" s="4">
        <v>0</v>
      </c>
      <c r="AJ1500" s="4">
        <v>7</v>
      </c>
      <c r="AK1500" s="4">
        <v>7</v>
      </c>
      <c r="AL1500" s="4">
        <v>3</v>
      </c>
      <c r="AM1500" s="4">
        <v>3</v>
      </c>
      <c r="AN1500" s="4">
        <v>6</v>
      </c>
      <c r="AO1500" s="4">
        <v>6</v>
      </c>
      <c r="AP1500" s="3" t="s">
        <v>58</v>
      </c>
      <c r="AQ1500" s="3" t="s">
        <v>58</v>
      </c>
      <c r="AS1500" s="6" t="str">
        <f>HYPERLINK("https://creighton-primo.hosted.exlibrisgroup.com/primo-explore/search?tab=default_tab&amp;search_scope=EVERYTHING&amp;vid=01CRU&amp;lang=en_US&amp;offset=0&amp;query=any,contains,991002691839702656","Catalog Record")</f>
        <v>Catalog Record</v>
      </c>
      <c r="AT1500" s="6" t="str">
        <f>HYPERLINK("http://www.worldcat.org/oclc/35159215","WorldCat Record")</f>
        <v>WorldCat Record</v>
      </c>
      <c r="AU1500" s="3" t="s">
        <v>19356</v>
      </c>
      <c r="AV1500" s="3" t="s">
        <v>19357</v>
      </c>
      <c r="AW1500" s="3" t="s">
        <v>19358</v>
      </c>
      <c r="AX1500" s="3" t="s">
        <v>19358</v>
      </c>
      <c r="AY1500" s="3" t="s">
        <v>19359</v>
      </c>
      <c r="AZ1500" s="3" t="s">
        <v>74</v>
      </c>
      <c r="BB1500" s="3" t="s">
        <v>19360</v>
      </c>
      <c r="BC1500" s="3" t="s">
        <v>19361</v>
      </c>
      <c r="BD1500" s="3" t="s">
        <v>19362</v>
      </c>
    </row>
  </sheetData>
  <sheetProtection sheet="1" objects="1" scenarios="1"/>
  <protectedRanges>
    <protectedRange sqref="A2:A1500" name="Range1"/>
    <protectedRange sqref="A1" name="Range1_1"/>
  </protectedRanges>
  <dataValidations count="1">
    <dataValidation type="list" allowBlank="1" showInputMessage="1" showErrorMessage="1" sqref="A2:A1500" xr:uid="{863F8615-7CB2-443A-A8EE-89E6DC4DC1C2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CF610297-2F61-48E8-828D-7EAF59931B78}"/>
</file>

<file path=customXml/itemProps2.xml><?xml version="1.0" encoding="utf-8"?>
<ds:datastoreItem xmlns:ds="http://schemas.openxmlformats.org/officeDocument/2006/customXml" ds:itemID="{7F4FACCE-0190-409D-A4BB-13FD487EC241}"/>
</file>

<file path=customXml/itemProps3.xml><?xml version="1.0" encoding="utf-8"?>
<ds:datastoreItem xmlns:ds="http://schemas.openxmlformats.org/officeDocument/2006/customXml" ds:itemID="{69AF0415-1A33-4D11-AD84-CE29BEB4AD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2022-03-04T01:29:19Z</dcterms:created>
  <dcterms:modified xsi:type="dcterms:W3CDTF">2022-03-04T01:31:02Z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285500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