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eightonuniv-my.sharepoint.com/personal/ejk60737_creighton_edu/Documents/Collections/Print Book Deselection/"/>
    </mc:Choice>
  </mc:AlternateContent>
  <xr:revisionPtr revIDLastSave="0" documentId="8_{77F4F508-3106-4434-9FA5-A9C1657C3B20}" xr6:coauthVersionLast="47" xr6:coauthVersionMax="47" xr10:uidLastSave="{00000000-0000-0000-0000-000000000000}"/>
  <bookViews>
    <workbookView xWindow="-120" yWindow="-120" windowWidth="29040" windowHeight="15840" xr2:uid="{8BD2E4A1-6C85-41F0-915F-043DB2BEBE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228" i="1" l="1"/>
  <c r="AS228" i="1"/>
  <c r="AT227" i="1"/>
  <c r="AS227" i="1"/>
  <c r="AR227" i="1"/>
  <c r="AT226" i="1"/>
  <c r="AS226" i="1"/>
  <c r="AR226" i="1"/>
  <c r="AT225" i="1"/>
  <c r="AS225" i="1"/>
  <c r="AT224" i="1"/>
  <c r="AS224" i="1"/>
  <c r="AT223" i="1"/>
  <c r="AS223" i="1"/>
  <c r="AT222" i="1"/>
  <c r="AS222" i="1"/>
  <c r="AT221" i="1"/>
  <c r="AS221" i="1"/>
  <c r="AT220" i="1"/>
  <c r="AS220" i="1"/>
  <c r="AT219" i="1"/>
  <c r="AS219" i="1"/>
  <c r="AR219" i="1"/>
  <c r="AT218" i="1"/>
  <c r="AS218" i="1"/>
  <c r="AT217" i="1"/>
  <c r="AS217" i="1"/>
  <c r="AR217" i="1"/>
  <c r="AT216" i="1"/>
  <c r="AS216" i="1"/>
  <c r="AT215" i="1"/>
  <c r="AS215" i="1"/>
  <c r="AT214" i="1"/>
  <c r="AS214" i="1"/>
  <c r="AR214" i="1"/>
  <c r="AT213" i="1"/>
  <c r="AS213" i="1"/>
  <c r="AR213" i="1"/>
  <c r="AT212" i="1"/>
  <c r="AS212" i="1"/>
  <c r="AT211" i="1"/>
  <c r="AS211" i="1"/>
  <c r="AT210" i="1"/>
  <c r="AS210" i="1"/>
  <c r="AT209" i="1"/>
  <c r="AS209" i="1"/>
  <c r="AT208" i="1"/>
  <c r="AS208" i="1"/>
  <c r="AT207" i="1"/>
  <c r="AS207" i="1"/>
  <c r="AT206" i="1"/>
  <c r="AS206" i="1"/>
  <c r="AT205" i="1"/>
  <c r="AS205" i="1"/>
  <c r="AT204" i="1"/>
  <c r="AS204" i="1"/>
  <c r="AR204" i="1"/>
  <c r="AT203" i="1"/>
  <c r="AS203" i="1"/>
  <c r="AT202" i="1"/>
  <c r="AS202" i="1"/>
  <c r="AR202" i="1"/>
  <c r="AT201" i="1"/>
  <c r="AS201" i="1"/>
  <c r="AR201" i="1"/>
  <c r="AT200" i="1"/>
  <c r="AS200" i="1"/>
  <c r="AT199" i="1"/>
  <c r="AS199" i="1"/>
  <c r="AR199" i="1"/>
  <c r="AT198" i="1"/>
  <c r="AS198" i="1"/>
  <c r="AR198" i="1"/>
  <c r="AT197" i="1"/>
  <c r="AS197" i="1"/>
  <c r="AR197" i="1"/>
  <c r="AT196" i="1"/>
  <c r="AS196" i="1"/>
  <c r="AR196" i="1"/>
  <c r="AT195" i="1"/>
  <c r="AS195" i="1"/>
  <c r="AR195" i="1"/>
  <c r="AT194" i="1"/>
  <c r="AS194" i="1"/>
  <c r="AR194" i="1"/>
  <c r="AT193" i="1"/>
  <c r="AS193" i="1"/>
  <c r="AT192" i="1"/>
  <c r="AS192" i="1"/>
  <c r="AT191" i="1"/>
  <c r="AS191" i="1"/>
  <c r="AT190" i="1"/>
  <c r="AS190" i="1"/>
  <c r="AT189" i="1"/>
  <c r="AS189" i="1"/>
  <c r="AR189" i="1"/>
  <c r="AT188" i="1"/>
  <c r="AS188" i="1"/>
  <c r="AR188" i="1"/>
  <c r="AT187" i="1"/>
  <c r="AS187" i="1"/>
  <c r="AR187" i="1"/>
  <c r="AT186" i="1"/>
  <c r="AS186" i="1"/>
  <c r="AR186" i="1"/>
  <c r="AT185" i="1"/>
  <c r="AS185" i="1"/>
  <c r="AR185" i="1"/>
  <c r="AT184" i="1"/>
  <c r="AS184" i="1"/>
  <c r="AR184" i="1"/>
  <c r="AT183" i="1"/>
  <c r="AS183" i="1"/>
  <c r="AR183" i="1"/>
  <c r="AT182" i="1"/>
  <c r="AS182" i="1"/>
  <c r="AT181" i="1"/>
  <c r="AS181" i="1"/>
  <c r="AT180" i="1"/>
  <c r="AS180" i="1"/>
  <c r="AT179" i="1"/>
  <c r="AS179" i="1"/>
  <c r="AR179" i="1"/>
  <c r="AT178" i="1"/>
  <c r="AS178" i="1"/>
  <c r="AR178" i="1"/>
  <c r="AT177" i="1"/>
  <c r="AS177" i="1"/>
  <c r="AT176" i="1"/>
  <c r="AS176" i="1"/>
  <c r="AT175" i="1"/>
  <c r="AS175" i="1"/>
  <c r="AR175" i="1"/>
  <c r="AT174" i="1"/>
  <c r="AS174" i="1"/>
  <c r="AT173" i="1"/>
  <c r="AS173" i="1"/>
  <c r="AR173" i="1"/>
  <c r="AT172" i="1"/>
  <c r="AS172" i="1"/>
  <c r="AR172" i="1"/>
  <c r="AT171" i="1"/>
  <c r="AS171" i="1"/>
  <c r="AT170" i="1"/>
  <c r="AS170" i="1"/>
  <c r="AR170" i="1"/>
  <c r="AT169" i="1"/>
  <c r="AS169" i="1"/>
  <c r="AT168" i="1"/>
  <c r="AS168" i="1"/>
  <c r="AR168" i="1"/>
  <c r="AT167" i="1"/>
  <c r="AS167" i="1"/>
  <c r="AT166" i="1"/>
  <c r="AS166" i="1"/>
  <c r="AR166" i="1"/>
  <c r="AT165" i="1"/>
  <c r="AS165" i="1"/>
  <c r="AR165" i="1"/>
  <c r="AT164" i="1"/>
  <c r="AS164" i="1"/>
  <c r="AR164" i="1"/>
  <c r="AT163" i="1"/>
  <c r="AS163" i="1"/>
  <c r="AR163" i="1"/>
  <c r="AT162" i="1"/>
  <c r="AS162" i="1"/>
  <c r="AT161" i="1"/>
  <c r="AS161" i="1"/>
  <c r="AR161" i="1"/>
  <c r="AT160" i="1"/>
  <c r="AS160" i="1"/>
  <c r="AR160" i="1"/>
  <c r="AT159" i="1"/>
  <c r="AS159" i="1"/>
  <c r="AR159" i="1"/>
  <c r="AT158" i="1"/>
  <c r="AS158" i="1"/>
  <c r="AT157" i="1"/>
  <c r="AS157" i="1"/>
  <c r="AR157" i="1"/>
  <c r="AT156" i="1"/>
  <c r="AS156" i="1"/>
  <c r="AR156" i="1"/>
  <c r="AT155" i="1"/>
  <c r="AS155" i="1"/>
  <c r="AT154" i="1"/>
  <c r="AS154" i="1"/>
  <c r="AT153" i="1"/>
  <c r="AS153" i="1"/>
  <c r="AR153" i="1"/>
  <c r="AT152" i="1"/>
  <c r="AS152" i="1"/>
  <c r="AR152" i="1"/>
  <c r="AT151" i="1"/>
  <c r="AS151" i="1"/>
  <c r="AR151" i="1"/>
  <c r="AT150" i="1"/>
  <c r="AS150" i="1"/>
  <c r="AR150" i="1"/>
  <c r="AT149" i="1"/>
  <c r="AS149" i="1"/>
  <c r="AT148" i="1"/>
  <c r="AS148" i="1"/>
  <c r="AR148" i="1"/>
  <c r="AT147" i="1"/>
  <c r="AS147" i="1"/>
  <c r="AR147" i="1"/>
  <c r="AT146" i="1"/>
  <c r="AS146" i="1"/>
  <c r="AT145" i="1"/>
  <c r="AS145" i="1"/>
  <c r="AR145" i="1"/>
  <c r="AT144" i="1"/>
  <c r="AS144" i="1"/>
  <c r="AR144" i="1"/>
  <c r="AT143" i="1"/>
  <c r="AS143" i="1"/>
  <c r="AT142" i="1"/>
  <c r="AS142" i="1"/>
  <c r="AR142" i="1"/>
  <c r="AT141" i="1"/>
  <c r="AS141" i="1"/>
  <c r="AR141" i="1"/>
  <c r="AT140" i="1"/>
  <c r="AS140" i="1"/>
  <c r="AR140" i="1"/>
  <c r="AT139" i="1"/>
  <c r="AS139" i="1"/>
  <c r="AT138" i="1"/>
  <c r="AS138" i="1"/>
  <c r="AR138" i="1"/>
  <c r="AT137" i="1"/>
  <c r="AS137" i="1"/>
  <c r="AT136" i="1"/>
  <c r="AS136" i="1"/>
  <c r="AR136" i="1"/>
  <c r="AT135" i="1"/>
  <c r="AS135" i="1"/>
  <c r="AR135" i="1"/>
  <c r="AT134" i="1"/>
  <c r="AS134" i="1"/>
  <c r="AT133" i="1"/>
  <c r="AS133" i="1"/>
  <c r="AR133" i="1"/>
  <c r="AT132" i="1"/>
  <c r="AS132" i="1"/>
  <c r="AR132" i="1"/>
  <c r="AT131" i="1"/>
  <c r="AS131" i="1"/>
  <c r="AR131" i="1"/>
  <c r="AT130" i="1"/>
  <c r="AS130" i="1"/>
  <c r="AR130" i="1"/>
  <c r="AT129" i="1"/>
  <c r="AS129" i="1"/>
  <c r="AR129" i="1"/>
  <c r="AT128" i="1"/>
  <c r="AS128" i="1"/>
  <c r="AR128" i="1"/>
  <c r="AT127" i="1"/>
  <c r="AS127" i="1"/>
  <c r="AR127" i="1"/>
  <c r="AT126" i="1"/>
  <c r="AS126" i="1"/>
  <c r="AR126" i="1"/>
  <c r="AT125" i="1"/>
  <c r="AS125" i="1"/>
  <c r="AR125" i="1"/>
  <c r="AT124" i="1"/>
  <c r="AS124" i="1"/>
  <c r="AR124" i="1"/>
  <c r="AT123" i="1"/>
  <c r="AS123" i="1"/>
  <c r="AR123" i="1"/>
  <c r="AT122" i="1"/>
  <c r="AS122" i="1"/>
  <c r="AR122" i="1"/>
  <c r="AT121" i="1"/>
  <c r="AS121" i="1"/>
  <c r="AR121" i="1"/>
  <c r="AT120" i="1"/>
  <c r="AS120" i="1"/>
  <c r="AT119" i="1"/>
  <c r="AS119" i="1"/>
  <c r="AT118" i="1"/>
  <c r="AS118" i="1"/>
  <c r="AT117" i="1"/>
  <c r="AS117" i="1"/>
  <c r="AT116" i="1"/>
  <c r="AS116" i="1"/>
  <c r="AR116" i="1"/>
  <c r="AT115" i="1"/>
  <c r="AS115" i="1"/>
  <c r="AR115" i="1"/>
  <c r="AT114" i="1"/>
  <c r="AS114" i="1"/>
  <c r="AR114" i="1"/>
  <c r="AT113" i="1"/>
  <c r="AS113" i="1"/>
  <c r="AR113" i="1"/>
  <c r="AT112" i="1"/>
  <c r="AS112" i="1"/>
  <c r="AT111" i="1"/>
  <c r="AS111" i="1"/>
  <c r="AR111" i="1"/>
  <c r="AT110" i="1"/>
  <c r="AS110" i="1"/>
  <c r="AR110" i="1"/>
  <c r="AT109" i="1"/>
  <c r="AS109" i="1"/>
  <c r="AR109" i="1"/>
  <c r="AT108" i="1"/>
  <c r="AS108" i="1"/>
  <c r="AR108" i="1"/>
  <c r="AT107" i="1"/>
  <c r="AS107" i="1"/>
  <c r="AT106" i="1"/>
  <c r="AS106" i="1"/>
  <c r="AR106" i="1"/>
  <c r="AT105" i="1"/>
  <c r="AS105" i="1"/>
  <c r="AT104" i="1"/>
  <c r="AS104" i="1"/>
  <c r="AR104" i="1"/>
  <c r="AT103" i="1"/>
  <c r="AS103" i="1"/>
  <c r="AT102" i="1"/>
  <c r="AS102" i="1"/>
  <c r="AR102" i="1"/>
  <c r="AT101" i="1"/>
  <c r="AS101" i="1"/>
  <c r="AR101" i="1"/>
  <c r="AT100" i="1"/>
  <c r="AS100" i="1"/>
  <c r="AR100" i="1"/>
  <c r="AT99" i="1"/>
  <c r="AS99" i="1"/>
  <c r="AR99" i="1"/>
  <c r="AT98" i="1"/>
  <c r="AS98" i="1"/>
  <c r="AT97" i="1"/>
  <c r="AS97" i="1"/>
  <c r="AR97" i="1"/>
  <c r="AT96" i="1"/>
  <c r="AS96" i="1"/>
  <c r="AR96" i="1"/>
  <c r="AT95" i="1"/>
  <c r="AS95" i="1"/>
  <c r="AT94" i="1"/>
  <c r="AS94" i="1"/>
  <c r="AR94" i="1"/>
  <c r="AT93" i="1"/>
  <c r="AS93" i="1"/>
  <c r="AR93" i="1"/>
  <c r="AT92" i="1"/>
  <c r="AS92" i="1"/>
  <c r="AR92" i="1"/>
  <c r="AT91" i="1"/>
  <c r="AS91" i="1"/>
  <c r="AT90" i="1"/>
  <c r="AS90" i="1"/>
  <c r="AT89" i="1"/>
  <c r="AS89" i="1"/>
  <c r="AR89" i="1"/>
  <c r="AT88" i="1"/>
  <c r="AS88" i="1"/>
  <c r="AT87" i="1"/>
  <c r="AS87" i="1"/>
  <c r="AT86" i="1"/>
  <c r="AS86" i="1"/>
  <c r="AT85" i="1"/>
  <c r="AS85" i="1"/>
  <c r="AR85" i="1"/>
  <c r="AT84" i="1"/>
  <c r="AS84" i="1"/>
  <c r="AR84" i="1"/>
  <c r="AT83" i="1"/>
  <c r="AS83" i="1"/>
  <c r="AT82" i="1"/>
  <c r="AS82" i="1"/>
  <c r="AR82" i="1"/>
  <c r="AT81" i="1"/>
  <c r="AS81" i="1"/>
  <c r="AT80" i="1"/>
  <c r="AS80" i="1"/>
  <c r="AR80" i="1"/>
  <c r="AT79" i="1"/>
  <c r="AS79" i="1"/>
  <c r="AR79" i="1"/>
  <c r="AT78" i="1"/>
  <c r="AS78" i="1"/>
  <c r="AR78" i="1"/>
  <c r="AT77" i="1"/>
  <c r="AS77" i="1"/>
  <c r="AR77" i="1"/>
  <c r="AT76" i="1"/>
  <c r="AS76" i="1"/>
  <c r="AR76" i="1"/>
  <c r="AT75" i="1"/>
  <c r="AS75" i="1"/>
  <c r="AR75" i="1"/>
  <c r="AT74" i="1"/>
  <c r="AS74" i="1"/>
  <c r="AR74" i="1"/>
  <c r="AT73" i="1"/>
  <c r="AS73" i="1"/>
  <c r="AT72" i="1"/>
  <c r="AS72" i="1"/>
  <c r="AR72" i="1"/>
  <c r="AT71" i="1"/>
  <c r="AS71" i="1"/>
  <c r="AR71" i="1"/>
  <c r="AT70" i="1"/>
  <c r="AS70" i="1"/>
  <c r="AR70" i="1"/>
  <c r="AT69" i="1"/>
  <c r="AS69" i="1"/>
  <c r="AR69" i="1"/>
  <c r="AT68" i="1"/>
  <c r="AS68" i="1"/>
  <c r="AR68" i="1"/>
  <c r="AT67" i="1"/>
  <c r="AS67" i="1"/>
  <c r="AR67" i="1"/>
  <c r="AT66" i="1"/>
  <c r="AS66" i="1"/>
  <c r="AR66" i="1"/>
  <c r="AT65" i="1"/>
  <c r="AS65" i="1"/>
  <c r="AT64" i="1"/>
  <c r="AS64" i="1"/>
  <c r="AT63" i="1"/>
  <c r="AS63" i="1"/>
  <c r="AT62" i="1"/>
  <c r="AS62" i="1"/>
  <c r="AT61" i="1"/>
  <c r="AS61" i="1"/>
  <c r="AT60" i="1"/>
  <c r="AS60" i="1"/>
  <c r="AT59" i="1"/>
  <c r="AS59" i="1"/>
  <c r="AT58" i="1"/>
  <c r="AS58" i="1"/>
  <c r="AR58" i="1"/>
  <c r="AT57" i="1"/>
  <c r="AS57" i="1"/>
  <c r="AR57" i="1"/>
  <c r="AT56" i="1"/>
  <c r="AS56" i="1"/>
  <c r="AR56" i="1"/>
  <c r="AT55" i="1"/>
  <c r="AS55" i="1"/>
  <c r="AR55" i="1"/>
  <c r="AT54" i="1"/>
  <c r="AS54" i="1"/>
  <c r="AR54" i="1"/>
  <c r="AT53" i="1"/>
  <c r="AS53" i="1"/>
  <c r="AR53" i="1"/>
  <c r="AT52" i="1"/>
  <c r="AS52" i="1"/>
  <c r="AR52" i="1"/>
  <c r="AT51" i="1"/>
  <c r="AS51" i="1"/>
  <c r="AR51" i="1"/>
  <c r="AT50" i="1"/>
  <c r="AS50" i="1"/>
  <c r="AR50" i="1"/>
  <c r="AT49" i="1"/>
  <c r="AS49" i="1"/>
  <c r="AR49" i="1"/>
  <c r="AT48" i="1"/>
  <c r="AS48" i="1"/>
  <c r="AT47" i="1"/>
  <c r="AS47" i="1"/>
  <c r="AR47" i="1"/>
  <c r="AT46" i="1"/>
  <c r="AS46" i="1"/>
  <c r="AR46" i="1"/>
  <c r="AT45" i="1"/>
  <c r="AS45" i="1"/>
  <c r="AT44" i="1"/>
  <c r="AS44" i="1"/>
  <c r="AR44" i="1"/>
  <c r="AT43" i="1"/>
  <c r="AS43" i="1"/>
  <c r="AR43" i="1"/>
  <c r="AT42" i="1"/>
  <c r="AS42" i="1"/>
  <c r="AR42" i="1"/>
  <c r="AT41" i="1"/>
  <c r="AS41" i="1"/>
  <c r="AR41" i="1"/>
  <c r="AT40" i="1"/>
  <c r="AS40" i="1"/>
  <c r="AR40" i="1"/>
  <c r="AT39" i="1"/>
  <c r="AS39" i="1"/>
  <c r="AT38" i="1"/>
  <c r="AS38" i="1"/>
  <c r="AT37" i="1"/>
  <c r="AS37" i="1"/>
  <c r="AR37" i="1"/>
  <c r="AT36" i="1"/>
  <c r="AS36" i="1"/>
  <c r="AR36" i="1"/>
  <c r="AT35" i="1"/>
  <c r="AS35" i="1"/>
  <c r="AT34" i="1"/>
  <c r="AS34" i="1"/>
  <c r="AR34" i="1"/>
  <c r="AT33" i="1"/>
  <c r="AS33" i="1"/>
  <c r="AT32" i="1"/>
  <c r="AS32" i="1"/>
  <c r="AT31" i="1"/>
  <c r="AS31" i="1"/>
  <c r="AR31" i="1"/>
  <c r="AT30" i="1"/>
  <c r="AS30" i="1"/>
  <c r="AR30" i="1"/>
  <c r="AT29" i="1"/>
  <c r="AS29" i="1"/>
  <c r="AR29" i="1"/>
  <c r="AT28" i="1"/>
  <c r="AS28" i="1"/>
  <c r="AR28" i="1"/>
  <c r="AT27" i="1"/>
  <c r="AS27" i="1"/>
  <c r="AR27" i="1"/>
  <c r="AT26" i="1"/>
  <c r="AS26" i="1"/>
  <c r="AT25" i="1"/>
  <c r="AS25" i="1"/>
  <c r="AR25" i="1"/>
  <c r="AT24" i="1"/>
  <c r="AS24" i="1"/>
  <c r="AR24" i="1"/>
  <c r="AT23" i="1"/>
  <c r="AS23" i="1"/>
  <c r="AR23" i="1"/>
  <c r="AT22" i="1"/>
  <c r="AS22" i="1"/>
  <c r="AR22" i="1"/>
  <c r="AT21" i="1"/>
  <c r="AS21" i="1"/>
  <c r="AR21" i="1"/>
  <c r="AT20" i="1"/>
  <c r="AS20" i="1"/>
  <c r="AR20" i="1"/>
  <c r="AT19" i="1"/>
  <c r="AS19" i="1"/>
  <c r="AR19" i="1"/>
  <c r="AT18" i="1"/>
  <c r="AS18" i="1"/>
  <c r="AR18" i="1"/>
  <c r="AT17" i="1"/>
  <c r="AS17" i="1"/>
  <c r="AR17" i="1"/>
  <c r="AT16" i="1"/>
  <c r="AS16" i="1"/>
  <c r="AT15" i="1"/>
  <c r="AS15" i="1"/>
  <c r="AR15" i="1"/>
  <c r="AT14" i="1"/>
  <c r="AS14" i="1"/>
  <c r="AT13" i="1"/>
  <c r="AS13" i="1"/>
  <c r="AR13" i="1"/>
  <c r="AT12" i="1"/>
  <c r="AS12" i="1"/>
  <c r="AR12" i="1"/>
  <c r="AT11" i="1"/>
  <c r="AS11" i="1"/>
  <c r="AR11" i="1"/>
  <c r="AT10" i="1"/>
  <c r="AS10" i="1"/>
  <c r="AT9" i="1"/>
  <c r="AS9" i="1"/>
  <c r="AR9" i="1"/>
  <c r="AT8" i="1"/>
  <c r="AS8" i="1"/>
  <c r="AT7" i="1"/>
  <c r="AS7" i="1"/>
  <c r="AR7" i="1"/>
  <c r="AT6" i="1"/>
  <c r="AS6" i="1"/>
  <c r="AR6" i="1"/>
  <c r="AT5" i="1"/>
  <c r="AS5" i="1"/>
  <c r="AR5" i="1"/>
  <c r="AT4" i="1"/>
  <c r="AS4" i="1"/>
  <c r="AT3" i="1"/>
  <c r="AS3" i="1"/>
  <c r="AT2" i="1"/>
  <c r="AS2" i="1"/>
  <c r="AR2" i="1"/>
</calcChain>
</file>

<file path=xl/sharedStrings.xml><?xml version="1.0" encoding="utf-8"?>
<sst xmlns="http://schemas.openxmlformats.org/spreadsheetml/2006/main" count="6855" uniqueCount="3160">
  <si>
    <t>Display Call Number</t>
  </si>
  <si>
    <t>Display Call Number Normalized</t>
  </si>
  <si>
    <t>Title</t>
  </si>
  <si>
    <t>Enumeration</t>
  </si>
  <si>
    <t>Possible Multi-Volume Set</t>
  </si>
  <si>
    <t>Copy Number</t>
  </si>
  <si>
    <t>Possible Duplicate</t>
  </si>
  <si>
    <t>Multi-Edition Title</t>
  </si>
  <si>
    <t>Number of Related Ebooks</t>
  </si>
  <si>
    <t>Author</t>
  </si>
  <si>
    <t>Publisher</t>
  </si>
  <si>
    <t>Publication Year</t>
  </si>
  <si>
    <t>Edition</t>
  </si>
  <si>
    <t>Primary Language</t>
  </si>
  <si>
    <t>Place of Publication</t>
  </si>
  <si>
    <t>Series</t>
  </si>
  <si>
    <t>LC Subclass</t>
  </si>
  <si>
    <t>Recorded Uses - Item</t>
  </si>
  <si>
    <t>Recorded Uses - Title</t>
  </si>
  <si>
    <t>Last Charge Date - Item</t>
  </si>
  <si>
    <t>Last Charge Date - Title</t>
  </si>
  <si>
    <t>Last Add Date - Item</t>
  </si>
  <si>
    <t>Last Add Date - Title</t>
  </si>
  <si>
    <t>Global Holdings - Same Edition</t>
  </si>
  <si>
    <t>US Holdings - Same Edition</t>
  </si>
  <si>
    <t>US Holdings</t>
  </si>
  <si>
    <t>Nebraska Holdings - Same Edition</t>
  </si>
  <si>
    <t>Nebraska Holdings</t>
  </si>
  <si>
    <t>All Comparator Library Holdings - Same Edition</t>
  </si>
  <si>
    <t>All Comparator Library Holdings</t>
  </si>
  <si>
    <t>Affinity Libraries - Same Edition</t>
  </si>
  <si>
    <t>Affinity Libraries - Any Edition</t>
  </si>
  <si>
    <t>Big East - Same Edition</t>
  </si>
  <si>
    <t>Big East - Any Edition</t>
  </si>
  <si>
    <t>AJCU - Same Edition</t>
  </si>
  <si>
    <t>AJCU - Any Edition</t>
  </si>
  <si>
    <t>Nebraska Colleges &amp; Universities - Same Edition</t>
  </si>
  <si>
    <t>Nebraska Colleges &amp; Universities - Any Edition</t>
  </si>
  <si>
    <t>MALLCO - Same Edition</t>
  </si>
  <si>
    <t>MALLCO - Any Edition</t>
  </si>
  <si>
    <t>HathiTrust Public Domain</t>
  </si>
  <si>
    <t>HathiTrust In Copyright</t>
  </si>
  <si>
    <t>HathiTrust URL</t>
  </si>
  <si>
    <t>OPAC URL</t>
  </si>
  <si>
    <t>WorldCat URL</t>
  </si>
  <si>
    <t>OCLC Work ID</t>
  </si>
  <si>
    <t>WorldCat OCLC Number</t>
  </si>
  <si>
    <t>Bib Record Number</t>
  </si>
  <si>
    <t>Bib Control Number</t>
  </si>
  <si>
    <t>Item Control Number</t>
  </si>
  <si>
    <t>Item Type Code</t>
  </si>
  <si>
    <t>Item Status Code</t>
  </si>
  <si>
    <t>ISBN</t>
  </si>
  <si>
    <t>Barcode</t>
  </si>
  <si>
    <t>SCS Item ID</t>
  </si>
  <si>
    <t>JA66 .D85 2000</t>
  </si>
  <si>
    <t>0                      JA 0066000D  85          2000</t>
  </si>
  <si>
    <t>The cunning of unreason : making sense of politics / John Dunn.</t>
  </si>
  <si>
    <t>No</t>
  </si>
  <si>
    <t>1</t>
  </si>
  <si>
    <t>0</t>
  </si>
  <si>
    <t>Dunn, John, 1940-</t>
  </si>
  <si>
    <t>New York, NY : Basic Books, 2000.</t>
  </si>
  <si>
    <t>2000</t>
  </si>
  <si>
    <t>eng</t>
  </si>
  <si>
    <t>nyu</t>
  </si>
  <si>
    <t xml:space="preserve">JA </t>
  </si>
  <si>
    <t>2001-10-13</t>
  </si>
  <si>
    <t>Yes</t>
  </si>
  <si>
    <t>46490:eng</t>
  </si>
  <si>
    <t>44167600</t>
  </si>
  <si>
    <t>991003622269702656</t>
  </si>
  <si>
    <t>2260837160002656</t>
  </si>
  <si>
    <t>BOOK</t>
  </si>
  <si>
    <t>9780465017478</t>
  </si>
  <si>
    <t>32285004396023</t>
  </si>
  <si>
    <t>893525025</t>
  </si>
  <si>
    <t>JA71 .B76 2001</t>
  </si>
  <si>
    <t>0                      JA 0071000B  76          2001</t>
  </si>
  <si>
    <t>Politics out of history / Wendy Brown.</t>
  </si>
  <si>
    <t>Brown, Wendy, 1955-</t>
  </si>
  <si>
    <t>Princeton : Princeton University Press, c2001.</t>
  </si>
  <si>
    <t>2001</t>
  </si>
  <si>
    <t>nju</t>
  </si>
  <si>
    <t>2002-10-03</t>
  </si>
  <si>
    <t>892575:eng</t>
  </si>
  <si>
    <t>45715862</t>
  </si>
  <si>
    <t>991003884949702656</t>
  </si>
  <si>
    <t>2263207300002656</t>
  </si>
  <si>
    <t>9780691070841</t>
  </si>
  <si>
    <t>32285004651781</t>
  </si>
  <si>
    <t>893506103</t>
  </si>
  <si>
    <t>JA71 .D76 2002</t>
  </si>
  <si>
    <t>0                      JA 0071000D  76          2002</t>
  </si>
  <si>
    <t>The capacity to govern : a report to the Club of Rome / Yehezkel Dror.</t>
  </si>
  <si>
    <t>Dror, Yehezkel, 1928-</t>
  </si>
  <si>
    <t>London : F. Cass, 2002.</t>
  </si>
  <si>
    <t>2002</t>
  </si>
  <si>
    <t>Paperback ed.</t>
  </si>
  <si>
    <t>xxk</t>
  </si>
  <si>
    <t>2003-11-20</t>
  </si>
  <si>
    <t>730160:eng</t>
  </si>
  <si>
    <t>46969802</t>
  </si>
  <si>
    <t>991004118339702656</t>
  </si>
  <si>
    <t>2272059360002656</t>
  </si>
  <si>
    <t>9780714652283</t>
  </si>
  <si>
    <t>32285004840160</t>
  </si>
  <si>
    <t>893435909</t>
  </si>
  <si>
    <t>JA71 .G66</t>
  </si>
  <si>
    <t>0                      JA 0071000G  66</t>
  </si>
  <si>
    <t>Using political ideas / Barbara Goodwin.</t>
  </si>
  <si>
    <t>Goodwin, Barbara.</t>
  </si>
  <si>
    <t>Chichester [Sussex] ; New York : Wiley, c1982.</t>
  </si>
  <si>
    <t>1982</t>
  </si>
  <si>
    <t>enk</t>
  </si>
  <si>
    <t>1996-01-11</t>
  </si>
  <si>
    <t>1992-07-23</t>
  </si>
  <si>
    <t>551100:eng</t>
  </si>
  <si>
    <t>7875718</t>
  </si>
  <si>
    <t>991005172079702656</t>
  </si>
  <si>
    <t>2267993010002656</t>
  </si>
  <si>
    <t>9780471101154</t>
  </si>
  <si>
    <t>32285001216919</t>
  </si>
  <si>
    <t>893242320</t>
  </si>
  <si>
    <t>JA71 .H275 1998</t>
  </si>
  <si>
    <t>0                      JA 0071000H  275         1998</t>
  </si>
  <si>
    <t>Political philosophy / Jean Hampton.</t>
  </si>
  <si>
    <t>Hampton, Jean.</t>
  </si>
  <si>
    <t>Boulder, Colo. : Westview Press, 1998.</t>
  </si>
  <si>
    <t>1998</t>
  </si>
  <si>
    <t>cou</t>
  </si>
  <si>
    <t>Dimensions of philosophy series</t>
  </si>
  <si>
    <t>2008-10-09</t>
  </si>
  <si>
    <t>1999-03-09</t>
  </si>
  <si>
    <t>20693313:eng</t>
  </si>
  <si>
    <t>35121781</t>
  </si>
  <si>
    <t>991002688579702656</t>
  </si>
  <si>
    <t>2258610400002656</t>
  </si>
  <si>
    <t>9780813308579</t>
  </si>
  <si>
    <t>32285003529590</t>
  </si>
  <si>
    <t>893434169</t>
  </si>
  <si>
    <t>JA73 .B368 1981</t>
  </si>
  <si>
    <t>0                      JA 0073000B  368         1981</t>
  </si>
  <si>
    <t>Conflicting ideologies in political economy : a synthesis / Philip L. Beardsley.</t>
  </si>
  <si>
    <t>Beardsley, Philip L.</t>
  </si>
  <si>
    <t>Beverly Hills : Sage Publications, c1981.</t>
  </si>
  <si>
    <t>1981</t>
  </si>
  <si>
    <t>cau</t>
  </si>
  <si>
    <t>Sage library of social research ; v. 118</t>
  </si>
  <si>
    <t>457179:eng</t>
  </si>
  <si>
    <t>7007146</t>
  </si>
  <si>
    <t>991005070229702656</t>
  </si>
  <si>
    <t>2266364220002656</t>
  </si>
  <si>
    <t>9780803915275</t>
  </si>
  <si>
    <t>32285001217024</t>
  </si>
  <si>
    <t>893594412</t>
  </si>
  <si>
    <t>JA74 .B425 1983</t>
  </si>
  <si>
    <t>0                      JA 0074000B  425         1983</t>
  </si>
  <si>
    <t>Political judgment / Ronald Beiner.</t>
  </si>
  <si>
    <t>Beiner, Ronald, 1953-</t>
  </si>
  <si>
    <t>Chicago : University of Chicago Press ; London : Methuen, 1983.</t>
  </si>
  <si>
    <t>1983</t>
  </si>
  <si>
    <t>ilu</t>
  </si>
  <si>
    <t>2005-11-01</t>
  </si>
  <si>
    <t>1992-07-27</t>
  </si>
  <si>
    <t>2937738:eng</t>
  </si>
  <si>
    <t>10608485</t>
  </si>
  <si>
    <t>991000401219702656</t>
  </si>
  <si>
    <t>2261740940002656</t>
  </si>
  <si>
    <t>9780226041650</t>
  </si>
  <si>
    <t>32285001217081</t>
  </si>
  <si>
    <t>893896845</t>
  </si>
  <si>
    <t>JA74 .E19 1990</t>
  </si>
  <si>
    <t>0                      JA 0074000E  19          1990</t>
  </si>
  <si>
    <t>The analysis of political structure / David Easton.</t>
  </si>
  <si>
    <t>Easton, David, 1917-2014.</t>
  </si>
  <si>
    <t>New York : Routledge, 1990.</t>
  </si>
  <si>
    <t>1990</t>
  </si>
  <si>
    <t>2000-08-22</t>
  </si>
  <si>
    <t>1991-05-31</t>
  </si>
  <si>
    <t>22547282:eng</t>
  </si>
  <si>
    <t>20932778</t>
  </si>
  <si>
    <t>991001633239702656</t>
  </si>
  <si>
    <t>2265725610002656</t>
  </si>
  <si>
    <t>9780415903103</t>
  </si>
  <si>
    <t>32285000591254</t>
  </si>
  <si>
    <t>893897920</t>
  </si>
  <si>
    <t>JA74 .L32</t>
  </si>
  <si>
    <t>0                      JA 0074000L  32</t>
  </si>
  <si>
    <t>The signature of power : buildings, communication, and policy / Harold D. Lasswell, with the collaboration of Merritt B. Fox.</t>
  </si>
  <si>
    <t>Lasswell, Harold D. (Harold Dwight), 1902-1978.</t>
  </si>
  <si>
    <t>New Brunswick, N.J. : Transaction, inc., c1979.</t>
  </si>
  <si>
    <t>1979</t>
  </si>
  <si>
    <t>1994-09-18</t>
  </si>
  <si>
    <t>223890542:eng</t>
  </si>
  <si>
    <t>4871784</t>
  </si>
  <si>
    <t>991004738969702656</t>
  </si>
  <si>
    <t>2262075780002656</t>
  </si>
  <si>
    <t>9780878552894</t>
  </si>
  <si>
    <t>32285001217180</t>
  </si>
  <si>
    <t>893350337</t>
  </si>
  <si>
    <t>JA74 .S5 1968</t>
  </si>
  <si>
    <t>0                      JA 0074000S  5           1968</t>
  </si>
  <si>
    <t>Quantitative international politics: insights and evidence / edited by J. David Singer. Contributors: Chadwick F. Alger [and others] --</t>
  </si>
  <si>
    <t>Singer, J. David (Joel David), 1925-2009.</t>
  </si>
  <si>
    <t>New York : Free Press, [1968]</t>
  </si>
  <si>
    <t>1968</t>
  </si>
  <si>
    <t>International yearbook of political behavior research ; v. 6</t>
  </si>
  <si>
    <t>2002-04-11</t>
  </si>
  <si>
    <t>864896739:eng</t>
  </si>
  <si>
    <t>378007</t>
  </si>
  <si>
    <t>991002611709702656</t>
  </si>
  <si>
    <t>2264406910002656</t>
  </si>
  <si>
    <t>32285001217248</t>
  </si>
  <si>
    <t>893510968</t>
  </si>
  <si>
    <t>JA74 .V38</t>
  </si>
  <si>
    <t>0                      JA 0074000V  38</t>
  </si>
  <si>
    <t>The tradition of political hedonism : from Hobbes to J.S. Mill / Frederick Vaughan.</t>
  </si>
  <si>
    <t>Vaughan, Frederick.</t>
  </si>
  <si>
    <t>New York : Fordham University Press, 1982.</t>
  </si>
  <si>
    <t>1996-10-30</t>
  </si>
  <si>
    <t>20827098:eng</t>
  </si>
  <si>
    <t>8774985</t>
  </si>
  <si>
    <t>991000069559702656</t>
  </si>
  <si>
    <t>2269181420002656</t>
  </si>
  <si>
    <t>9780823210787</t>
  </si>
  <si>
    <t>32285001217255</t>
  </si>
  <si>
    <t>893255149</t>
  </si>
  <si>
    <t>JA74 .W6</t>
  </si>
  <si>
    <t>0                      JA 0074000W  6</t>
  </si>
  <si>
    <t>Political man and social man; readings in political philosophy.</t>
  </si>
  <si>
    <t>Wolff, Robert Paul editor.</t>
  </si>
  <si>
    <t>New York, Random House [1966]</t>
  </si>
  <si>
    <t>1966</t>
  </si>
  <si>
    <t>2005-04-29</t>
  </si>
  <si>
    <t>1997-09-03</t>
  </si>
  <si>
    <t>363890269:eng</t>
  </si>
  <si>
    <t>494074</t>
  </si>
  <si>
    <t>991002862179702656</t>
  </si>
  <si>
    <t>2255664420002656</t>
  </si>
  <si>
    <t>32285003194684</t>
  </si>
  <si>
    <t>893867793</t>
  </si>
  <si>
    <t>JA74.5 .C527 1988</t>
  </si>
  <si>
    <t>0                      JA 0074500C  527         1988</t>
  </si>
  <si>
    <t>Defining political development / Stephen Chilton.</t>
  </si>
  <si>
    <t>Chilton, Stephen.</t>
  </si>
  <si>
    <t>Boulder, Colo. : L. Rienner Publishers, 1988.</t>
  </si>
  <si>
    <t>1988</t>
  </si>
  <si>
    <t>GSIS monograph series in world affairs</t>
  </si>
  <si>
    <t>1994-09-24</t>
  </si>
  <si>
    <t>12166071:eng</t>
  </si>
  <si>
    <t>16465085</t>
  </si>
  <si>
    <t>991001109479702656</t>
  </si>
  <si>
    <t>2269211910002656</t>
  </si>
  <si>
    <t>9781555870867</t>
  </si>
  <si>
    <t>32285001217289</t>
  </si>
  <si>
    <t>893702739</t>
  </si>
  <si>
    <t>JA74.5 .H58 2000</t>
  </si>
  <si>
    <t>0                      JA 0074500H  58          2000</t>
  </si>
  <si>
    <t>When the romance ended : leaders of the Chilean left, 1968-1998 / Katherine Hite.</t>
  </si>
  <si>
    <t>Hite, Katherine.</t>
  </si>
  <si>
    <t>New York : Columbia University Press, c2000.</t>
  </si>
  <si>
    <t>2000-05-30</t>
  </si>
  <si>
    <t>2000-04-11</t>
  </si>
  <si>
    <t>797184993:eng</t>
  </si>
  <si>
    <t>41834544</t>
  </si>
  <si>
    <t>991005430569702656</t>
  </si>
  <si>
    <t>2268559640002656</t>
  </si>
  <si>
    <t>9780231110167</t>
  </si>
  <si>
    <t>32285003676995</t>
  </si>
  <si>
    <t>893619997</t>
  </si>
  <si>
    <t>JA74.5 .R55 1997</t>
  </si>
  <si>
    <t>0                      JA 0074500R  55          1997</t>
  </si>
  <si>
    <t>Political paranoia : the psychopolitics of hatred / Robert S. Robins, Jerrold M. Post.</t>
  </si>
  <si>
    <t>Robins, Robert S.</t>
  </si>
  <si>
    <t>New Haven : Yale University Press, c1997.</t>
  </si>
  <si>
    <t>1997</t>
  </si>
  <si>
    <t>ctu</t>
  </si>
  <si>
    <t>2002-11-25</t>
  </si>
  <si>
    <t>1998-02-05</t>
  </si>
  <si>
    <t>837056186:eng</t>
  </si>
  <si>
    <t>36135788</t>
  </si>
  <si>
    <t>991002754909702656</t>
  </si>
  <si>
    <t>2263469340002656</t>
  </si>
  <si>
    <t>9780300070279</t>
  </si>
  <si>
    <t>32285003312633</t>
  </si>
  <si>
    <t>893511152</t>
  </si>
  <si>
    <t>JA74.5 .R6</t>
  </si>
  <si>
    <t>0                      JA 0074500R  6</t>
  </si>
  <si>
    <t>Measures of political attitudes [by] John P. Robinson, Jerrold G. Rusk [and] Kendra B. Head.</t>
  </si>
  <si>
    <t>Robinson, John P.</t>
  </si>
  <si>
    <t>[Ann Arbor, Mich.] Survey Research Center, Institute for Social Research, 1968.</t>
  </si>
  <si>
    <t>miu</t>
  </si>
  <si>
    <t>1998-10-14</t>
  </si>
  <si>
    <t>3953381101:eng</t>
  </si>
  <si>
    <t>11459</t>
  </si>
  <si>
    <t>991000002559702656</t>
  </si>
  <si>
    <t>2267775430002656</t>
  </si>
  <si>
    <t>32285003194734</t>
  </si>
  <si>
    <t>893412986</t>
  </si>
  <si>
    <t>JA74.5 .R6 APPEND.B</t>
  </si>
  <si>
    <t>0                      JA 0074500R  6                                                       APPEND.B</t>
  </si>
  <si>
    <t>32285003194742</t>
  </si>
  <si>
    <t>893406810</t>
  </si>
  <si>
    <t>JA76 .D8213</t>
  </si>
  <si>
    <t>0                      JA 0076000D  8213</t>
  </si>
  <si>
    <t>The study of politics / Translated by Robert Wagoner.</t>
  </si>
  <si>
    <t>Duverger, Maurice, 1917-2014.</t>
  </si>
  <si>
    <t>New York : Crowell, [1972]</t>
  </si>
  <si>
    <t>1972</t>
  </si>
  <si>
    <t>2005-04-10</t>
  </si>
  <si>
    <t>1996-05-21</t>
  </si>
  <si>
    <t>2892493:eng</t>
  </si>
  <si>
    <t>2797557</t>
  </si>
  <si>
    <t>991004243759702656</t>
  </si>
  <si>
    <t>2265695140002656</t>
  </si>
  <si>
    <t>9780690790214</t>
  </si>
  <si>
    <t>32285002176666</t>
  </si>
  <si>
    <t>893782012</t>
  </si>
  <si>
    <t>JA76 .G69</t>
  </si>
  <si>
    <t>0                      JA 0076000G  69</t>
  </si>
  <si>
    <t>Political socialization, edited by Edward S. Greenberg.</t>
  </si>
  <si>
    <t>Greenberg, Edward S., 1942-, compiler.</t>
  </si>
  <si>
    <t>New York, Atherton Press, 1970.</t>
  </si>
  <si>
    <t>1970</t>
  </si>
  <si>
    <t>[1st ed.]</t>
  </si>
  <si>
    <t>2003-09-28</t>
  </si>
  <si>
    <t>3901252856:eng</t>
  </si>
  <si>
    <t>90695</t>
  </si>
  <si>
    <t>991000542349702656</t>
  </si>
  <si>
    <t>2266346300002656</t>
  </si>
  <si>
    <t>32285003194775</t>
  </si>
  <si>
    <t>893790621</t>
  </si>
  <si>
    <t>JA76 .L35</t>
  </si>
  <si>
    <t>0                      JA 0076000L  35</t>
  </si>
  <si>
    <t>Political socialization / by Kenneth P. Langton.</t>
  </si>
  <si>
    <t>Langton, Kenneth P., 1933-</t>
  </si>
  <si>
    <t>New York : Oxford University Press, 1969.</t>
  </si>
  <si>
    <t>1969</t>
  </si>
  <si>
    <t>Studies in behavioral political science</t>
  </si>
  <si>
    <t>1167155:eng</t>
  </si>
  <si>
    <t>27122</t>
  </si>
  <si>
    <t>991000066499702656</t>
  </si>
  <si>
    <t>2262700440002656</t>
  </si>
  <si>
    <t>32285001217438</t>
  </si>
  <si>
    <t>893683127</t>
  </si>
  <si>
    <t>JA76 .M4</t>
  </si>
  <si>
    <t>0                      JA 0076000M  4</t>
  </si>
  <si>
    <t>Politics as communication / Robert G. Meadow.</t>
  </si>
  <si>
    <t>Meadow, Robert G.</t>
  </si>
  <si>
    <t>Norwood, N.J. : Ablex Pub. Corp., c1980.</t>
  </si>
  <si>
    <t>1980</t>
  </si>
  <si>
    <t>Communication and information science</t>
  </si>
  <si>
    <t>2002-03-21</t>
  </si>
  <si>
    <t>551176:eng</t>
  </si>
  <si>
    <t>5777086</t>
  </si>
  <si>
    <t>991004873749702656</t>
  </si>
  <si>
    <t>2256266330002656</t>
  </si>
  <si>
    <t>9780893910310</t>
  </si>
  <si>
    <t>32285001217446</t>
  </si>
  <si>
    <t>893241932</t>
  </si>
  <si>
    <t>JA79 .C57 1984</t>
  </si>
  <si>
    <t>0                      JA 0079000C  57          1984</t>
  </si>
  <si>
    <t>The Citizen and his government / Adlai E. Stevenson...[et al.] ; with an introduction by Andrew R. Cecil ; edited by W. Lawson Taitte.</t>
  </si>
  <si>
    <t>Dallas ; [Austin, Tx. : Distributed by the University of Texas Press] : University of Texas at Dallas, c1984.</t>
  </si>
  <si>
    <t>1984</t>
  </si>
  <si>
    <t>txu</t>
  </si>
  <si>
    <t>Andrew R. Cecil lectures on moral values in a free society ; v. 5</t>
  </si>
  <si>
    <t>1993-11-26</t>
  </si>
  <si>
    <t>378191855:eng</t>
  </si>
  <si>
    <t>11397405</t>
  </si>
  <si>
    <t>991000452469702656</t>
  </si>
  <si>
    <t>2255547140002656</t>
  </si>
  <si>
    <t>9780292711044</t>
  </si>
  <si>
    <t>32285001217503</t>
  </si>
  <si>
    <t>893521672</t>
  </si>
  <si>
    <t>JA79 .F62</t>
  </si>
  <si>
    <t>0                      JA 0079000F  62</t>
  </si>
  <si>
    <t>Ethical dilemmas and the education of policymakers / Joel L. Fleishman, Bruce L. Payne.</t>
  </si>
  <si>
    <t>Fleishman, Joel L.</t>
  </si>
  <si>
    <t>Hastings-on-Hudson, N.Y. : Hastings Center, Institute of Society, Ethics, and the Life Sciences, c1980.</t>
  </si>
  <si>
    <t>The Teaching of ethics ; 8</t>
  </si>
  <si>
    <t>1993-04-18</t>
  </si>
  <si>
    <t>1992-04-22</t>
  </si>
  <si>
    <t>21011212:eng</t>
  </si>
  <si>
    <t>5992445</t>
  </si>
  <si>
    <t>991004911659702656</t>
  </si>
  <si>
    <t>2261561370002656</t>
  </si>
  <si>
    <t>9780916558055</t>
  </si>
  <si>
    <t>32285001085488</t>
  </si>
  <si>
    <t>893694488</t>
  </si>
  <si>
    <t>JA79 .H44 1984</t>
  </si>
  <si>
    <t>0                      JA 0079000H  44          1984</t>
  </si>
  <si>
    <t>Rights and goods : justifying social action / Virginia Held.</t>
  </si>
  <si>
    <t>Held, Virginia.</t>
  </si>
  <si>
    <t>New York : Free Press ; London : Collier Macmillan, c1984.</t>
  </si>
  <si>
    <t>2810628:eng</t>
  </si>
  <si>
    <t>10402823</t>
  </si>
  <si>
    <t>991000366159702656</t>
  </si>
  <si>
    <t>2269311090002656</t>
  </si>
  <si>
    <t>9780029147108</t>
  </si>
  <si>
    <t>32285001217560</t>
  </si>
  <si>
    <t>893777873</t>
  </si>
  <si>
    <t>JA80 .M37 1989</t>
  </si>
  <si>
    <t>0                      JA 0080000M  37          1989</t>
  </si>
  <si>
    <t>The nature of politics / Roger D. Masters.</t>
  </si>
  <si>
    <t>Masters, Roger D.</t>
  </si>
  <si>
    <t>New Haven : Yale University Press, c1989.</t>
  </si>
  <si>
    <t>1989</t>
  </si>
  <si>
    <t>1998-04-27</t>
  </si>
  <si>
    <t>1990-01-04</t>
  </si>
  <si>
    <t>3901246086:eng</t>
  </si>
  <si>
    <t>18589429</t>
  </si>
  <si>
    <t>991001373409702656</t>
  </si>
  <si>
    <t>2264315890002656</t>
  </si>
  <si>
    <t>9780300041699</t>
  </si>
  <si>
    <t>32285000026392</t>
  </si>
  <si>
    <t>893696693</t>
  </si>
  <si>
    <t>JA81 .B45</t>
  </si>
  <si>
    <t>0                      JA 0081000B  45</t>
  </si>
  <si>
    <t>The mainstream of Western political thought / Judith A. Best.</t>
  </si>
  <si>
    <t>Best, Judith.</t>
  </si>
  <si>
    <t>New York : Human Sciences Press, c1980.</t>
  </si>
  <si>
    <t>1997-02-18</t>
  </si>
  <si>
    <t>535244:eng</t>
  </si>
  <si>
    <t>6042949</t>
  </si>
  <si>
    <t>991004920589702656</t>
  </si>
  <si>
    <t>2256114730002656</t>
  </si>
  <si>
    <t>9780877052432</t>
  </si>
  <si>
    <t>32285001217628</t>
  </si>
  <si>
    <t>893230000</t>
  </si>
  <si>
    <t>JA81 .K55</t>
  </si>
  <si>
    <t>0                      JA 0081000K  55</t>
  </si>
  <si>
    <t>The roots of American order / [by] Russell Kirk.</t>
  </si>
  <si>
    <t>Kirk, Russell.</t>
  </si>
  <si>
    <t>LaSalle, Ill. : Open Court, c1974, 1975 printing.</t>
  </si>
  <si>
    <t>1974</t>
  </si>
  <si>
    <t>1st ed. ; 2d printing, with corrections.</t>
  </si>
  <si>
    <t>2005-09-23</t>
  </si>
  <si>
    <t>1991-12-09</t>
  </si>
  <si>
    <t>820105:eng</t>
  </si>
  <si>
    <t>980381</t>
  </si>
  <si>
    <t>991003445209702656</t>
  </si>
  <si>
    <t>2271390400002656</t>
  </si>
  <si>
    <t>9780875482927</t>
  </si>
  <si>
    <t>32285000838341</t>
  </si>
  <si>
    <t>893428799</t>
  </si>
  <si>
    <t>JA81 .M24</t>
  </si>
  <si>
    <t>0                      JA 0081000M  24</t>
  </si>
  <si>
    <t>The structure of political thought, a study in the history of political ideas.</t>
  </si>
  <si>
    <t>McCoy, Charles N. R. (Charles Nicholas Reiten), 1911-1984.</t>
  </si>
  <si>
    <t>New York, McGraw-Hill [1963]</t>
  </si>
  <si>
    <t>1963</t>
  </si>
  <si>
    <t xml:space="preserve">xx </t>
  </si>
  <si>
    <t>1999-11-06</t>
  </si>
  <si>
    <t>501192:eng</t>
  </si>
  <si>
    <t>942551</t>
  </si>
  <si>
    <t>991003403119702656</t>
  </si>
  <si>
    <t>2268249580002656</t>
  </si>
  <si>
    <t>32285003195004</t>
  </si>
  <si>
    <t>893348649</t>
  </si>
  <si>
    <t>JA81 .W5 1991</t>
  </si>
  <si>
    <t>0                      JA 0081000W  5           1991</t>
  </si>
  <si>
    <t>Political theory in retrospect : from the ancient Greeks to the 20th century / Geraint Williams.</t>
  </si>
  <si>
    <t>Williams, Geraint, 1942-</t>
  </si>
  <si>
    <t>Aldershot, Hants, England ; Brookfield, Vt., USA : E. Elgar Pub., c1991.</t>
  </si>
  <si>
    <t>1991</t>
  </si>
  <si>
    <t>1992-12-10</t>
  </si>
  <si>
    <t>1992-09-05</t>
  </si>
  <si>
    <t>375458219:eng</t>
  </si>
  <si>
    <t>23940302</t>
  </si>
  <si>
    <t>991001894519702656</t>
  </si>
  <si>
    <t>2267569920002656</t>
  </si>
  <si>
    <t>9781852786410</t>
  </si>
  <si>
    <t>32285001285815</t>
  </si>
  <si>
    <t>893590718</t>
  </si>
  <si>
    <t>JA82 .H4 1950</t>
  </si>
  <si>
    <t>0                      JA 0082000H  4           1950</t>
  </si>
  <si>
    <t>The social and political ideas of some great mediaeval thinkers; a series of lectures delivered at King's College, University of London.</t>
  </si>
  <si>
    <t>Hearnshaw, F. J. C. (Fossey John Cobb), 1869-1946, editor.</t>
  </si>
  <si>
    <t>New York, Barnes &amp; Noble [1950]</t>
  </si>
  <si>
    <t>1950</t>
  </si>
  <si>
    <t>2002-03-24</t>
  </si>
  <si>
    <t>9299372828:eng</t>
  </si>
  <si>
    <t>943885</t>
  </si>
  <si>
    <t>991003404269702656</t>
  </si>
  <si>
    <t>2266520400002656</t>
  </si>
  <si>
    <t>32285003205076</t>
  </si>
  <si>
    <t>893698977</t>
  </si>
  <si>
    <t>JA82 .M67 1962</t>
  </si>
  <si>
    <t>0                      JA 0082000M  67          1962</t>
  </si>
  <si>
    <t>Political thought in medieval times / [by] John B. Morrall.</t>
  </si>
  <si>
    <t>Morrall, John B.</t>
  </si>
  <si>
    <t>New York : Harper &amp; Row, [1962, c1958]</t>
  </si>
  <si>
    <t>1962</t>
  </si>
  <si>
    <t>Harper torchbooks</t>
  </si>
  <si>
    <t>2001-07-25</t>
  </si>
  <si>
    <t>2001-07-24</t>
  </si>
  <si>
    <t>453514:eng</t>
  </si>
  <si>
    <t>834630</t>
  </si>
  <si>
    <t>991003590639702656</t>
  </si>
  <si>
    <t>2267348260002656</t>
  </si>
  <si>
    <t>32285004334685</t>
  </si>
  <si>
    <t>893881336</t>
  </si>
  <si>
    <t>JA82 .U45 1993</t>
  </si>
  <si>
    <t>0                      JA 0082000U  45          1993</t>
  </si>
  <si>
    <t>Medieval political theory : a reader : the quest for the body politic, 1100-1400 / edited by Cary J. Nederman and Kate Langdon Forhan.</t>
  </si>
  <si>
    <t>London ; New York : Routledge, 1993.</t>
  </si>
  <si>
    <t>1993</t>
  </si>
  <si>
    <t>2002-09-23</t>
  </si>
  <si>
    <t>1994-11-08</t>
  </si>
  <si>
    <t>836725923:eng</t>
  </si>
  <si>
    <t>26305065</t>
  </si>
  <si>
    <t>991002056979702656</t>
  </si>
  <si>
    <t>2272113260002656</t>
  </si>
  <si>
    <t>9780415064880</t>
  </si>
  <si>
    <t>32285001956829</t>
  </si>
  <si>
    <t>893232523</t>
  </si>
  <si>
    <t>JA83 .B2482 1992</t>
  </si>
  <si>
    <t>0                      JA 0083000B  2482        1992</t>
  </si>
  <si>
    <t>The L word : an unapologetic, thoroughly biased, long-overdue explication and celebration of liberalism / David P. Barash.</t>
  </si>
  <si>
    <t>Barash, David P.</t>
  </si>
  <si>
    <t>New York, N.Y. : W. Morrow, c1992.</t>
  </si>
  <si>
    <t>1992</t>
  </si>
  <si>
    <t>1st ed.</t>
  </si>
  <si>
    <t>1995-01-03</t>
  </si>
  <si>
    <t>1992-09-01</t>
  </si>
  <si>
    <t>287928062:eng</t>
  </si>
  <si>
    <t>23142537</t>
  </si>
  <si>
    <t>991001842199702656</t>
  </si>
  <si>
    <t>2262472680002656</t>
  </si>
  <si>
    <t>9780688108823</t>
  </si>
  <si>
    <t>32285001285328</t>
  </si>
  <si>
    <t>893516615</t>
  </si>
  <si>
    <t>JA83 .B249 1991</t>
  </si>
  <si>
    <t>0                      JA 0083000B  249         1991</t>
  </si>
  <si>
    <t>The politics of truth : from Marx to Foucault / Michèle Barrett.</t>
  </si>
  <si>
    <t>Barrett, Michèle.</t>
  </si>
  <si>
    <t>Stanford, Calif. : Stanford University Press, 1991.</t>
  </si>
  <si>
    <t>1997-04-29</t>
  </si>
  <si>
    <t>1993-01-23</t>
  </si>
  <si>
    <t>51138034:eng</t>
  </si>
  <si>
    <t>25979995</t>
  </si>
  <si>
    <t>991002037669702656</t>
  </si>
  <si>
    <t>2260033510002656</t>
  </si>
  <si>
    <t>9780804720045</t>
  </si>
  <si>
    <t>32285001447886</t>
  </si>
  <si>
    <t>893232491</t>
  </si>
  <si>
    <t>JA83 .H33 1950</t>
  </si>
  <si>
    <t>0                      JA 0083000H  33          1950</t>
  </si>
  <si>
    <t>The social and political ideas of some representative thinkers of the revolutionary era : a series of lectures delivered at King's College, University of London, during the session 1929-30 / edited by F.J.C. Hearnshaw.</t>
  </si>
  <si>
    <t>Hearnshaw, F. J. C. (Fossey John Cobb), 1869-1946.</t>
  </si>
  <si>
    <t>New York : Barnes &amp; Noble, 1950.</t>
  </si>
  <si>
    <t>2001-02-08</t>
  </si>
  <si>
    <t>1997-09-04</t>
  </si>
  <si>
    <t>4915131507:eng</t>
  </si>
  <si>
    <t>30025431</t>
  </si>
  <si>
    <t>991002311559702656</t>
  </si>
  <si>
    <t>2261894970002656</t>
  </si>
  <si>
    <t>32285003205167</t>
  </si>
  <si>
    <t>893886099</t>
  </si>
  <si>
    <t>JA83 .H84 1999</t>
  </si>
  <si>
    <t>0                      JA 0083000H  84          1999</t>
  </si>
  <si>
    <t>Modern political philosophy / Richard Hudelson.</t>
  </si>
  <si>
    <t>Hudelson, Richard.</t>
  </si>
  <si>
    <t>Armonk, N.Y. : M.E. Sharpe, c1999.</t>
  </si>
  <si>
    <t>1999</t>
  </si>
  <si>
    <t>Explorations in philosophy</t>
  </si>
  <si>
    <t>1047265:eng</t>
  </si>
  <si>
    <t>40595344</t>
  </si>
  <si>
    <t>991003621779702656</t>
  </si>
  <si>
    <t>2262165810002656</t>
  </si>
  <si>
    <t>9780765600219</t>
  </si>
  <si>
    <t>32285004395983</t>
  </si>
  <si>
    <t>893352951</t>
  </si>
  <si>
    <t>JA83 .L48 2002</t>
  </si>
  <si>
    <t>0                      JA 0083000L  48          2002</t>
  </si>
  <si>
    <t>Engaging political philosophy : from Hobbes to Rawls / Andrew Levine.</t>
  </si>
  <si>
    <t>Levine, Andrew, 1944-</t>
  </si>
  <si>
    <t>Malden, Mass. : Blackwell, c2002.</t>
  </si>
  <si>
    <t>mau</t>
  </si>
  <si>
    <t>2005-02-01</t>
  </si>
  <si>
    <t>48404068:eng</t>
  </si>
  <si>
    <t>48762466</t>
  </si>
  <si>
    <t>991004383239702656</t>
  </si>
  <si>
    <t>2258818010002656</t>
  </si>
  <si>
    <t>9780631222286</t>
  </si>
  <si>
    <t>32285005024509</t>
  </si>
  <si>
    <t>893605957</t>
  </si>
  <si>
    <t>JA83 .P327 1982</t>
  </si>
  <si>
    <t>0                      JA 0083000P  327         1982</t>
  </si>
  <si>
    <t>Contemporary political thinkers / Bhikhu Parekh.</t>
  </si>
  <si>
    <t>Parekh, Bhikhu C.</t>
  </si>
  <si>
    <t>Baltimore, Md. : Johns Hopkins University Press, c1982.</t>
  </si>
  <si>
    <t>mdu</t>
  </si>
  <si>
    <t>2000-11-29</t>
  </si>
  <si>
    <t>1992-07-28</t>
  </si>
  <si>
    <t>31898395:eng</t>
  </si>
  <si>
    <t>8386928</t>
  </si>
  <si>
    <t>991005236539702656</t>
  </si>
  <si>
    <t>2268265870002656</t>
  </si>
  <si>
    <t>9780801828867</t>
  </si>
  <si>
    <t>32285001217800</t>
  </si>
  <si>
    <t>893801981</t>
  </si>
  <si>
    <t>JC571 .M22</t>
  </si>
  <si>
    <t>0                      JC 0571000M  22</t>
  </si>
  <si>
    <t>Human rights and human liberties : a radical reconsideration of the American political tradition / Tibor R. Machan.</t>
  </si>
  <si>
    <t>Machan, Tibor R.</t>
  </si>
  <si>
    <t>Chicago : Nelson Hall, [1975]</t>
  </si>
  <si>
    <t>1975</t>
  </si>
  <si>
    <t xml:space="preserve">JC </t>
  </si>
  <si>
    <t>2001-09-25</t>
  </si>
  <si>
    <t>1997-09-11</t>
  </si>
  <si>
    <t>761557324:eng</t>
  </si>
  <si>
    <t>1103214</t>
  </si>
  <si>
    <t>991003538099702656</t>
  </si>
  <si>
    <t>2267282060002656</t>
  </si>
  <si>
    <t>9780882291598</t>
  </si>
  <si>
    <t>32285003208260</t>
  </si>
  <si>
    <t>893717773</t>
  </si>
  <si>
    <t>JC571 .P6</t>
  </si>
  <si>
    <t>0                      JC 0571000P  6</t>
  </si>
  <si>
    <t>Political theory and the rights of man. Edited by D. D. Raphael.</t>
  </si>
  <si>
    <t>Bloomington, Indiana University Press [1967]</t>
  </si>
  <si>
    <t>1967</t>
  </si>
  <si>
    <t>inu</t>
  </si>
  <si>
    <t>1933046:eng</t>
  </si>
  <si>
    <t>973825</t>
  </si>
  <si>
    <t>991003438039702656</t>
  </si>
  <si>
    <t>2256406510002656</t>
  </si>
  <si>
    <t>32285003208286</t>
  </si>
  <si>
    <t>893705218</t>
  </si>
  <si>
    <t>JC599.U5 B837 1988</t>
  </si>
  <si>
    <t>0                      JC 0599000U  5                  B  837         1988</t>
  </si>
  <si>
    <t>The civil rights society : the social construction of victims / Kristin Bumiller.</t>
  </si>
  <si>
    <t>Bumiller, Kristin, 1957-</t>
  </si>
  <si>
    <t>Baltimore : Johns Hopkins University Press, c1988.</t>
  </si>
  <si>
    <t>2001-09-21</t>
  </si>
  <si>
    <t>1992-08-13</t>
  </si>
  <si>
    <t>11830721:eng</t>
  </si>
  <si>
    <t>16351727</t>
  </si>
  <si>
    <t>991001100139702656</t>
  </si>
  <si>
    <t>2267296280002656</t>
  </si>
  <si>
    <t>9780801835445</t>
  </si>
  <si>
    <t>32285001257251</t>
  </si>
  <si>
    <t>893690338</t>
  </si>
  <si>
    <t>JC599.U5 W52 1983</t>
  </si>
  <si>
    <t>0                      JC 0599000U  5                  W  52          1983</t>
  </si>
  <si>
    <t>The stealing of America / John W. Whitehead.</t>
  </si>
  <si>
    <t>Whitehead, John W., 1946-</t>
  </si>
  <si>
    <t>Westchester, Ill. : Crossway Books, c1983.</t>
  </si>
  <si>
    <t>2006-09-11</t>
  </si>
  <si>
    <t>43253670:eng</t>
  </si>
  <si>
    <t>9941066</t>
  </si>
  <si>
    <t>991000284969702656</t>
  </si>
  <si>
    <t>2268241830002656</t>
  </si>
  <si>
    <t>9780891072867</t>
  </si>
  <si>
    <t>32285001257368</t>
  </si>
  <si>
    <t>893595449</t>
  </si>
  <si>
    <t>JF195.M48 F5</t>
  </si>
  <si>
    <t>0                      JF 0195000M  48                 F  5</t>
  </si>
  <si>
    <t>The man on horseback; the role of the military in politics.</t>
  </si>
  <si>
    <t>Finer, S. E. (Samuel Edward), 1915-1993.</t>
  </si>
  <si>
    <t>New York, Praeger [1962]</t>
  </si>
  <si>
    <t>Books that matter</t>
  </si>
  <si>
    <t xml:space="preserve">JF </t>
  </si>
  <si>
    <t>2007-01-14</t>
  </si>
  <si>
    <t>1997-09-12</t>
  </si>
  <si>
    <t>1047704:eng</t>
  </si>
  <si>
    <t>497886</t>
  </si>
  <si>
    <t>991002868959702656</t>
  </si>
  <si>
    <t>2271951390002656</t>
  </si>
  <si>
    <t>32285003209623</t>
  </si>
  <si>
    <t>893251721</t>
  </si>
  <si>
    <t>JF251 .M597 2002</t>
  </si>
  <si>
    <t>0                      JF 0251000M  597         2002</t>
  </si>
  <si>
    <t>Power plays : win or lose-- how history's great political leaders play the game / Dick Morris.</t>
  </si>
  <si>
    <t>Morris, Dick.</t>
  </si>
  <si>
    <t>New York : ReganBooks, c2002.</t>
  </si>
  <si>
    <t>2002-10-02</t>
  </si>
  <si>
    <t>2002-07-09</t>
  </si>
  <si>
    <t>10322961:eng</t>
  </si>
  <si>
    <t>48958301</t>
  </si>
  <si>
    <t>991003824979702656</t>
  </si>
  <si>
    <t>2271918480002656</t>
  </si>
  <si>
    <t>9780060004439</t>
  </si>
  <si>
    <t>32285004497011</t>
  </si>
  <si>
    <t>893868922</t>
  </si>
  <si>
    <t>JF251 .P38 1989</t>
  </si>
  <si>
    <t>0                      JF 0251000P  38          1989</t>
  </si>
  <si>
    <t>Pathways to power : selecting rulers in pluralist democracies / edited by Mattei Dogan.</t>
  </si>
  <si>
    <t>Boulder : Westview, 1989.</t>
  </si>
  <si>
    <t>New directions in comparative and international politics</t>
  </si>
  <si>
    <t>1999-10-05</t>
  </si>
  <si>
    <t>1992-08-14</t>
  </si>
  <si>
    <t>836717742:eng</t>
  </si>
  <si>
    <t>18351662</t>
  </si>
  <si>
    <t>991001336159702656</t>
  </si>
  <si>
    <t>2265782770002656</t>
  </si>
  <si>
    <t>9780813375960</t>
  </si>
  <si>
    <t>32285001258309</t>
  </si>
  <si>
    <t>893340355</t>
  </si>
  <si>
    <t>JF256 .R6 1963</t>
  </si>
  <si>
    <t>0                      JF 0256000R  6           1963</t>
  </si>
  <si>
    <t>Constitutional dictatorship: crisis government in the modern democracies.</t>
  </si>
  <si>
    <t>Rossiter, Clinton, 1917-1970.</t>
  </si>
  <si>
    <t>New York, Harcourt, Brace &amp; World [1963]</t>
  </si>
  <si>
    <t>A Harbinger book</t>
  </si>
  <si>
    <t>2008-09-27</t>
  </si>
  <si>
    <t>197271077:eng</t>
  </si>
  <si>
    <t>965219</t>
  </si>
  <si>
    <t>991003429329702656</t>
  </si>
  <si>
    <t>2258192360002656</t>
  </si>
  <si>
    <t>32285003209656</t>
  </si>
  <si>
    <t>893505561</t>
  </si>
  <si>
    <t>JF51 .C85</t>
  </si>
  <si>
    <t>0                      JF 0051000C  85</t>
  </si>
  <si>
    <t>Comparative government and politics : an introductory essay in political science.</t>
  </si>
  <si>
    <t>Curtis, Michael, 1923-</t>
  </si>
  <si>
    <t>New York : Harper &amp; Row, [1968]</t>
  </si>
  <si>
    <t>Harper's comparative government series</t>
  </si>
  <si>
    <t>2004-11-17</t>
  </si>
  <si>
    <t>1992-04-24</t>
  </si>
  <si>
    <t>429345634:eng</t>
  </si>
  <si>
    <t>436647</t>
  </si>
  <si>
    <t>991002770189702656</t>
  </si>
  <si>
    <t>2268860900002656</t>
  </si>
  <si>
    <t>32285001086502</t>
  </si>
  <si>
    <t>893517720</t>
  </si>
  <si>
    <t>JF51 .E23</t>
  </si>
  <si>
    <t>0                      JF 0051000E  23</t>
  </si>
  <si>
    <t>Comparative politics : a reader / Edited by Harry Eckstein and David E. Apter.</t>
  </si>
  <si>
    <t>Eckstein, Harry editor.</t>
  </si>
  <si>
    <t>[New York] Free Press of Glencoe [1963]</t>
  </si>
  <si>
    <t>2002-09-13</t>
  </si>
  <si>
    <t>1997-03-06</t>
  </si>
  <si>
    <t>504294781:eng</t>
  </si>
  <si>
    <t>192848</t>
  </si>
  <si>
    <t>991001209229702656</t>
  </si>
  <si>
    <t>2256253150002656</t>
  </si>
  <si>
    <t>32285002464948</t>
  </si>
  <si>
    <t>893772401</t>
  </si>
  <si>
    <t>JF51 .F7 1968</t>
  </si>
  <si>
    <t>0                      JF 0051000F  7           1968</t>
  </si>
  <si>
    <t>Constitutional government and democracy : theory and practice in Europe and America / [by] Carl J. Friedrich.</t>
  </si>
  <si>
    <t>Friedrich, Carl J. (Carl Joachim), 1901-1984.</t>
  </si>
  <si>
    <t>Waltham, Mass. : Blaisdell Pub. Co., [1968]</t>
  </si>
  <si>
    <t>4th ed.</t>
  </si>
  <si>
    <t>A Blaisdell book in political science</t>
  </si>
  <si>
    <t>2007-05-03</t>
  </si>
  <si>
    <t>1995-05-02</t>
  </si>
  <si>
    <t>199093919:eng</t>
  </si>
  <si>
    <t>436030</t>
  </si>
  <si>
    <t>991002768779702656</t>
  </si>
  <si>
    <t>2268905330002656</t>
  </si>
  <si>
    <t>32285002031267</t>
  </si>
  <si>
    <t>893886694</t>
  </si>
  <si>
    <t>JF51 .M44 1972</t>
  </si>
  <si>
    <t>0                      JF 0051000M  44          1972</t>
  </si>
  <si>
    <t>Comparative political inquiry : a methodological survey / [by] Lawrence C. Mayer.</t>
  </si>
  <si>
    <t>Mayer, Lawrence C.</t>
  </si>
  <si>
    <t>Homewood, Ill. : Dorsey Press, 1972.</t>
  </si>
  <si>
    <t>2010-03-15</t>
  </si>
  <si>
    <t>864149656:eng</t>
  </si>
  <si>
    <t>334326</t>
  </si>
  <si>
    <t>991002395049702656</t>
  </si>
  <si>
    <t>2257340660002656</t>
  </si>
  <si>
    <t>32285001257475</t>
  </si>
  <si>
    <t>893886220</t>
  </si>
  <si>
    <t>JF51 .M46</t>
  </si>
  <si>
    <t>0                      JF 0051000M  46</t>
  </si>
  <si>
    <t>Modern comparative politics / [by] Peter H. Merkl.</t>
  </si>
  <si>
    <t>Merkl, Peter H.</t>
  </si>
  <si>
    <t>New York : Holt, Rinehart and Winston, [1970]</t>
  </si>
  <si>
    <t>Modern comparative politics series</t>
  </si>
  <si>
    <t>1993-01-28</t>
  </si>
  <si>
    <t>1265045:eng</t>
  </si>
  <si>
    <t>81488</t>
  </si>
  <si>
    <t>991000501649702656</t>
  </si>
  <si>
    <t>2269851930002656</t>
  </si>
  <si>
    <t>9780030785108</t>
  </si>
  <si>
    <t>32285001479491</t>
  </si>
  <si>
    <t>893314992</t>
  </si>
  <si>
    <t>JF51 .P633 1995</t>
  </si>
  <si>
    <t>0                      JF 0051000P  633         1995</t>
  </si>
  <si>
    <t>Political culture and constitutionalism : a comparative approach / Daniel P. Franklin, Michael J. Baun, editors.</t>
  </si>
  <si>
    <t>Armonk, N.Y. : M.E. Sharpe, 1995.</t>
  </si>
  <si>
    <t>1995</t>
  </si>
  <si>
    <t>Comparative politics series</t>
  </si>
  <si>
    <t>1997-02-08</t>
  </si>
  <si>
    <t>1995-01-23</t>
  </si>
  <si>
    <t>836916921:eng</t>
  </si>
  <si>
    <t>30892800</t>
  </si>
  <si>
    <t>991002374179702656</t>
  </si>
  <si>
    <t>2270148830002656</t>
  </si>
  <si>
    <t>9781563244155</t>
  </si>
  <si>
    <t>32285001994861</t>
  </si>
  <si>
    <t>893529900</t>
  </si>
  <si>
    <t>JF51 .P68</t>
  </si>
  <si>
    <t>0                      JF 0051000P  68</t>
  </si>
  <si>
    <t>Presidents and prime ministers / edited by Richard Rose and Ezra N. Suleiman ; foreword by Richard E. Neustadt.</t>
  </si>
  <si>
    <t>Washington, D.C. : American Enterprise Institute, 1980.</t>
  </si>
  <si>
    <t>dcu</t>
  </si>
  <si>
    <t>AEI studies ; 281</t>
  </si>
  <si>
    <t>2000-02-19</t>
  </si>
  <si>
    <t>351011262:eng</t>
  </si>
  <si>
    <t>6446943</t>
  </si>
  <si>
    <t>991004984639702656</t>
  </si>
  <si>
    <t>2255728310002656</t>
  </si>
  <si>
    <t>9780844733869</t>
  </si>
  <si>
    <t>32285001257491</t>
  </si>
  <si>
    <t>893688441</t>
  </si>
  <si>
    <t>JF51 .S63</t>
  </si>
  <si>
    <t>0                      JF 0051000S  63</t>
  </si>
  <si>
    <t>Government by constitution; the political systems of democracy.</t>
  </si>
  <si>
    <t>Spiro, Herbert J.</t>
  </si>
  <si>
    <t>[New York] Random House [1959]</t>
  </si>
  <si>
    <t>1959</t>
  </si>
  <si>
    <t>1997-02-09</t>
  </si>
  <si>
    <t>1992-04-08</t>
  </si>
  <si>
    <t>196540879:eng</t>
  </si>
  <si>
    <t>1314566</t>
  </si>
  <si>
    <t>991003686059702656</t>
  </si>
  <si>
    <t>2258145780002656</t>
  </si>
  <si>
    <t>32285001051605</t>
  </si>
  <si>
    <t>893416670</t>
  </si>
  <si>
    <t>JF51 .Z5</t>
  </si>
  <si>
    <t>0                      JF 0051000Z  5</t>
  </si>
  <si>
    <t>Government in wartime Europe, edited by Harold Zink ... and Taylor Cole.</t>
  </si>
  <si>
    <t>Zink, Harold, 1901-1962.</t>
  </si>
  <si>
    <t>New York, Reynal &amp; Hitchcock [c1941]</t>
  </si>
  <si>
    <t>1941</t>
  </si>
  <si>
    <t>1998-03-30</t>
  </si>
  <si>
    <t>2288642029:eng</t>
  </si>
  <si>
    <t>501579</t>
  </si>
  <si>
    <t>991002156599702656</t>
  </si>
  <si>
    <t>2256487360002656</t>
  </si>
  <si>
    <t>32285003209441</t>
  </si>
  <si>
    <t>893510368</t>
  </si>
  <si>
    <t>JF60 .A34</t>
  </si>
  <si>
    <t>0                      JF 0060000A  34</t>
  </si>
  <si>
    <t>Administrative issues in developing economies, edited by Kenneth J. Rothwell.</t>
  </si>
  <si>
    <t>Lexington, Mass., Lexington Books [1972]</t>
  </si>
  <si>
    <t>1999-02-03</t>
  </si>
  <si>
    <t>53969147:eng</t>
  </si>
  <si>
    <t>428534</t>
  </si>
  <si>
    <t>991002760639702656</t>
  </si>
  <si>
    <t>2266216740002656</t>
  </si>
  <si>
    <t>9780669812084</t>
  </si>
  <si>
    <t>32285003209458</t>
  </si>
  <si>
    <t>893591742</t>
  </si>
  <si>
    <t>JF60 .G35</t>
  </si>
  <si>
    <t>0                      JF 0060000G  35</t>
  </si>
  <si>
    <t>The developing nations : a comparative perspective / Robert E. Gamer.</t>
  </si>
  <si>
    <t>Gamer, Robert E., 1938-</t>
  </si>
  <si>
    <t>Boston : Allyn and Bacon, c1976.</t>
  </si>
  <si>
    <t>1976</t>
  </si>
  <si>
    <t>2009-10-15</t>
  </si>
  <si>
    <t>443293:eng</t>
  </si>
  <si>
    <t>1958269</t>
  </si>
  <si>
    <t>991003951549702656</t>
  </si>
  <si>
    <t>2265552410002656</t>
  </si>
  <si>
    <t>9780205054183</t>
  </si>
  <si>
    <t>32285003209482</t>
  </si>
  <si>
    <t>893869113</t>
  </si>
  <si>
    <t>JF60 .G74 2003</t>
  </si>
  <si>
    <t>0                      JF 0060000G  74          2003</t>
  </si>
  <si>
    <t>Comparative politics of the Third World : linking concepts and cases / December Green and Laura Luehrmann.</t>
  </si>
  <si>
    <t>Green, December.</t>
  </si>
  <si>
    <t>Boulder, Co. : L. Rienner, 2003.</t>
  </si>
  <si>
    <t>2003</t>
  </si>
  <si>
    <t>2006-03-19</t>
  </si>
  <si>
    <t>2003-12-11</t>
  </si>
  <si>
    <t>796438349:eng</t>
  </si>
  <si>
    <t>50913538</t>
  </si>
  <si>
    <t>991004157909702656</t>
  </si>
  <si>
    <t>2265934470002656</t>
  </si>
  <si>
    <t>9781588261663</t>
  </si>
  <si>
    <t>32285004846068</t>
  </si>
  <si>
    <t>893794543</t>
  </si>
  <si>
    <t>JF60 .H43</t>
  </si>
  <si>
    <t>0                      JF 0060000H  43</t>
  </si>
  <si>
    <t>The politics of underdevelopment [by] Gerald A. Heeger.</t>
  </si>
  <si>
    <t>Heeger, Gerald A.</t>
  </si>
  <si>
    <t>New York, St. Martin's Press [1974]</t>
  </si>
  <si>
    <t>2003-10-25</t>
  </si>
  <si>
    <t>1881790:eng</t>
  </si>
  <si>
    <t>930667</t>
  </si>
  <si>
    <t>991003392249702656</t>
  </si>
  <si>
    <t>2269540760002656</t>
  </si>
  <si>
    <t>32285003209490</t>
  </si>
  <si>
    <t>893874722</t>
  </si>
  <si>
    <t>JF60 .M66 1995</t>
  </si>
  <si>
    <t>0                      JF 0060000M  66          1995</t>
  </si>
  <si>
    <t>Democratization, liberalization &amp; human rights in the Third World / Mahmood Monshipouri.</t>
  </si>
  <si>
    <t>Monshipouri, Mahmood, 1952-</t>
  </si>
  <si>
    <t>Boulder : L. Rienner Publishers, 1995.</t>
  </si>
  <si>
    <t>2000-06-28</t>
  </si>
  <si>
    <t>1995-06-23</t>
  </si>
  <si>
    <t>33432210:eng</t>
  </si>
  <si>
    <t>31045044</t>
  </si>
  <si>
    <t>991002389119702656</t>
  </si>
  <si>
    <t>2262013350002656</t>
  </si>
  <si>
    <t>9781555875299</t>
  </si>
  <si>
    <t>32285002052339</t>
  </si>
  <si>
    <t>893597402</t>
  </si>
  <si>
    <t>JF60 .P66</t>
  </si>
  <si>
    <t>0                      JF 0060000P  66</t>
  </si>
  <si>
    <t>Politics and policy implementation in the Third World / edited by Merilee S. Grindle.</t>
  </si>
  <si>
    <t>Princeton, N.J. : Princeton University Press, c1980.</t>
  </si>
  <si>
    <t>1996-10-16</t>
  </si>
  <si>
    <t>440960:eng</t>
  </si>
  <si>
    <t>5829996</t>
  </si>
  <si>
    <t>991004882999702656</t>
  </si>
  <si>
    <t>2260960400002656</t>
  </si>
  <si>
    <t>9780691021959</t>
  </si>
  <si>
    <t>32285001257566</t>
  </si>
  <si>
    <t>893905111</t>
  </si>
  <si>
    <t>JF60 .S6 1983</t>
  </si>
  <si>
    <t>0                      JF 0060000S  6           1983</t>
  </si>
  <si>
    <t>State and nation in the Third World : the Western state and African nationalism / Anthony D. Smith.</t>
  </si>
  <si>
    <t>Smith, Anthony D.</t>
  </si>
  <si>
    <t>New York : St. Martin's Press, 1983.</t>
  </si>
  <si>
    <t>444179:eng</t>
  </si>
  <si>
    <t>8688754</t>
  </si>
  <si>
    <t>991000051589702656</t>
  </si>
  <si>
    <t>2272428000002656</t>
  </si>
  <si>
    <t>9780312756055</t>
  </si>
  <si>
    <t>32285001257582</t>
  </si>
  <si>
    <t>893790198</t>
  </si>
  <si>
    <t>JF60 .T33</t>
  </si>
  <si>
    <t>0                      JF 0060000T  33</t>
  </si>
  <si>
    <t>The developing nations: what path to modernization? Readings selected and edited by Frank Tachau.</t>
  </si>
  <si>
    <t>Tachau, Frank, 1929-2010, compiler.</t>
  </si>
  <si>
    <t>New York, Dodd, Mead, 1972.</t>
  </si>
  <si>
    <t>1499602:eng</t>
  </si>
  <si>
    <t>297610</t>
  </si>
  <si>
    <t>991002244749702656</t>
  </si>
  <si>
    <t>2264826840002656</t>
  </si>
  <si>
    <t>9780396065425</t>
  </si>
  <si>
    <t>32285003209532</t>
  </si>
  <si>
    <t>893898530</t>
  </si>
  <si>
    <t>JF60 .Y67</t>
  </si>
  <si>
    <t>0                      JF 0060000Y  67</t>
  </si>
  <si>
    <t>The politics of cultural pluralism / Crawford Young.</t>
  </si>
  <si>
    <t>Young, Crawford, 1931-</t>
  </si>
  <si>
    <t>Madison : University of Wisconsin Press, 1976.</t>
  </si>
  <si>
    <t>wiu</t>
  </si>
  <si>
    <t>1999-12-10</t>
  </si>
  <si>
    <t>11571545:eng</t>
  </si>
  <si>
    <t>1601838</t>
  </si>
  <si>
    <t>991003836029702656</t>
  </si>
  <si>
    <t>2266527740002656</t>
  </si>
  <si>
    <t>9780299067403</t>
  </si>
  <si>
    <t>32285003209557</t>
  </si>
  <si>
    <t>893718127</t>
  </si>
  <si>
    <t>JK31 .S82</t>
  </si>
  <si>
    <t>0                      JK 0031000S  82</t>
  </si>
  <si>
    <t>Constitutionalism in America; origin and evolution of its fundamental ideas [by] Arthur E. Sutherland.</t>
  </si>
  <si>
    <t>Sutherland, Arthur E.</t>
  </si>
  <si>
    <t>New York, Blaisdell Pub. Co. [1965]</t>
  </si>
  <si>
    <t>1965</t>
  </si>
  <si>
    <t xml:space="preserve">JK </t>
  </si>
  <si>
    <t>1999-02-09</t>
  </si>
  <si>
    <t>196540881:eng</t>
  </si>
  <si>
    <t>498988</t>
  </si>
  <si>
    <t>991002870749702656</t>
  </si>
  <si>
    <t>2272517150002656</t>
  </si>
  <si>
    <t>32285003230744</t>
  </si>
  <si>
    <t>893805160</t>
  </si>
  <si>
    <t>JL1226 1977 .G74</t>
  </si>
  <si>
    <t>0                      JL 1226000               1977   G  74</t>
  </si>
  <si>
    <t>Bureaucrats, politicians, and peasants in Mexico : a case study in public policy / Merilee Serrill Grindle.</t>
  </si>
  <si>
    <t>Grindle, Merilee Serrill.</t>
  </si>
  <si>
    <t>Berkeley : University of California Press, c1977.</t>
  </si>
  <si>
    <t>1977</t>
  </si>
  <si>
    <t xml:space="preserve">JL </t>
  </si>
  <si>
    <t>1998-09-29</t>
  </si>
  <si>
    <t>1992-08-28</t>
  </si>
  <si>
    <t>821887589:eng</t>
  </si>
  <si>
    <t>3022920</t>
  </si>
  <si>
    <t>991004322749702656</t>
  </si>
  <si>
    <t>2261277880002656</t>
  </si>
  <si>
    <t>9780520032385</t>
  </si>
  <si>
    <t>32285001274413</t>
  </si>
  <si>
    <t>893349878</t>
  </si>
  <si>
    <t>JL1231 .S35 1964</t>
  </si>
  <si>
    <t>0                      JL 1231000S  35          1964</t>
  </si>
  <si>
    <t>Mexican government in transition, by Robert E. Scott.</t>
  </si>
  <si>
    <t>Scott, Robert E. (Robert Edwin)</t>
  </si>
  <si>
    <t>Urbana, University of Illinois Press, 1964.</t>
  </si>
  <si>
    <t>1964</t>
  </si>
  <si>
    <t>Rev. ed.</t>
  </si>
  <si>
    <t>Illini books, IB-20</t>
  </si>
  <si>
    <t>2004-11-11</t>
  </si>
  <si>
    <t>1997-09-22</t>
  </si>
  <si>
    <t>1429059:eng</t>
  </si>
  <si>
    <t>500573</t>
  </si>
  <si>
    <t>991002872579702656</t>
  </si>
  <si>
    <t>2255319100002656</t>
  </si>
  <si>
    <t>32285003241469</t>
  </si>
  <si>
    <t>893245755</t>
  </si>
  <si>
    <t>JL15 .D3 1970</t>
  </si>
  <si>
    <t>0                      JL 0015000D  3           1970</t>
  </si>
  <si>
    <t>The government of Canada [by] R. MacGregor Dawson.</t>
  </si>
  <si>
    <t>Dawson, Robert MacGregor, 1895-1958.</t>
  </si>
  <si>
    <t>[Toronto] University of Toronto Press [1970]</t>
  </si>
  <si>
    <t>5th ed. rev. by Norman Ward.</t>
  </si>
  <si>
    <t>onc</t>
  </si>
  <si>
    <t>Canadian government series ; 2</t>
  </si>
  <si>
    <t>2003-04-11</t>
  </si>
  <si>
    <t>1997-09-19</t>
  </si>
  <si>
    <t>1333773:eng</t>
  </si>
  <si>
    <t>99606</t>
  </si>
  <si>
    <t>991001703379702656</t>
  </si>
  <si>
    <t>2268900800002656</t>
  </si>
  <si>
    <t>32285003240883</t>
  </si>
  <si>
    <t>893322178</t>
  </si>
  <si>
    <t>JL196 .C68</t>
  </si>
  <si>
    <t>0                      JL 0196000C  68</t>
  </si>
  <si>
    <t>The selection of national party leaders in Canada / John C. Courtney.</t>
  </si>
  <si>
    <t>Courtney, John C. (John Childs), 1936-</t>
  </si>
  <si>
    <t>[Hamden, Conn.] : Archon Books, 1973.</t>
  </si>
  <si>
    <t>1973</t>
  </si>
  <si>
    <t>196746023:eng</t>
  </si>
  <si>
    <t>617924</t>
  </si>
  <si>
    <t>991003060509702656</t>
  </si>
  <si>
    <t>2270846210002656</t>
  </si>
  <si>
    <t>9780208013934</t>
  </si>
  <si>
    <t>32285003241089</t>
  </si>
  <si>
    <t>893422132</t>
  </si>
  <si>
    <t>JL203 1971 .N64</t>
  </si>
  <si>
    <t>0                      JL 0203000               1971   N  64</t>
  </si>
  <si>
    <t>Politics in Newfoundland [by] S. J. R. Noel.</t>
  </si>
  <si>
    <t>Noel, S. J. R. (Sidney John Roderick)</t>
  </si>
  <si>
    <t>[Toronto] University of Toronto Press [1971]</t>
  </si>
  <si>
    <t>1971</t>
  </si>
  <si>
    <t>1998-06-11</t>
  </si>
  <si>
    <t>1191522:eng</t>
  </si>
  <si>
    <t>156799</t>
  </si>
  <si>
    <t>991000905359702656</t>
  </si>
  <si>
    <t>2255556620002656</t>
  </si>
  <si>
    <t>9780802052469</t>
  </si>
  <si>
    <t>32285003241154</t>
  </si>
  <si>
    <t>893502923</t>
  </si>
  <si>
    <t>JL27 .C58 1992</t>
  </si>
  <si>
    <t>0                      JL 0027000C  58          1992</t>
  </si>
  <si>
    <t>The Collapse of Canada? / R. Kent Weaver, editor.</t>
  </si>
  <si>
    <t>Washington, D.C. : Brookings Institution, c1992.</t>
  </si>
  <si>
    <t>1993-04-15</t>
  </si>
  <si>
    <t>1992-05-08</t>
  </si>
  <si>
    <t>503937016:eng</t>
  </si>
  <si>
    <t>25163570</t>
  </si>
  <si>
    <t>991001981729702656</t>
  </si>
  <si>
    <t>2263428450002656</t>
  </si>
  <si>
    <t>9780815792536</t>
  </si>
  <si>
    <t>32285001100717</t>
  </si>
  <si>
    <t>893703528</t>
  </si>
  <si>
    <t>JL27 .T378 1993</t>
  </si>
  <si>
    <t>0                      JL 0027000T  378         1993</t>
  </si>
  <si>
    <t>Reconciling the solitudes : essays on Canadian federalism and nationalism / Charles Taylor ; edited by Guy Laforest.</t>
  </si>
  <si>
    <t>Taylor, Charles, 1931-</t>
  </si>
  <si>
    <t>Montréal : McGill-Queen's University Press, [1993].</t>
  </si>
  <si>
    <t>quc</t>
  </si>
  <si>
    <t>2002-04-22</t>
  </si>
  <si>
    <t>1994-06-02</t>
  </si>
  <si>
    <t>864052214:eng</t>
  </si>
  <si>
    <t>30811737</t>
  </si>
  <si>
    <t>991002177019702656</t>
  </si>
  <si>
    <t>2266453230002656</t>
  </si>
  <si>
    <t>9780773511057</t>
  </si>
  <si>
    <t>32285001920932</t>
  </si>
  <si>
    <t>893408782</t>
  </si>
  <si>
    <t>JL75 .L52 1985</t>
  </si>
  <si>
    <t>0                      JL 0075000L  52          1985</t>
  </si>
  <si>
    <t>Liberal democracy in Canada and the United States : an introduction to politics and government / T. C. Pocklington, general editor.</t>
  </si>
  <si>
    <t>Toronto : Holt, Rinehart and Winston of Canada, c1985.</t>
  </si>
  <si>
    <t>xxc</t>
  </si>
  <si>
    <t>1993-12-01</t>
  </si>
  <si>
    <t>1991-12-10</t>
  </si>
  <si>
    <t>894364544:eng</t>
  </si>
  <si>
    <t>11562000</t>
  </si>
  <si>
    <t>991000556359702656</t>
  </si>
  <si>
    <t>2259946090002656</t>
  </si>
  <si>
    <t>9780039216801</t>
  </si>
  <si>
    <t>32285000886316</t>
  </si>
  <si>
    <t>893884532</t>
  </si>
  <si>
    <t>JN181 .E48</t>
  </si>
  <si>
    <t>0                      JN 0181000E  48</t>
  </si>
  <si>
    <t>Studies in Tudor and Stuart politics and government / G.R. Elton.</t>
  </si>
  <si>
    <t>V.1</t>
  </si>
  <si>
    <t>Elton, G. R. (Geoffrey Rudolph)</t>
  </si>
  <si>
    <t>[London] ; New York : Cambridge University Press, [1974]-1992.</t>
  </si>
  <si>
    <t xml:space="preserve">JN </t>
  </si>
  <si>
    <t>2005-11-18</t>
  </si>
  <si>
    <t>10568398737:eng</t>
  </si>
  <si>
    <t>867523</t>
  </si>
  <si>
    <t>991003336869702656</t>
  </si>
  <si>
    <t>2265837850002656</t>
  </si>
  <si>
    <t>9780521203883</t>
  </si>
  <si>
    <t>32285003242442</t>
  </si>
  <si>
    <t>893505487</t>
  </si>
  <si>
    <t>JN378 .T8</t>
  </si>
  <si>
    <t>0                      JN 0378000T  8</t>
  </si>
  <si>
    <t>The Privy council of England in the seventeenth and eighteenth centuries, 1603-1784, by Edward Raymond Turner.</t>
  </si>
  <si>
    <t>V.2</t>
  </si>
  <si>
    <t>Turner, Edward Raymond, 1881-1929.</t>
  </si>
  <si>
    <t>Baltimore, The Johns Hopkins press, 1927-28.</t>
  </si>
  <si>
    <t>1927</t>
  </si>
  <si>
    <t>Semicentennial publications of the Johns Hopkins university, 1878-1926</t>
  </si>
  <si>
    <t>2003-01-02</t>
  </si>
  <si>
    <t>1997-09-23</t>
  </si>
  <si>
    <t>4160247596:eng</t>
  </si>
  <si>
    <t>6185053</t>
  </si>
  <si>
    <t>991004940639702656</t>
  </si>
  <si>
    <t>2263271270002656</t>
  </si>
  <si>
    <t>32285003243093</t>
  </si>
  <si>
    <t>893418180</t>
  </si>
  <si>
    <t>JN755 .A43</t>
  </si>
  <si>
    <t>0                      JN 0755000A  43</t>
  </si>
  <si>
    <t>Council and courts in Anglo-Norman England.</t>
  </si>
  <si>
    <t>Adams, George Burton, 1851-1925.</t>
  </si>
  <si>
    <t>New York, Russell &amp; Russell, 1965.</t>
  </si>
  <si>
    <t>Yale historical publications. Studies ; 5</t>
  </si>
  <si>
    <t>2005-09-04</t>
  </si>
  <si>
    <t>2353045:eng</t>
  </si>
  <si>
    <t>1805257</t>
  </si>
  <si>
    <t>991001735529702656</t>
  </si>
  <si>
    <t>2269651560002656</t>
  </si>
  <si>
    <t>32285003243713</t>
  </si>
  <si>
    <t>893715666</t>
  </si>
  <si>
    <t>JQ15091968 .P9</t>
  </si>
  <si>
    <t>0                      JQ 1509000               1968   P  9</t>
  </si>
  <si>
    <t>The spirit of Chinese politics; a psychocultural study of the authority crisis in political development [by] Lucian W. Pye.</t>
  </si>
  <si>
    <t>Pye, Lucian W., 1921-2008.</t>
  </si>
  <si>
    <t>Cambridge, Mass., M.I.T. Press [1968]</t>
  </si>
  <si>
    <t xml:space="preserve">JQ </t>
  </si>
  <si>
    <t>2005-05-05</t>
  </si>
  <si>
    <t>1997-08-25</t>
  </si>
  <si>
    <t>4417338772:eng</t>
  </si>
  <si>
    <t>243426</t>
  </si>
  <si>
    <t>991001915229702656</t>
  </si>
  <si>
    <t>2270570830002656</t>
  </si>
  <si>
    <t>32285003139507</t>
  </si>
  <si>
    <t>893866582</t>
  </si>
  <si>
    <t>JQ1519.A5 C374</t>
  </si>
  <si>
    <t>0                      JQ 1519000A  5                  C  374</t>
  </si>
  <si>
    <t>The rise of the Chinese Communist Party; the autobiography of Chang Kuo-tao.</t>
  </si>
  <si>
    <t>Zhang, Guotao, 1897-</t>
  </si>
  <si>
    <t>Lawrence, University Press of Kansas [1971-72]</t>
  </si>
  <si>
    <t>ksu</t>
  </si>
  <si>
    <t>10627822333:eng</t>
  </si>
  <si>
    <t>217133</t>
  </si>
  <si>
    <t>991001288049702656</t>
  </si>
  <si>
    <t>2259444960002656</t>
  </si>
  <si>
    <t>9780700600724</t>
  </si>
  <si>
    <t>32285003139549</t>
  </si>
  <si>
    <t>893608745</t>
  </si>
  <si>
    <t>JQ1872 .R8</t>
  </si>
  <si>
    <t>0                      JQ 1872000R  8</t>
  </si>
  <si>
    <t>Introduction to African politics: a continental approach [by] Leslie Rubin and Brian Weinstein.</t>
  </si>
  <si>
    <t>Rubin, Leslie.</t>
  </si>
  <si>
    <t>New York, Praeger [1974]</t>
  </si>
  <si>
    <t>2003-04-22</t>
  </si>
  <si>
    <t>1677778:eng</t>
  </si>
  <si>
    <t>815878</t>
  </si>
  <si>
    <t>991003293859702656</t>
  </si>
  <si>
    <t>2272489780002656</t>
  </si>
  <si>
    <t>9780275331603</t>
  </si>
  <si>
    <t>32285003140000</t>
  </si>
  <si>
    <t>893410135</t>
  </si>
  <si>
    <t>JQ1875 .A725 1998</t>
  </si>
  <si>
    <t>0                      JQ 1875000A  725         1998</t>
  </si>
  <si>
    <t>African reckoning : a quest for good governance / Francis M. Deng ,Terrence Lyons, editors.</t>
  </si>
  <si>
    <t>Washington, D.C. : Brookings Institution, c1998.</t>
  </si>
  <si>
    <t>2002-10-20</t>
  </si>
  <si>
    <t>1998-11-09</t>
  </si>
  <si>
    <t>799517056:eng</t>
  </si>
  <si>
    <t>39334779</t>
  </si>
  <si>
    <t>991002951389702656</t>
  </si>
  <si>
    <t>2267927560002656</t>
  </si>
  <si>
    <t>9780815717836</t>
  </si>
  <si>
    <t>32285003487005</t>
  </si>
  <si>
    <t>893409751</t>
  </si>
  <si>
    <t>JQ779.A55 M67</t>
  </si>
  <si>
    <t>0                      JQ 0779000A  55                 M  67</t>
  </si>
  <si>
    <t>Indonesian communism under Sukarno; ideology and politics, 1959-1965 [by] Rex Mortimer.</t>
  </si>
  <si>
    <t>Mortimer, Rex, 1926-1979.</t>
  </si>
  <si>
    <t>Ithaca [N.Y.] Cornell University Press [1974]</t>
  </si>
  <si>
    <t>2007-02-24</t>
  </si>
  <si>
    <t>836864229:eng</t>
  </si>
  <si>
    <t>969459</t>
  </si>
  <si>
    <t>991003434289702656</t>
  </si>
  <si>
    <t>2260856230002656</t>
  </si>
  <si>
    <t>9780801408250</t>
  </si>
  <si>
    <t>32285003139408</t>
  </si>
  <si>
    <t>893441287</t>
  </si>
  <si>
    <t>JS1195.2 .P6</t>
  </si>
  <si>
    <t>0                      JS 1195200P  6</t>
  </si>
  <si>
    <t>Community power and political theory.</t>
  </si>
  <si>
    <t>Polsby, Nelson W.</t>
  </si>
  <si>
    <t>New Haven : Yale University Press, 1963.</t>
  </si>
  <si>
    <t>Yale studies in political science ; 7</t>
  </si>
  <si>
    <t xml:space="preserve">JS </t>
  </si>
  <si>
    <t>1994-10-09</t>
  </si>
  <si>
    <t>1991-08-08</t>
  </si>
  <si>
    <t>1415666:eng</t>
  </si>
  <si>
    <t>326142</t>
  </si>
  <si>
    <t>991002361989702656</t>
  </si>
  <si>
    <t>2272242890002656</t>
  </si>
  <si>
    <t>32285000682061</t>
  </si>
  <si>
    <t>893721419</t>
  </si>
  <si>
    <t>JS1234.A15 D423</t>
  </si>
  <si>
    <t>0                      JS 1234000A  15                 D  423</t>
  </si>
  <si>
    <t>Decentralizing city government : an evaluation of the New York City district manager experiment / Allen Barton ... [et al.].</t>
  </si>
  <si>
    <t>Lexington, Mass. : Lexington Books, c1977.</t>
  </si>
  <si>
    <t>2001-10-24</t>
  </si>
  <si>
    <t>1997-08-26</t>
  </si>
  <si>
    <t>889648565:eng</t>
  </si>
  <si>
    <t>2542619</t>
  </si>
  <si>
    <t>991004158179702656</t>
  </si>
  <si>
    <t>2272121180002656</t>
  </si>
  <si>
    <t>9780669010985</t>
  </si>
  <si>
    <t>32285003186276</t>
  </si>
  <si>
    <t>893442269</t>
  </si>
  <si>
    <t>JS141 .K67</t>
  </si>
  <si>
    <t>0                      JS 0141000K  67</t>
  </si>
  <si>
    <t>Mayors in action : five approaches to urban governance / [by] John P. Kotter [and] Paul R. Lawrence.</t>
  </si>
  <si>
    <t>Kotter, John P., 1947-</t>
  </si>
  <si>
    <t>New York : Wiley, [1974]</t>
  </si>
  <si>
    <t>Wiley series in urban research</t>
  </si>
  <si>
    <t>2001-10-01</t>
  </si>
  <si>
    <t>1992-10-16</t>
  </si>
  <si>
    <t>287023149:eng</t>
  </si>
  <si>
    <t>940673</t>
  </si>
  <si>
    <t>991003401579702656</t>
  </si>
  <si>
    <t>2261316420002656</t>
  </si>
  <si>
    <t>9780471505402</t>
  </si>
  <si>
    <t>32285001350684</t>
  </si>
  <si>
    <t>893342531</t>
  </si>
  <si>
    <t>JS2137.A2 C67</t>
  </si>
  <si>
    <t>0                      JS 2137000A  2                  C  67</t>
  </si>
  <si>
    <t>Politics and the migrant poor in Mexico City / Wayne A. Cornelius.</t>
  </si>
  <si>
    <t>Cornelius, Wayne A., 1945-</t>
  </si>
  <si>
    <t>Stanford, Calif. : Stanford University Press, 1975.</t>
  </si>
  <si>
    <t>1998-11-03</t>
  </si>
  <si>
    <t>500371273:eng</t>
  </si>
  <si>
    <t>2001460</t>
  </si>
  <si>
    <t>991003975099702656</t>
  </si>
  <si>
    <t>2260289020002656</t>
  </si>
  <si>
    <t>9780804708807</t>
  </si>
  <si>
    <t>32285003186359</t>
  </si>
  <si>
    <t>893234893</t>
  </si>
  <si>
    <t>JS341 .M47</t>
  </si>
  <si>
    <t>0                      JS 0341000M  47</t>
  </si>
  <si>
    <t>Managing urban government services : strategies, tools, and techniques for the eighties / James L. Mercer, Susan W. Woolston, William V. Donaldson.</t>
  </si>
  <si>
    <t>Mercer, James L.</t>
  </si>
  <si>
    <t>New York : AMACOM, c1981.</t>
  </si>
  <si>
    <t>1992-10-28</t>
  </si>
  <si>
    <t>1992-07-22</t>
  </si>
  <si>
    <t>299359178:eng</t>
  </si>
  <si>
    <t>7740713</t>
  </si>
  <si>
    <t>991005156599702656</t>
  </si>
  <si>
    <t>2264124830002656</t>
  </si>
  <si>
    <t>9780814457252</t>
  </si>
  <si>
    <t>32285001214591</t>
  </si>
  <si>
    <t>893688691</t>
  </si>
  <si>
    <t>JS344.C5 I34 1995</t>
  </si>
  <si>
    <t>0                      JS 0344000C  5                  I  34          1995</t>
  </si>
  <si>
    <t>Ideal &amp; practice in council-manager government / edited by H. George Frederickson.</t>
  </si>
  <si>
    <t>Washington, D.C. : ICMA, c1995.</t>
  </si>
  <si>
    <t>2nd ed.</t>
  </si>
  <si>
    <t>1998-09-13</t>
  </si>
  <si>
    <t>1995-11-30</t>
  </si>
  <si>
    <t>55245168:eng</t>
  </si>
  <si>
    <t>31782370</t>
  </si>
  <si>
    <t>991002438469702656</t>
  </si>
  <si>
    <t>2261096250002656</t>
  </si>
  <si>
    <t>9780873260725</t>
  </si>
  <si>
    <t>32285002107323</t>
  </si>
  <si>
    <t>893245177</t>
  </si>
  <si>
    <t>JS344.C53 S35</t>
  </si>
  <si>
    <t>0                      JS 0344000C  53                 S  35</t>
  </si>
  <si>
    <t>City managers in legislative politics [by] Ronald O. Loveridge.</t>
  </si>
  <si>
    <t>Loveridge, Ronald O.</t>
  </si>
  <si>
    <t>Indianapolis, Bobbs-Merrill [1971]</t>
  </si>
  <si>
    <t>Urban governors series</t>
  </si>
  <si>
    <t>1998-10-07</t>
  </si>
  <si>
    <t>1187574:eng</t>
  </si>
  <si>
    <t>155736</t>
  </si>
  <si>
    <t>991000895109702656</t>
  </si>
  <si>
    <t>2256658280002656</t>
  </si>
  <si>
    <t>32285003185823</t>
  </si>
  <si>
    <t>893502916</t>
  </si>
  <si>
    <t>JS344.F4 M65 1983</t>
  </si>
  <si>
    <t>0                      JS 0344000F  4                  M  65          1983</t>
  </si>
  <si>
    <t>The contested city / John H. Mollenkopf.</t>
  </si>
  <si>
    <t>Mollenkopf, John H., 1946-</t>
  </si>
  <si>
    <t>Princeton, N.J. : Princeton University Press, c1983.</t>
  </si>
  <si>
    <t>1992-11-11</t>
  </si>
  <si>
    <t>1992-09-02</t>
  </si>
  <si>
    <t>891531:eng</t>
  </si>
  <si>
    <t>9411919</t>
  </si>
  <si>
    <t>991000189729702656</t>
  </si>
  <si>
    <t>2261110690002656</t>
  </si>
  <si>
    <t>9780691022208</t>
  </si>
  <si>
    <t>32285001278752</t>
  </si>
  <si>
    <t>893431777</t>
  </si>
  <si>
    <t>JS344.F43 O262</t>
  </si>
  <si>
    <t>0                      JS 0344000F  43                 O  262</t>
  </si>
  <si>
    <t>Federal programs and city politics : the dynamics of the aid process in Oakland / Jeffrey L. Pressman.</t>
  </si>
  <si>
    <t>Pressman, Jeffrey L.</t>
  </si>
  <si>
    <t>Berkeley : University of California Press, c1975.</t>
  </si>
  <si>
    <t>Oakland Project series</t>
  </si>
  <si>
    <t>1993-08-18</t>
  </si>
  <si>
    <t>2488960:eng</t>
  </si>
  <si>
    <t>1666882</t>
  </si>
  <si>
    <t>991003861289702656</t>
  </si>
  <si>
    <t>2270652790002656</t>
  </si>
  <si>
    <t>9780520027497</t>
  </si>
  <si>
    <t>32285001278760</t>
  </si>
  <si>
    <t>893794163</t>
  </si>
  <si>
    <t>JS356 .R93</t>
  </si>
  <si>
    <t>0                      JS 0356000R  93</t>
  </si>
  <si>
    <t>Big city mayors; the crisis in urban politics. Edited by Leonard I. Ruchelman.</t>
  </si>
  <si>
    <t>Ruchelman, Leonard I., 1933- compiler.</t>
  </si>
  <si>
    <t>Bloomington, Indiana University Press [1970, c1969]</t>
  </si>
  <si>
    <t>1993-12-06</t>
  </si>
  <si>
    <t>1190139:eng</t>
  </si>
  <si>
    <t>56761</t>
  </si>
  <si>
    <t>991000136899702656</t>
  </si>
  <si>
    <t>2261345110002656</t>
  </si>
  <si>
    <t>9780253106841</t>
  </si>
  <si>
    <t>32285001214567</t>
  </si>
  <si>
    <t>893527837</t>
  </si>
  <si>
    <t>JS411 .D83</t>
  </si>
  <si>
    <t>0                      JS 0411000D  83</t>
  </si>
  <si>
    <t>Modern county government / Herbert Sydney Duncombe.</t>
  </si>
  <si>
    <t>Duncombe, Herbert Sydney.</t>
  </si>
  <si>
    <t>Washington : National Association of Counties, c1977.</t>
  </si>
  <si>
    <t>1990-03-26</t>
  </si>
  <si>
    <t>10867410:eng</t>
  </si>
  <si>
    <t>3570361</t>
  </si>
  <si>
    <t>991004465939702656</t>
  </si>
  <si>
    <t>2264513610002656</t>
  </si>
  <si>
    <t>9780911754018</t>
  </si>
  <si>
    <t>32285000093236</t>
  </si>
  <si>
    <t>893606063</t>
  </si>
  <si>
    <t>JS411 .T67</t>
  </si>
  <si>
    <t>0                      JS 0411000T  67</t>
  </si>
  <si>
    <t>Grass roots government; the county in American politics.</t>
  </si>
  <si>
    <t>Torrence, Susan Walker.</t>
  </si>
  <si>
    <t>Washington, R. B. Luce [1974]</t>
  </si>
  <si>
    <t>1996-08-23</t>
  </si>
  <si>
    <t>198336073:eng</t>
  </si>
  <si>
    <t>1002437</t>
  </si>
  <si>
    <t>991003460819702656</t>
  </si>
  <si>
    <t>2257176180002656</t>
  </si>
  <si>
    <t>9780883310274</t>
  </si>
  <si>
    <t>32285001214559</t>
  </si>
  <si>
    <t>893598595</t>
  </si>
  <si>
    <t>JS6058 .Z46 1982</t>
  </si>
  <si>
    <t>0                      JS 6058000Z  46          1982</t>
  </si>
  <si>
    <t>The Zemstvo in Russia : an experiment in local self-government / edited by Terence Emmons and Wayne S. Vucinich.</t>
  </si>
  <si>
    <t>Cambridge ; New York : Cambridge University Press, 1982.</t>
  </si>
  <si>
    <t>1999-12-01</t>
  </si>
  <si>
    <t>1992-09-03</t>
  </si>
  <si>
    <t>365712637:eng</t>
  </si>
  <si>
    <t>7462131</t>
  </si>
  <si>
    <t>991005115579702656</t>
  </si>
  <si>
    <t>2262670210002656</t>
  </si>
  <si>
    <t>9780521234160</t>
  </si>
  <si>
    <t>32285001295624</t>
  </si>
  <si>
    <t>893344671</t>
  </si>
  <si>
    <t>JS6082 .C65 1995</t>
  </si>
  <si>
    <t>0                      JS 6082000C  65          1995</t>
  </si>
  <si>
    <t>Moscow : governing the socialist metropolis / Timothy J. Colton.</t>
  </si>
  <si>
    <t>Colton, Timothy J., 1947-</t>
  </si>
  <si>
    <t>Cambridge, Mass. : Belknap Press of Harvard University Press, 1995.</t>
  </si>
  <si>
    <t>Russian Research Center studies ; 88</t>
  </si>
  <si>
    <t>1996-08-03</t>
  </si>
  <si>
    <t>1996-04-22</t>
  </si>
  <si>
    <t>348814720:eng</t>
  </si>
  <si>
    <t>32311195</t>
  </si>
  <si>
    <t>991002481819702656</t>
  </si>
  <si>
    <t>2266926560002656</t>
  </si>
  <si>
    <t>9780674587410</t>
  </si>
  <si>
    <t>32285002155587</t>
  </si>
  <si>
    <t>893710340</t>
  </si>
  <si>
    <t>JS7648.9.N3 W46 1974</t>
  </si>
  <si>
    <t>0                      JS 7648900N  3                  W  46          1974</t>
  </si>
  <si>
    <t>Governing an African city; a study of Nairobi [by] Herbert H. Werlin.</t>
  </si>
  <si>
    <t>Werlin, Herbert H., 1932-</t>
  </si>
  <si>
    <t>New York, Africana Pub. Co. [1974]</t>
  </si>
  <si>
    <t>1999-11-21</t>
  </si>
  <si>
    <t>878306127:eng</t>
  </si>
  <si>
    <t>858437</t>
  </si>
  <si>
    <t>991003328399702656</t>
  </si>
  <si>
    <t>2267174870002656</t>
  </si>
  <si>
    <t>9780841901391</t>
  </si>
  <si>
    <t>32285003186797</t>
  </si>
  <si>
    <t>893787230</t>
  </si>
  <si>
    <t>JS7655.9.S9 O9</t>
  </si>
  <si>
    <t>0                      JS 7655900S  9                  O  9</t>
  </si>
  <si>
    <t>Uses and abuses of political power; a case study of continuity and change in the politics of Ghana.</t>
  </si>
  <si>
    <t>Owusu, Maxwell.</t>
  </si>
  <si>
    <t>Chicago, University of Chicago Press [1970]</t>
  </si>
  <si>
    <t>2003-09-19</t>
  </si>
  <si>
    <t>878036792:eng</t>
  </si>
  <si>
    <t>146038</t>
  </si>
  <si>
    <t>991000823789702656</t>
  </si>
  <si>
    <t>2256270940002656</t>
  </si>
  <si>
    <t>9780226642406</t>
  </si>
  <si>
    <t>32285003186821</t>
  </si>
  <si>
    <t>893502847</t>
  </si>
  <si>
    <t>JS78 .M24 1996</t>
  </si>
  <si>
    <t>0                      JS 0078000M  24          1996</t>
  </si>
  <si>
    <t>The search for political space : globalization, social movements, and the urban political experience / Warren Magnusson.</t>
  </si>
  <si>
    <t>Magnusson, Warren, 1947-</t>
  </si>
  <si>
    <t>Toronto ; Buffalo : University of Toronto Press, c1996.</t>
  </si>
  <si>
    <t>1996</t>
  </si>
  <si>
    <t>Studies in comparative political economy and public policy</t>
  </si>
  <si>
    <t>2002-08-26</t>
  </si>
  <si>
    <t>1997-11-17</t>
  </si>
  <si>
    <t>20951744:eng</t>
  </si>
  <si>
    <t>35940586</t>
  </si>
  <si>
    <t>991002737589702656</t>
  </si>
  <si>
    <t>2270288870002656</t>
  </si>
  <si>
    <t>9780802059598</t>
  </si>
  <si>
    <t>32285003270740</t>
  </si>
  <si>
    <t>893347855</t>
  </si>
  <si>
    <t>JS91 .Y68 1975</t>
  </si>
  <si>
    <t>0                      JS 0091000Y  68          1975</t>
  </si>
  <si>
    <t>Essays on the study of urban politics / edited by Ken Young ; foreword by Edward C. Banfield.</t>
  </si>
  <si>
    <t>Young, Ken, 1943-2019.</t>
  </si>
  <si>
    <t>Hamden, Conn. : Archon Books, 1975.</t>
  </si>
  <si>
    <t>1996008:eng</t>
  </si>
  <si>
    <t>1111425</t>
  </si>
  <si>
    <t>991003545559702656</t>
  </si>
  <si>
    <t>2269651280002656</t>
  </si>
  <si>
    <t>9780208014009</t>
  </si>
  <si>
    <t>32285001350700</t>
  </si>
  <si>
    <t>893793716</t>
  </si>
  <si>
    <t>JV1011 .B3</t>
  </si>
  <si>
    <t>0                      JV 1011000B  3</t>
  </si>
  <si>
    <t>The origins of the British colonial system, 1578-1660 ... by George Louis Beer.</t>
  </si>
  <si>
    <t>Beer, George Louis, 1872-1920.</t>
  </si>
  <si>
    <t>New York, The Macmillan company, 1908.</t>
  </si>
  <si>
    <t>1908</t>
  </si>
  <si>
    <t xml:space="preserve">JV </t>
  </si>
  <si>
    <t>2001-04-09</t>
  </si>
  <si>
    <t>1440211:eng</t>
  </si>
  <si>
    <t>476803</t>
  </si>
  <si>
    <t>991002828789702656</t>
  </si>
  <si>
    <t>2262159770002656</t>
  </si>
  <si>
    <t>32285003187092</t>
  </si>
  <si>
    <t>893517805</t>
  </si>
  <si>
    <t>JV1011 .B5 1933</t>
  </si>
  <si>
    <t>0                      JV 1011000B  5           1933</t>
  </si>
  <si>
    <t>British colonial policy, 1754-1765; by George Louis Beer.</t>
  </si>
  <si>
    <t>New York, P. Smith, 1933.</t>
  </si>
  <si>
    <t>1933</t>
  </si>
  <si>
    <t>1612338:eng</t>
  </si>
  <si>
    <t>4517279</t>
  </si>
  <si>
    <t>991004672509702656</t>
  </si>
  <si>
    <t>2266250610002656</t>
  </si>
  <si>
    <t>32285003187126</t>
  </si>
  <si>
    <t>893776294</t>
  </si>
  <si>
    <t>JV1060 .L68 1973</t>
  </si>
  <si>
    <t>0                      JV 1060000L  68          1973</t>
  </si>
  <si>
    <t>Lion rampant; essays in the study of British imperialism [by] D. A. Low.</t>
  </si>
  <si>
    <t>Low, D. A. (Donald Anthony), 1927-</t>
  </si>
  <si>
    <t>London, Cass, 1973.</t>
  </si>
  <si>
    <t>Studies in Commonwealth politics and history ; no. 1</t>
  </si>
  <si>
    <t>2006-02-17</t>
  </si>
  <si>
    <t>3945661035:eng</t>
  </si>
  <si>
    <t>967306</t>
  </si>
  <si>
    <t>991003432349702656</t>
  </si>
  <si>
    <t>2263999710002656</t>
  </si>
  <si>
    <t>9780714629865</t>
  </si>
  <si>
    <t>32285003187316</t>
  </si>
  <si>
    <t>893524804</t>
  </si>
  <si>
    <t>JV6450 .J62</t>
  </si>
  <si>
    <t>0                      JV 6450000J  62</t>
  </si>
  <si>
    <t>Destination America / by Maldwyn A. Jones.</t>
  </si>
  <si>
    <t>Jones, Maldwyn A. (Maldwyn Allen), 1922-2007.</t>
  </si>
  <si>
    <t>New York : Holt, Rinehart and Winston, c1976.</t>
  </si>
  <si>
    <t>2009-07-30</t>
  </si>
  <si>
    <t>1992-09-14</t>
  </si>
  <si>
    <t>102880264:eng</t>
  </si>
  <si>
    <t>2071086</t>
  </si>
  <si>
    <t>991003999169702656</t>
  </si>
  <si>
    <t>2255820780002656</t>
  </si>
  <si>
    <t>9780030167317</t>
  </si>
  <si>
    <t>32285001300341</t>
  </si>
  <si>
    <t>893775480</t>
  </si>
  <si>
    <t>JV6465 .P4</t>
  </si>
  <si>
    <t>0                      JV 6465000P  4</t>
  </si>
  <si>
    <t>The immigration problem.</t>
  </si>
  <si>
    <t>Peters, Clarence A. compiler.</t>
  </si>
  <si>
    <t>New York : H.W. Wilson Co., 1948.</t>
  </si>
  <si>
    <t>1948</t>
  </si>
  <si>
    <t>The Reference shelf ; v. 19, no. 7</t>
  </si>
  <si>
    <t>2008-03-19</t>
  </si>
  <si>
    <t>1993-11-11</t>
  </si>
  <si>
    <t>1384163:eng</t>
  </si>
  <si>
    <t>266183</t>
  </si>
  <si>
    <t>991002099379702656</t>
  </si>
  <si>
    <t>2269554240002656</t>
  </si>
  <si>
    <t>32285001798130</t>
  </si>
  <si>
    <t>893420946</t>
  </si>
  <si>
    <t>JV8131 .F65</t>
  </si>
  <si>
    <t>0                      JV 8131000F  65</t>
  </si>
  <si>
    <t>The Italian emigration of our times.</t>
  </si>
  <si>
    <t>Foerster, Robert F. (Robert Franz), 1883-1941.</t>
  </si>
  <si>
    <t>Cambridge : Harvard university press, 1919.</t>
  </si>
  <si>
    <t>1919</t>
  </si>
  <si>
    <t>Harvard economic studies ; [vol.20]</t>
  </si>
  <si>
    <t>2001-05-07</t>
  </si>
  <si>
    <t>476120:eng</t>
  </si>
  <si>
    <t>504023</t>
  </si>
  <si>
    <t>991002878029702656</t>
  </si>
  <si>
    <t>2260872380002656</t>
  </si>
  <si>
    <t>32285001350676</t>
  </si>
  <si>
    <t>893867822</t>
  </si>
  <si>
    <t>JX1245 .K67 1989</t>
  </si>
  <si>
    <t>0                      JX 1245000K  67          1989</t>
  </si>
  <si>
    <t>Rules, norms, and decisions : on the conditions of practical and legal reasoning in international relations and domestic affairs / Friedrich V. Kratochwil.</t>
  </si>
  <si>
    <t>Kratochwil, Friedrich V.</t>
  </si>
  <si>
    <t>Cambridge [Cambridgeshire] ; New York : Cambridge University Press, 1989.</t>
  </si>
  <si>
    <t>Cambridge studies in international relations ; 2</t>
  </si>
  <si>
    <t xml:space="preserve">JX </t>
  </si>
  <si>
    <t>2002-01-17</t>
  </si>
  <si>
    <t>1990-01-02</t>
  </si>
  <si>
    <t>795661066:eng</t>
  </si>
  <si>
    <t>18322129</t>
  </si>
  <si>
    <t>991001330319702656</t>
  </si>
  <si>
    <t>2255010530002656</t>
  </si>
  <si>
    <t>9780521353984</t>
  </si>
  <si>
    <t>32285000019314</t>
  </si>
  <si>
    <t>893426522</t>
  </si>
  <si>
    <t>JX1252 .R87</t>
  </si>
  <si>
    <t>0                      JX 1252000R  87</t>
  </si>
  <si>
    <t>Economic theories of international politics, edited by Bruce M. Russett.</t>
  </si>
  <si>
    <t>Russett, Bruce M. compiler.</t>
  </si>
  <si>
    <t>Chicago, Markham Pub. Co. [1968]</t>
  </si>
  <si>
    <t>Markham political science series</t>
  </si>
  <si>
    <t>2000-11-06</t>
  </si>
  <si>
    <t>1997-08-27</t>
  </si>
  <si>
    <t>1574252:eng</t>
  </si>
  <si>
    <t>443255</t>
  </si>
  <si>
    <t>991002790769702656</t>
  </si>
  <si>
    <t>2264554610002656</t>
  </si>
  <si>
    <t>32285003188397</t>
  </si>
  <si>
    <t>893239498</t>
  </si>
  <si>
    <t>JX1255 .D45</t>
  </si>
  <si>
    <t>0                      JX 1255000D  45</t>
  </si>
  <si>
    <t>The psychological dimension of foreign policy. James N. Rosenau, consultant.</t>
  </si>
  <si>
    <t>De Rivera, Joseph.</t>
  </si>
  <si>
    <t>Columbus, Ohio, C.E. Merrill Pub. Co. [1968]</t>
  </si>
  <si>
    <t>ohu</t>
  </si>
  <si>
    <t>2005-09-20</t>
  </si>
  <si>
    <t>1372616:eng</t>
  </si>
  <si>
    <t>262101</t>
  </si>
  <si>
    <t>991002052919702656</t>
  </si>
  <si>
    <t>2266834060002656</t>
  </si>
  <si>
    <t>32285003188405</t>
  </si>
  <si>
    <t>893603152</t>
  </si>
  <si>
    <t>JX1255 .E75</t>
  </si>
  <si>
    <t>0                      JX 1255000E  75</t>
  </si>
  <si>
    <t>Ethics and world politics; four perspectives [by] Ernest W. Lefever, editor [and others]</t>
  </si>
  <si>
    <t>Baltimore, Johns Hopkins University Press [1972]</t>
  </si>
  <si>
    <t>Christian A. Herter lecture series ; 1971</t>
  </si>
  <si>
    <t>2000-03-07</t>
  </si>
  <si>
    <t>2000-05-01</t>
  </si>
  <si>
    <t>862772037:eng</t>
  </si>
  <si>
    <t>324267</t>
  </si>
  <si>
    <t>991002344239702656</t>
  </si>
  <si>
    <t>2255271940002656</t>
  </si>
  <si>
    <t>9780801813955</t>
  </si>
  <si>
    <t>32285003669313</t>
  </si>
  <si>
    <t>893886141</t>
  </si>
  <si>
    <t>JX1255 .K47</t>
  </si>
  <si>
    <t>0                      JX 1255000K  47</t>
  </si>
  <si>
    <t>International behavior : a social-psychological analysis / edited by Herbert C. Kelman.</t>
  </si>
  <si>
    <t>Kelman, Herbert C. editor.</t>
  </si>
  <si>
    <t>New York : Holt, Rinehart and Winston, [1965]</t>
  </si>
  <si>
    <t>1993-04-13</t>
  </si>
  <si>
    <t>1990-12-13</t>
  </si>
  <si>
    <t>820744843:eng</t>
  </si>
  <si>
    <t>175943</t>
  </si>
  <si>
    <t>991001045279702656</t>
  </si>
  <si>
    <t>2265211290002656</t>
  </si>
  <si>
    <t>32285000425313</t>
  </si>
  <si>
    <t>893772256</t>
  </si>
  <si>
    <t>JX1255 .W37 1991</t>
  </si>
  <si>
    <t>0                      JX 1255000W  37          1991</t>
  </si>
  <si>
    <t>An ethic of responsibility in international relations / Daniel Warner.</t>
  </si>
  <si>
    <t>Warner, Daniel.</t>
  </si>
  <si>
    <t>Boulder, Colo. : L. Rienner, 1991.</t>
  </si>
  <si>
    <t>1996-06-17</t>
  </si>
  <si>
    <t>1994-01-14</t>
  </si>
  <si>
    <t>1046256:eng</t>
  </si>
  <si>
    <t>23215416</t>
  </si>
  <si>
    <t>991001849399702656</t>
  </si>
  <si>
    <t>2258417570002656</t>
  </si>
  <si>
    <t>9781555872663</t>
  </si>
  <si>
    <t>32285001831642</t>
  </si>
  <si>
    <t>893346837</t>
  </si>
  <si>
    <t>JX1291 .C48</t>
  </si>
  <si>
    <t>0                      JX 1291000C  48</t>
  </si>
  <si>
    <t>Nations in conflict : national growth and international violence / Nazli Choucri, Robert C. North.</t>
  </si>
  <si>
    <t>Choucri, Nazli.</t>
  </si>
  <si>
    <t>San Francisco : W. H. Freeman, [1975]</t>
  </si>
  <si>
    <t>1998-11-08</t>
  </si>
  <si>
    <t>865013421:eng</t>
  </si>
  <si>
    <t>1093629</t>
  </si>
  <si>
    <t>991003530919702656</t>
  </si>
  <si>
    <t>2264780590002656</t>
  </si>
  <si>
    <t>9780716707738</t>
  </si>
  <si>
    <t>32285003188488</t>
  </si>
  <si>
    <t>893342659</t>
  </si>
  <si>
    <t>JX1291 .C66</t>
  </si>
  <si>
    <t>0                      JX 1291000C  66</t>
  </si>
  <si>
    <t>Foreign policy motivation : a general theory and a case study / Richard W. Cottam.</t>
  </si>
  <si>
    <t>Cottam, Richard W.</t>
  </si>
  <si>
    <t>Pittsburgh : University of Pittsburgh Press, c1977.</t>
  </si>
  <si>
    <t>pau</t>
  </si>
  <si>
    <t>1994-10-31</t>
  </si>
  <si>
    <t>1993-01-27</t>
  </si>
  <si>
    <t>483715598:eng</t>
  </si>
  <si>
    <t>2372421</t>
  </si>
  <si>
    <t>991004101029702656</t>
  </si>
  <si>
    <t>2255336590002656</t>
  </si>
  <si>
    <t>9780822933236</t>
  </si>
  <si>
    <t>32285001478576</t>
  </si>
  <si>
    <t>893611919</t>
  </si>
  <si>
    <t>JX1291 .I48</t>
  </si>
  <si>
    <t>0                      JX 1291000I  48</t>
  </si>
  <si>
    <t>International relations theory : a bibliography / edited by A. J. R. Groom and C. R. Mitchell.</t>
  </si>
  <si>
    <t>London : F. Pinter ; New York : Nichols Pub. Co., 1978.</t>
  </si>
  <si>
    <t>1978</t>
  </si>
  <si>
    <t>1994-12-10</t>
  </si>
  <si>
    <t>1992-05-20</t>
  </si>
  <si>
    <t>836697151:eng</t>
  </si>
  <si>
    <t>3379977</t>
  </si>
  <si>
    <t>991004419579702656</t>
  </si>
  <si>
    <t>2256767670002656</t>
  </si>
  <si>
    <t>9780893970260</t>
  </si>
  <si>
    <t>32285001112456</t>
  </si>
  <si>
    <t>893800949</t>
  </si>
  <si>
    <t>JX1291 .S665</t>
  </si>
  <si>
    <t>0                      JX 1291000S  665</t>
  </si>
  <si>
    <t>Toward a politics of the planet earth / [by] Harold Sprout and Margaret Sprout.</t>
  </si>
  <si>
    <t>Sprout, Harold, 1901-1980.</t>
  </si>
  <si>
    <t>New York : Van Nostrand Reinhold Co., [1971]</t>
  </si>
  <si>
    <t>1992-11-10</t>
  </si>
  <si>
    <t>1990-10-26</t>
  </si>
  <si>
    <t>1266246:eng</t>
  </si>
  <si>
    <t>205427</t>
  </si>
  <si>
    <t>991001235079702656</t>
  </si>
  <si>
    <t>2255132940002656</t>
  </si>
  <si>
    <t>32285000353689</t>
  </si>
  <si>
    <t>893791296</t>
  </si>
  <si>
    <t>JX1291 .S775 1980</t>
  </si>
  <si>
    <t>0                      JX 1291000S  775         1980</t>
  </si>
  <si>
    <t>The Study and teaching of international relations : a perspective on mid-career education / edited by R. C. Kent and G. P. Nielsson.</t>
  </si>
  <si>
    <t>London : F. Pinter ; New York : Nichols Pub. Co., 1979, c1980.</t>
  </si>
  <si>
    <t>1994-12-09</t>
  </si>
  <si>
    <t>1990-06-22</t>
  </si>
  <si>
    <t>889843049:eng</t>
  </si>
  <si>
    <t>4776763</t>
  </si>
  <si>
    <t>991004717219702656</t>
  </si>
  <si>
    <t>2254981680002656</t>
  </si>
  <si>
    <t>9780893970574</t>
  </si>
  <si>
    <t>32285000211929</t>
  </si>
  <si>
    <t>893801266</t>
  </si>
  <si>
    <t>JX1293.U6 W7</t>
  </si>
  <si>
    <t>0                      JX 1293000U  6                  W  7</t>
  </si>
  <si>
    <t>The study of international relations.</t>
  </si>
  <si>
    <t>Wright, Quincy, 1890-1970.</t>
  </si>
  <si>
    <t>New York, Appleton-Century-Crofts [1955]</t>
  </si>
  <si>
    <t>1955</t>
  </si>
  <si>
    <t>The Century political science series</t>
  </si>
  <si>
    <t>2006-08-23</t>
  </si>
  <si>
    <t>1992-05-06</t>
  </si>
  <si>
    <t>548960:eng</t>
  </si>
  <si>
    <t>582171</t>
  </si>
  <si>
    <t>991003017509702656</t>
  </si>
  <si>
    <t>2269905490002656</t>
  </si>
  <si>
    <t>32285001121473</t>
  </si>
  <si>
    <t>893704810</t>
  </si>
  <si>
    <t>JX1297 .D3</t>
  </si>
  <si>
    <t>0                      JX 1297000D  3</t>
  </si>
  <si>
    <t>Basic courses in international relations : an anthology of syllabi / compiled and edited by Vincent Davis and Arthur N. Gilbert, for the International Studies Association.</t>
  </si>
  <si>
    <t>Davis, Vincent.</t>
  </si>
  <si>
    <t>[Beverly Hills, Calif.] Sage Publications [c1968]</t>
  </si>
  <si>
    <t>2003-11-19</t>
  </si>
  <si>
    <t>1997-04-10</t>
  </si>
  <si>
    <t>907028985:eng</t>
  </si>
  <si>
    <t>2744</t>
  </si>
  <si>
    <t>991005435039702656</t>
  </si>
  <si>
    <t>2262747870002656</t>
  </si>
  <si>
    <t>32285002509544</t>
  </si>
  <si>
    <t>893628770</t>
  </si>
  <si>
    <t>JX1308 .C66</t>
  </si>
  <si>
    <t>0                      JX 1308000C  66</t>
  </si>
  <si>
    <t>Introduction to international politics : a theoretical overview / [by] William D. Coplin.</t>
  </si>
  <si>
    <t>Coplin, William D.</t>
  </si>
  <si>
    <t>Chicago : Markham Pub. Co., [1971]</t>
  </si>
  <si>
    <t>1997-11-28</t>
  </si>
  <si>
    <t>1992-12-09</t>
  </si>
  <si>
    <t>1234960:eng</t>
  </si>
  <si>
    <t>116886</t>
  </si>
  <si>
    <t>991000659029702656</t>
  </si>
  <si>
    <t>2258435900002656</t>
  </si>
  <si>
    <t>9780841030336</t>
  </si>
  <si>
    <t>32285001413466</t>
  </si>
  <si>
    <t>893890909</t>
  </si>
  <si>
    <t>JX1308 .K3</t>
  </si>
  <si>
    <t>0                      JX 1308000K  3</t>
  </si>
  <si>
    <t>System and process in international politics.</t>
  </si>
  <si>
    <t>Kaplan, Morton A.</t>
  </si>
  <si>
    <t>[New York, Wiley, 1957]</t>
  </si>
  <si>
    <t>1957</t>
  </si>
  <si>
    <t>1999-08-16</t>
  </si>
  <si>
    <t>1150988407:eng</t>
  </si>
  <si>
    <t>231287</t>
  </si>
  <si>
    <t>991001453089702656</t>
  </si>
  <si>
    <t>2270778320002656</t>
  </si>
  <si>
    <t>32285003188868</t>
  </si>
  <si>
    <t>893903427</t>
  </si>
  <si>
    <t>JX1308 .P3 1969</t>
  </si>
  <si>
    <t>0                      JX 1308000P  3           1969</t>
  </si>
  <si>
    <t>International relations; the world community in transition [by] Norman D. Palmer [and] Howard C. Perkins.</t>
  </si>
  <si>
    <t>Palmer, Norman D., 1909-1996.</t>
  </si>
  <si>
    <t>Boston, Houghton Mifflin [1969]</t>
  </si>
  <si>
    <t>3d ed.</t>
  </si>
  <si>
    <t>1130240:eng</t>
  </si>
  <si>
    <t>7055</t>
  </si>
  <si>
    <t>991005439609702656</t>
  </si>
  <si>
    <t>2265503270002656</t>
  </si>
  <si>
    <t>32285003188876</t>
  </si>
  <si>
    <t>893707933</t>
  </si>
  <si>
    <t>JX1308 .R6 1969</t>
  </si>
  <si>
    <t>0                      JX 1308000R  6           1969</t>
  </si>
  <si>
    <t>International politics and foreign policy : a reader in research and theory / edited by James N. Rosenau.</t>
  </si>
  <si>
    <t>Rosenau, James N. editor.</t>
  </si>
  <si>
    <t>New York : Free Press, [1969]</t>
  </si>
  <si>
    <t>1996-08-28</t>
  </si>
  <si>
    <t>1991-12-16</t>
  </si>
  <si>
    <t>877004668:eng</t>
  </si>
  <si>
    <t>4347</t>
  </si>
  <si>
    <t>991005436389702656</t>
  </si>
  <si>
    <t>2266243210002656</t>
  </si>
  <si>
    <t>32285000900562</t>
  </si>
  <si>
    <t>893351274</t>
  </si>
  <si>
    <t>JX1391 .C62</t>
  </si>
  <si>
    <t>0                      JX 1391000C  62</t>
  </si>
  <si>
    <t>International politics : the rules of the game / Raymond Cohen.</t>
  </si>
  <si>
    <t>Cohen, Raymond, 1947-</t>
  </si>
  <si>
    <t>London ; New York : Longman, 1981.</t>
  </si>
  <si>
    <t>1995-06-12</t>
  </si>
  <si>
    <t>889301899:eng</t>
  </si>
  <si>
    <t>7206026</t>
  </si>
  <si>
    <t>991005089289702656</t>
  </si>
  <si>
    <t>2265977030002656</t>
  </si>
  <si>
    <t>9780582295582</t>
  </si>
  <si>
    <t>32285000211937</t>
  </si>
  <si>
    <t>893443378</t>
  </si>
  <si>
    <t>JX1391 .E96 1984</t>
  </si>
  <si>
    <t>0                      JX 1391000E  96          1984</t>
  </si>
  <si>
    <t>The Expansion of international society / edited by Hedley Bull and Adam Watson.</t>
  </si>
  <si>
    <t>Oxford [Oxfordshire] : Clarendon Press ; New York : Oxford University Press, 1984.</t>
  </si>
  <si>
    <t>2002-02-07</t>
  </si>
  <si>
    <t>1992-09-17</t>
  </si>
  <si>
    <t>3901028757:eng</t>
  </si>
  <si>
    <t>10184527</t>
  </si>
  <si>
    <t>991000327949702656</t>
  </si>
  <si>
    <t>2269210950002656</t>
  </si>
  <si>
    <t>9780198219422</t>
  </si>
  <si>
    <t>32285001302073</t>
  </si>
  <si>
    <t>893431868</t>
  </si>
  <si>
    <t>JX1391 .G53 1982</t>
  </si>
  <si>
    <t>0                      JX 1391000G  53          1982</t>
  </si>
  <si>
    <t>Globalism versus realism : international relations' third debate / edited by Ray Maghroori and Bennett Ramberg.</t>
  </si>
  <si>
    <t>Boulder, Colo. : Westview Press, 1982.</t>
  </si>
  <si>
    <t>1993-01-21</t>
  </si>
  <si>
    <t>906028627:eng</t>
  </si>
  <si>
    <t>8532815</t>
  </si>
  <si>
    <t>991000007969702656</t>
  </si>
  <si>
    <t>2269257020002656</t>
  </si>
  <si>
    <t>9780865313477</t>
  </si>
  <si>
    <t>32285001302107</t>
  </si>
  <si>
    <t>893808589</t>
  </si>
  <si>
    <t>JX1391 .H38 1996</t>
  </si>
  <si>
    <t>0                      JX 1391000H  38          1996</t>
  </si>
  <si>
    <t>Beyond confrontation : transforming the new world order / Charles Hauss.</t>
  </si>
  <si>
    <t>Hauss, Charles.</t>
  </si>
  <si>
    <t>Westport, Conn. : Praeger, 1996.</t>
  </si>
  <si>
    <t>Praeger series in transformational politics and political science, 1061-5261</t>
  </si>
  <si>
    <t>2003-04-01</t>
  </si>
  <si>
    <t>1997-04-21</t>
  </si>
  <si>
    <t>793878491:eng</t>
  </si>
  <si>
    <t>32700341</t>
  </si>
  <si>
    <t>991002514829702656</t>
  </si>
  <si>
    <t>2269511120002656</t>
  </si>
  <si>
    <t>9780275946159</t>
  </si>
  <si>
    <t>32285002498748</t>
  </si>
  <si>
    <t>893591430</t>
  </si>
  <si>
    <t>JX1391 .O7 1968</t>
  </si>
  <si>
    <t>0                      JX 1391000O  7           1968</t>
  </si>
  <si>
    <t>World politics, by A. F. K. Organski.</t>
  </si>
  <si>
    <t>Organski, A. F. K., 1923-1998.</t>
  </si>
  <si>
    <t>New York, Knopf [1968]</t>
  </si>
  <si>
    <t>2d ed. [rev.]</t>
  </si>
  <si>
    <t>2003-05-16</t>
  </si>
  <si>
    <t>3855418634:eng</t>
  </si>
  <si>
    <t>295991</t>
  </si>
  <si>
    <t>991002236619702656</t>
  </si>
  <si>
    <t>2265560630002656</t>
  </si>
  <si>
    <t>32285003189064</t>
  </si>
  <si>
    <t>893603354</t>
  </si>
  <si>
    <t>JX1391 .S32</t>
  </si>
  <si>
    <t>0                      JX 1391000S  32</t>
  </si>
  <si>
    <t>International law and political crisis; an analytic casebook [edited by] Lawrence Scheinman and David Wilkinson.</t>
  </si>
  <si>
    <t>Scheinman, Lawrence.</t>
  </si>
  <si>
    <t>Boston, Little, Brown [1968]</t>
  </si>
  <si>
    <t>2003-11-13</t>
  </si>
  <si>
    <t>314112931:eng</t>
  </si>
  <si>
    <t>441644</t>
  </si>
  <si>
    <t>991002785909702656</t>
  </si>
  <si>
    <t>2255833600002656</t>
  </si>
  <si>
    <t>32285003189080</t>
  </si>
  <si>
    <t>893239490</t>
  </si>
  <si>
    <t>JX1391 .S75 1993</t>
  </si>
  <si>
    <t>0                      JX 1391000S  75          1993</t>
  </si>
  <si>
    <t>States in a changing world : a contemporary analysis / edited by Robert H. Jackson and Alan James.</t>
  </si>
  <si>
    <t>Oxford : Clarendon Press ; New York : Oxford University Press, 1993.</t>
  </si>
  <si>
    <t>2000-04-03</t>
  </si>
  <si>
    <t>1994-06-27</t>
  </si>
  <si>
    <t>836731990:eng</t>
  </si>
  <si>
    <t>27815117</t>
  </si>
  <si>
    <t>991002162629702656</t>
  </si>
  <si>
    <t>2267286810002656</t>
  </si>
  <si>
    <t>9780198273943</t>
  </si>
  <si>
    <t>32285001924397</t>
  </si>
  <si>
    <t>893433560</t>
  </si>
  <si>
    <t>JX1391 .S76 1990</t>
  </si>
  <si>
    <t>0                      JX 1391000S  76          1990</t>
  </si>
  <si>
    <t>Why nations cooperate : circumstance and choice in international relations / Arthur A. Stein.</t>
  </si>
  <si>
    <t>Stein, Arthur A.</t>
  </si>
  <si>
    <t>Ithaca, N.Y. : Cornell University Press, 1990.</t>
  </si>
  <si>
    <t>2007-08-21</t>
  </si>
  <si>
    <t>1991-05-01</t>
  </si>
  <si>
    <t>866275288:eng</t>
  </si>
  <si>
    <t>21562387</t>
  </si>
  <si>
    <t>991001706219702656</t>
  </si>
  <si>
    <t>2264404280002656</t>
  </si>
  <si>
    <t>9780801497810</t>
  </si>
  <si>
    <t>32285000570654</t>
  </si>
  <si>
    <t>893346708</t>
  </si>
  <si>
    <t>JX1395 .F29</t>
  </si>
  <si>
    <t>0                      JX 1395000F  29</t>
  </si>
  <si>
    <t>A global approach to national policy / Richard A. Falk.</t>
  </si>
  <si>
    <t>Falk, Richard A.</t>
  </si>
  <si>
    <t>Cambridge, Mass. : Harvard University Press, 1975.</t>
  </si>
  <si>
    <t>1995-05-22</t>
  </si>
  <si>
    <t>1992-12-16</t>
  </si>
  <si>
    <t>2585184:eng</t>
  </si>
  <si>
    <t>1692448</t>
  </si>
  <si>
    <t>991003870699702656</t>
  </si>
  <si>
    <t>2256096180002656</t>
  </si>
  <si>
    <t>9780674354456</t>
  </si>
  <si>
    <t>32285001442242</t>
  </si>
  <si>
    <t>893699521</t>
  </si>
  <si>
    <t>JX1395 .H45</t>
  </si>
  <si>
    <t>0                      JX 1395000H  45</t>
  </si>
  <si>
    <t>How nations behave : law and foreign policy.</t>
  </si>
  <si>
    <t>Henkin, Louis.</t>
  </si>
  <si>
    <t>New York : Published for the Council on Foreign Relations [by] F. A. Praeger, [1968]</t>
  </si>
  <si>
    <t>1993-08-09</t>
  </si>
  <si>
    <t>1992-11-25</t>
  </si>
  <si>
    <t>420235:eng</t>
  </si>
  <si>
    <t>503040</t>
  </si>
  <si>
    <t>991002876279702656</t>
  </si>
  <si>
    <t>2262183800002656</t>
  </si>
  <si>
    <t>32285001409415</t>
  </si>
  <si>
    <t>893899360</t>
  </si>
  <si>
    <t>JX1395 .J69 1978</t>
  </si>
  <si>
    <t>0                      JX 1395000J  69          1978</t>
  </si>
  <si>
    <t>Theory and reality in world politics / Carey B. Joynt and Percy E. Corbett.</t>
  </si>
  <si>
    <t>Joynt, Carey B., 1924-</t>
  </si>
  <si>
    <t>Pittsburgh : University of Pittsburgh Press, 1978.</t>
  </si>
  <si>
    <t>487850:eng</t>
  </si>
  <si>
    <t>3609094</t>
  </si>
  <si>
    <t>991004475599702656</t>
  </si>
  <si>
    <t>2269904550002656</t>
  </si>
  <si>
    <t>9780822911326</t>
  </si>
  <si>
    <t>32285001302388</t>
  </si>
  <si>
    <t>893519699</t>
  </si>
  <si>
    <t>JX1395 .L524</t>
  </si>
  <si>
    <t>0                      JX 1395000L  524</t>
  </si>
  <si>
    <t>Alliances and the third world.</t>
  </si>
  <si>
    <t>Liska, George.</t>
  </si>
  <si>
    <t>Baltimore, Johns Hopkins Press [1968]</t>
  </si>
  <si>
    <t>Studies in international affairs, no. 5</t>
  </si>
  <si>
    <t>1445628:eng</t>
  </si>
  <si>
    <t>504756</t>
  </si>
  <si>
    <t>991002879589702656</t>
  </si>
  <si>
    <t>2260724390002656</t>
  </si>
  <si>
    <t>32285003189486</t>
  </si>
  <si>
    <t>893598010</t>
  </si>
  <si>
    <t>JX1395 .M276 1982</t>
  </si>
  <si>
    <t>0                      JX 1395000M  276         1982</t>
  </si>
  <si>
    <t>Managing international crises / edited by Daniel Frei.</t>
  </si>
  <si>
    <t>Beverly Hills : Sage Publications, c1982.</t>
  </si>
  <si>
    <t>Advances in political science ; 2</t>
  </si>
  <si>
    <t>1992-09-18</t>
  </si>
  <si>
    <t>367403078:eng</t>
  </si>
  <si>
    <t>8451484</t>
  </si>
  <si>
    <t>991005244479702656</t>
  </si>
  <si>
    <t>2265960980002656</t>
  </si>
  <si>
    <t>9780803918498</t>
  </si>
  <si>
    <t>32285001303154</t>
  </si>
  <si>
    <t>893424790</t>
  </si>
  <si>
    <t>JX1395 .M285</t>
  </si>
  <si>
    <t>0                      JX 1395000M  285</t>
  </si>
  <si>
    <t>In search of theory : a new paradigm for global politics / Richard W. Mansbach and John A. Vasquez.</t>
  </si>
  <si>
    <t>Mansbach, Richard W., 1943-</t>
  </si>
  <si>
    <t>New York : Columbia University Press, 1981.</t>
  </si>
  <si>
    <t>2002-03-25</t>
  </si>
  <si>
    <t>1991-11-12</t>
  </si>
  <si>
    <t>891055970:eng</t>
  </si>
  <si>
    <t>6555017</t>
  </si>
  <si>
    <t>991005003019702656</t>
  </si>
  <si>
    <t>2254856760002656</t>
  </si>
  <si>
    <t>9780231050609</t>
  </si>
  <si>
    <t>32285000821263</t>
  </si>
  <si>
    <t>893430703</t>
  </si>
  <si>
    <t>JX1395 .M29</t>
  </si>
  <si>
    <t>0                      JX 1395000M  29</t>
  </si>
  <si>
    <t>The web of world politics : nonstate actors in the global system / Richard W. Mansbach, Yale H. Ferguson, Donald E. Lampert.</t>
  </si>
  <si>
    <t>Englewood Cliffs, N.J. : Prentice-Hall, c1976.</t>
  </si>
  <si>
    <t>328902882:eng</t>
  </si>
  <si>
    <t>1733771</t>
  </si>
  <si>
    <t>991003884729702656</t>
  </si>
  <si>
    <t>2256756430002656</t>
  </si>
  <si>
    <t>32285000900570</t>
  </si>
  <si>
    <t>893624044</t>
  </si>
  <si>
    <t>JX1395 .N49 1989</t>
  </si>
  <si>
    <t>0                      JX 1395000N  49          1989</t>
  </si>
  <si>
    <t>Formal theories in international relations / Michael Nicholson.</t>
  </si>
  <si>
    <t>Nicholson, Michael, 1933-</t>
  </si>
  <si>
    <t>Cambridge [England] ; New York : Cambridge University Press, 1989.</t>
  </si>
  <si>
    <t>Cambridge studies in international relations ; 3</t>
  </si>
  <si>
    <t>2001-04-22</t>
  </si>
  <si>
    <t>1989-11-16</t>
  </si>
  <si>
    <t>17471680:eng</t>
  </si>
  <si>
    <t>18463496</t>
  </si>
  <si>
    <t>991001354139702656</t>
  </si>
  <si>
    <t>2257329660002656</t>
  </si>
  <si>
    <t>9780521341035</t>
  </si>
  <si>
    <t>32285000014166</t>
  </si>
  <si>
    <t>893244062</t>
  </si>
  <si>
    <t>JX1395 .S48</t>
  </si>
  <si>
    <t>0                      JX 1395000S  48</t>
  </si>
  <si>
    <t>Weak states in a world of powers: the dynamics of international relationships [by] Marshall R. Singer.</t>
  </si>
  <si>
    <t>Singer, Marshall R.</t>
  </si>
  <si>
    <t>New York, Free Press [1972]</t>
  </si>
  <si>
    <t>2006-04-21</t>
  </si>
  <si>
    <t>1997-11-25</t>
  </si>
  <si>
    <t>198975454:eng</t>
  </si>
  <si>
    <t>402144</t>
  </si>
  <si>
    <t>991005355189702656</t>
  </si>
  <si>
    <t>2267635430002656</t>
  </si>
  <si>
    <t>32285003274833</t>
  </si>
  <si>
    <t>893896276</t>
  </si>
  <si>
    <t>JX1395 .W65</t>
  </si>
  <si>
    <t>0                      JX 1395000W  65</t>
  </si>
  <si>
    <t>World politics : an introduction / edited by James N. Rosenau, Kenneth W. Thompson, Gavin Boyd.</t>
  </si>
  <si>
    <t>New York : Free Press, c1976.</t>
  </si>
  <si>
    <t>1993-03-17</t>
  </si>
  <si>
    <t>1990-05-03</t>
  </si>
  <si>
    <t>3855677386:eng</t>
  </si>
  <si>
    <t>2098372</t>
  </si>
  <si>
    <t>991004013509702656</t>
  </si>
  <si>
    <t>2265647930002656</t>
  </si>
  <si>
    <t>9780029270400</t>
  </si>
  <si>
    <t>32285000148642</t>
  </si>
  <si>
    <t>893234949</t>
  </si>
  <si>
    <t>JX1407 .L33</t>
  </si>
  <si>
    <t>0                      JX 1407000L  33</t>
  </si>
  <si>
    <t>A history of American foreign policy, by John Holladay Latané ...</t>
  </si>
  <si>
    <t>Latané, John Holladay, 1869-1932.</t>
  </si>
  <si>
    <t>Garden City, N.Y., Doubleday, Page &amp; Company, 1927.</t>
  </si>
  <si>
    <t>2005-06-29</t>
  </si>
  <si>
    <t>1997-04-03</t>
  </si>
  <si>
    <t>1368057:eng</t>
  </si>
  <si>
    <t>3797290</t>
  </si>
  <si>
    <t>991004518259702656</t>
  </si>
  <si>
    <t>2257622330002656</t>
  </si>
  <si>
    <t>32285002349560</t>
  </si>
  <si>
    <t>893801044</t>
  </si>
  <si>
    <t>JX1417 .B34</t>
  </si>
  <si>
    <t>0                      JX 1417000B  34</t>
  </si>
  <si>
    <t>Diplomacy for a crowded world : an American foreign policy / George W. Ball.</t>
  </si>
  <si>
    <t>Ball, George W.</t>
  </si>
  <si>
    <t>Boston : Little, Brown, c1976.</t>
  </si>
  <si>
    <t>2003-06-09</t>
  </si>
  <si>
    <t>1997-04-01</t>
  </si>
  <si>
    <t>4183486:eng</t>
  </si>
  <si>
    <t>2089637</t>
  </si>
  <si>
    <t>991004009389702656</t>
  </si>
  <si>
    <t>2263413150002656</t>
  </si>
  <si>
    <t>9780316079532</t>
  </si>
  <si>
    <t>32285002347317</t>
  </si>
  <si>
    <t>893605527</t>
  </si>
  <si>
    <t>JX1417 .B454 1984</t>
  </si>
  <si>
    <t>0                      JX 1417000B  454         1984</t>
  </si>
  <si>
    <t>Reason and Realpolitik : U.S. foreign policy and world order / Louis René Beres.</t>
  </si>
  <si>
    <t>Beres, Louis René.</t>
  </si>
  <si>
    <t>Lexington, Mass. : Lexington Books, c1984.</t>
  </si>
  <si>
    <t>2003-03-28</t>
  </si>
  <si>
    <t>918632000:eng</t>
  </si>
  <si>
    <t>10375089</t>
  </si>
  <si>
    <t>991000362319702656</t>
  </si>
  <si>
    <t>2258099910002656</t>
  </si>
  <si>
    <t>9780669077582</t>
  </si>
  <si>
    <t>32285000212026</t>
  </si>
  <si>
    <t>893601682</t>
  </si>
  <si>
    <t>JX1417 .D85 1985</t>
  </si>
  <si>
    <t>0                      JX 1417000D  85          1985</t>
  </si>
  <si>
    <t>The politics of American foreign policy / James Dull.</t>
  </si>
  <si>
    <t>Dull, James, 1931-</t>
  </si>
  <si>
    <t>Englewood Cliffs, N.J. : Prentice-Hall, c1985.</t>
  </si>
  <si>
    <t>1985</t>
  </si>
  <si>
    <t>2000-12-11</t>
  </si>
  <si>
    <t>4086142:eng</t>
  </si>
  <si>
    <t>11234431</t>
  </si>
  <si>
    <t>991000509409702656</t>
  </si>
  <si>
    <t>2257829460002656</t>
  </si>
  <si>
    <t>9780136842910</t>
  </si>
  <si>
    <t>32285001303303</t>
  </si>
  <si>
    <t>893896938</t>
  </si>
  <si>
    <t>JX1417 .F675 1990</t>
  </si>
  <si>
    <t>0                      JX 1417000F  675         1990</t>
  </si>
  <si>
    <t>The politics of international law : U.S. foreign policy reconsidered / David P. Forsythe.</t>
  </si>
  <si>
    <t>Forsythe, David P., 1941-</t>
  </si>
  <si>
    <t>Boulder, Colo. : Lynne Rienner Publishers, 1990.</t>
  </si>
  <si>
    <t>2000-01-04</t>
  </si>
  <si>
    <t>1992-05-21</t>
  </si>
  <si>
    <t>836859447:eng</t>
  </si>
  <si>
    <t>21153512</t>
  </si>
  <si>
    <t>991001658559702656</t>
  </si>
  <si>
    <t>2266262220002656</t>
  </si>
  <si>
    <t>9781555872083</t>
  </si>
  <si>
    <t>32285001112977</t>
  </si>
  <si>
    <t>893322122</t>
  </si>
  <si>
    <t>JX1417 .G445 1991</t>
  </si>
  <si>
    <t>0                      JX 1417000G  445         1991</t>
  </si>
  <si>
    <t>Forceful persuasion : coercive diplomacy as an alternative to war / Alexander L. George ; foreword by Samuel W. Lewis.</t>
  </si>
  <si>
    <t>George, Alexander L.</t>
  </si>
  <si>
    <t>Washington, D.C. : United States Institute of Peace Press, c1991.</t>
  </si>
  <si>
    <t>1994-10-12</t>
  </si>
  <si>
    <t>1992-05-05</t>
  </si>
  <si>
    <t>26473207:eng</t>
  </si>
  <si>
    <t>25007765</t>
  </si>
  <si>
    <t>991001970199702656</t>
  </si>
  <si>
    <t>2270527380002656</t>
  </si>
  <si>
    <t>9781878379146</t>
  </si>
  <si>
    <t>32285001038438</t>
  </si>
  <si>
    <t>893615532</t>
  </si>
  <si>
    <t>JX1417 .H4 1982</t>
  </si>
  <si>
    <t>0                      JX 1417000H  4           1982</t>
  </si>
  <si>
    <t>The real terror network : terrorism in fact and propaganda / Edward S. Herman.</t>
  </si>
  <si>
    <t>Herman, Edward S.</t>
  </si>
  <si>
    <t>Boston, Mass. : South End Press, c1982.</t>
  </si>
  <si>
    <t>1999-09-16</t>
  </si>
  <si>
    <t>552769:eng</t>
  </si>
  <si>
    <t>8569021</t>
  </si>
  <si>
    <t>991000020929702656</t>
  </si>
  <si>
    <t>2260395880002656</t>
  </si>
  <si>
    <t>9780896081345</t>
  </si>
  <si>
    <t>32285001303337</t>
  </si>
  <si>
    <t>893714228</t>
  </si>
  <si>
    <t>JX1417 .H83</t>
  </si>
  <si>
    <t>0                      JX 1417000H  83</t>
  </si>
  <si>
    <t>The domestic context of American foreign policy / Barry B. Hughes.</t>
  </si>
  <si>
    <t>Hughes, Barry B., 1945-</t>
  </si>
  <si>
    <t>San Francisco : W. H. Freeman, c1978.</t>
  </si>
  <si>
    <t>A Series of books in international relations</t>
  </si>
  <si>
    <t>1999-11-17</t>
  </si>
  <si>
    <t>10840990:eng</t>
  </si>
  <si>
    <t>3447504</t>
  </si>
  <si>
    <t>991004438509702656</t>
  </si>
  <si>
    <t>2268713560002656</t>
  </si>
  <si>
    <t>9780716700401</t>
  </si>
  <si>
    <t>32285002347416</t>
  </si>
  <si>
    <t>893712597</t>
  </si>
  <si>
    <t>JX1417 .N88</t>
  </si>
  <si>
    <t>0                      JX 1417000N  88</t>
  </si>
  <si>
    <t>Kissinger's grand design / G. Warren Nutter ; with a foreword by Melvin R. Laird.</t>
  </si>
  <si>
    <t>Nutter, G. Warren.</t>
  </si>
  <si>
    <t>Washington : American Enterprise Institute for Public Policy Research, c1975.</t>
  </si>
  <si>
    <t>Foreign affairs study ; 27</t>
  </si>
  <si>
    <t>2001-01-30</t>
  </si>
  <si>
    <t>2555440:eng</t>
  </si>
  <si>
    <t>1708904</t>
  </si>
  <si>
    <t>991003876819702656</t>
  </si>
  <si>
    <t>2268062530002656</t>
  </si>
  <si>
    <t>9780844731865</t>
  </si>
  <si>
    <t>32285002347465</t>
  </si>
  <si>
    <t>893705728</t>
  </si>
  <si>
    <t>JX1428.C6 C5 1964</t>
  </si>
  <si>
    <t>0                      JX 1428000C  6                  C  5           1964</t>
  </si>
  <si>
    <t>United States policy toward China.</t>
  </si>
  <si>
    <t>Clyde, Paul Hibbert, 1896-1998, editor.</t>
  </si>
  <si>
    <t>New York, Russell &amp; Russell, 1964 [c1940]</t>
  </si>
  <si>
    <t>422909033:eng</t>
  </si>
  <si>
    <t>503677</t>
  </si>
  <si>
    <t>991002877309702656</t>
  </si>
  <si>
    <t>2261949210002656</t>
  </si>
  <si>
    <t>32285002347614</t>
  </si>
  <si>
    <t>893698382</t>
  </si>
  <si>
    <t>JX1428.C9 U18 1989</t>
  </si>
  <si>
    <t>0                      JX 1428000C  9                  U  18          1989</t>
  </si>
  <si>
    <t>U.S.-Cuban relations in the 1990s / edited by Jorge I. Domínguez, Rafael Hernández.</t>
  </si>
  <si>
    <t>Boulder : Westview Press, 1989.</t>
  </si>
  <si>
    <t>2003-03-17</t>
  </si>
  <si>
    <t>1990-04-23</t>
  </si>
  <si>
    <t>18457013:eng</t>
  </si>
  <si>
    <t>18962737</t>
  </si>
  <si>
    <t>991001419949702656</t>
  </si>
  <si>
    <t>2263943910002656</t>
  </si>
  <si>
    <t>9780813308845</t>
  </si>
  <si>
    <t>32285000104975</t>
  </si>
  <si>
    <t>893596462</t>
  </si>
  <si>
    <t>JX1428.L38 K35</t>
  </si>
  <si>
    <t>0                      JX 1428000L  38                 K  35</t>
  </si>
  <si>
    <t>Civil strife in Latin America: a legal history of U.S. involvement.</t>
  </si>
  <si>
    <t>Kane, William Everett.</t>
  </si>
  <si>
    <t>1994-05-12</t>
  </si>
  <si>
    <t>1992-04-27</t>
  </si>
  <si>
    <t>451492:eng</t>
  </si>
  <si>
    <t>546369</t>
  </si>
  <si>
    <t>991002966649702656</t>
  </si>
  <si>
    <t>2265029210002656</t>
  </si>
  <si>
    <t>9780801813689</t>
  </si>
  <si>
    <t>32285001095560</t>
  </si>
  <si>
    <t>893698518</t>
  </si>
  <si>
    <t>JX1542 .F675 1997</t>
  </si>
  <si>
    <t>0                      JX 1542000F  675         1997</t>
  </si>
  <si>
    <t>Foreign policy of the European Union : from EPC to CFSP and beyond / edited by Elfriede Regelsberger, Philippe de Schoutheete de Tervarent, Wolfgang Wessels.</t>
  </si>
  <si>
    <t>Boulder, Colo. : L. Rienner, 1997.</t>
  </si>
  <si>
    <t>1998-12-08</t>
  </si>
  <si>
    <t>1997-04-28</t>
  </si>
  <si>
    <t>836980359:eng</t>
  </si>
  <si>
    <t>34926873</t>
  </si>
  <si>
    <t>991002670699702656</t>
  </si>
  <si>
    <t>2256088450002656</t>
  </si>
  <si>
    <t>9781555877057</t>
  </si>
  <si>
    <t>32285002542032</t>
  </si>
  <si>
    <t>893886564</t>
  </si>
  <si>
    <t>JX1542 .M83 1994</t>
  </si>
  <si>
    <t>0                      JX 1542000M  83          1994</t>
  </si>
  <si>
    <t>International law, rights and politics : developments in Eastern Europe and the CIS / Rein Mullerson.</t>
  </si>
  <si>
    <t>Mullerson, R. A.</t>
  </si>
  <si>
    <t>London ; New York : Routledge, 1994.</t>
  </si>
  <si>
    <t>1994</t>
  </si>
  <si>
    <t>The New international relations</t>
  </si>
  <si>
    <t>1994-09-19</t>
  </si>
  <si>
    <t>801769324:eng</t>
  </si>
  <si>
    <t>29521737</t>
  </si>
  <si>
    <t>991002275589702656</t>
  </si>
  <si>
    <t>2268031840002656</t>
  </si>
  <si>
    <t>9780415106870</t>
  </si>
  <si>
    <t>32285001946135</t>
  </si>
  <si>
    <t>893497917</t>
  </si>
  <si>
    <t>JX1555.Z7 E834 1995</t>
  </si>
  <si>
    <t>0                      JX 1555000Z  7                  E  834         1995</t>
  </si>
  <si>
    <t>The making of foreign policy in Russia and the new states of Eurasia / editors, Adeed Dawisha and Karen Dawisha.</t>
  </si>
  <si>
    <t>Armonk, N.Y. : M.E. Sharpe, c1995.</t>
  </si>
  <si>
    <t>The international politics of Eurasia ; v. 4</t>
  </si>
  <si>
    <t>1998-11-29</t>
  </si>
  <si>
    <t>1996-06-05</t>
  </si>
  <si>
    <t>3769159632:eng</t>
  </si>
  <si>
    <t>31867533</t>
  </si>
  <si>
    <t>991002443999702656</t>
  </si>
  <si>
    <t>2257996070002656</t>
  </si>
  <si>
    <t>9781563243585</t>
  </si>
  <si>
    <t>32285002187952</t>
  </si>
  <si>
    <t>893433896</t>
  </si>
  <si>
    <t>JX1570 .B37 1985</t>
  </si>
  <si>
    <t>0                      JX 1570000B  37          1985</t>
  </si>
  <si>
    <t>The making of foreign policy in China : structure and process / A. Doak Barnett.</t>
  </si>
  <si>
    <t>Barnett, A. Doak.</t>
  </si>
  <si>
    <t>Boulder : Westview Press ; [Washington, D.C.] : Foreign Policy Institute, School of Advanced International Studies, Johns Hopkins University, 1985.</t>
  </si>
  <si>
    <t>Westview Press / Foreign Policy Institute ed.</t>
  </si>
  <si>
    <t>SAIS papers in international affairs ; no. 9</t>
  </si>
  <si>
    <t>1999-09-13</t>
  </si>
  <si>
    <t>1992-09-21</t>
  </si>
  <si>
    <t>4627545:eng</t>
  </si>
  <si>
    <t>11785027</t>
  </si>
  <si>
    <t>991000590739702656</t>
  </si>
  <si>
    <t>2255831620002656</t>
  </si>
  <si>
    <t>9780813302331</t>
  </si>
  <si>
    <t>32285001304954</t>
  </si>
  <si>
    <t>893339695</t>
  </si>
  <si>
    <t>JX1577 .B56</t>
  </si>
  <si>
    <t>0                      JX 1577000B  56</t>
  </si>
  <si>
    <t>Japanese international negotiating style / Michael Blaker.</t>
  </si>
  <si>
    <t>Blaker, Michael, 1940-</t>
  </si>
  <si>
    <t>New York : Columbia University Press, 1977.</t>
  </si>
  <si>
    <t>Studies of the East Asian Institute, Columbia University</t>
  </si>
  <si>
    <t>2000-04-05</t>
  </si>
  <si>
    <t>419989:eng</t>
  </si>
  <si>
    <t>2966752</t>
  </si>
  <si>
    <t>991004298469702656</t>
  </si>
  <si>
    <t>2267268720002656</t>
  </si>
  <si>
    <t>9780231041300</t>
  </si>
  <si>
    <t>32285001304970</t>
  </si>
  <si>
    <t>893782083</t>
  </si>
  <si>
    <t>JX1586.S64 S55</t>
  </si>
  <si>
    <t>0                      JX 1586000S  64                 S  55</t>
  </si>
  <si>
    <t>South West Africa and the United Nations: an international mandate in dispute.</t>
  </si>
  <si>
    <t>Slonim, Solomon.</t>
  </si>
  <si>
    <t>Baltimore, Johns Hopkins University Press [c1973]</t>
  </si>
  <si>
    <t>2001-02-03</t>
  </si>
  <si>
    <t>3373675713:eng</t>
  </si>
  <si>
    <t>427441</t>
  </si>
  <si>
    <t>991002759399702656</t>
  </si>
  <si>
    <t>2264602680002656</t>
  </si>
  <si>
    <t>9780801814303</t>
  </si>
  <si>
    <t>32285002348166</t>
  </si>
  <si>
    <t>893323341</t>
  </si>
  <si>
    <t>JX1635 .N5 1977</t>
  </si>
  <si>
    <t>0                      JX 1635000N  5           1977</t>
  </si>
  <si>
    <t>The evolution of diplomatic method, being the Chichele lectures delivered at the University of Oxford in November 1953 / by Harold Nicolson.</t>
  </si>
  <si>
    <t>Nicolson, Harold, 1886-1968.</t>
  </si>
  <si>
    <t>Westport, Conn. : Greenwood Press, 1977.</t>
  </si>
  <si>
    <t>2003-04-30</t>
  </si>
  <si>
    <t>47493559:eng</t>
  </si>
  <si>
    <t>2968021</t>
  </si>
  <si>
    <t>991004300639702656</t>
  </si>
  <si>
    <t>2269106130002656</t>
  </si>
  <si>
    <t>9780837194288</t>
  </si>
  <si>
    <t>32285002348182</t>
  </si>
  <si>
    <t>893235308</t>
  </si>
  <si>
    <t>JX1635 .S3 1979</t>
  </si>
  <si>
    <t>0                      JX 1635000S  3           1979</t>
  </si>
  <si>
    <t>Satow's Guide to diplomatic practice.</t>
  </si>
  <si>
    <t>Satow, Ernest Mason, 1843-1929.</t>
  </si>
  <si>
    <t>London ; New York : Longman, 1979.</t>
  </si>
  <si>
    <t>5th ed. / edited by Lord Gore-Booth, assistant editor, Desmond Pakenham.</t>
  </si>
  <si>
    <t>1994-04-21</t>
  </si>
  <si>
    <t>3901056445:eng</t>
  </si>
  <si>
    <t>3275508</t>
  </si>
  <si>
    <t>991004394939702656</t>
  </si>
  <si>
    <t>2255511590002656</t>
  </si>
  <si>
    <t>9780582501096</t>
  </si>
  <si>
    <t>32285001305001</t>
  </si>
  <si>
    <t>893794803</t>
  </si>
  <si>
    <t>JX1641 .M27</t>
  </si>
  <si>
    <t>0                      JX 1641000M  27</t>
  </si>
  <si>
    <t>Renaissance diplomacy.</t>
  </si>
  <si>
    <t>Mattingly, Garrett, 1900-1962.</t>
  </si>
  <si>
    <t>Boston : Houghton Mifflin, 1955.</t>
  </si>
  <si>
    <t>1994-09-07</t>
  </si>
  <si>
    <t>1993-01-19</t>
  </si>
  <si>
    <t>1269002:eng</t>
  </si>
  <si>
    <t>1128207</t>
  </si>
  <si>
    <t>991003558769702656</t>
  </si>
  <si>
    <t>2271069230002656</t>
  </si>
  <si>
    <t>32285001476620</t>
  </si>
  <si>
    <t>893705351</t>
  </si>
  <si>
    <t>JX1662 .C49 1974</t>
  </si>
  <si>
    <t>0                      JX 1662000C  49          1974</t>
  </si>
  <si>
    <t>Diplomat : the world of international diplomacy.</t>
  </si>
  <si>
    <t>Clark, Eric, 1937-</t>
  </si>
  <si>
    <t>New York : Taplinger Pub. Co., [1974, c1973]</t>
  </si>
  <si>
    <t>1991-01-22</t>
  </si>
  <si>
    <t>1810720087:eng</t>
  </si>
  <si>
    <t>969456</t>
  </si>
  <si>
    <t>991003434219702656</t>
  </si>
  <si>
    <t>2260855820002656</t>
  </si>
  <si>
    <t>9780800822101</t>
  </si>
  <si>
    <t>32285000430792</t>
  </si>
  <si>
    <t>893793602</t>
  </si>
  <si>
    <t>JX1662 .K4</t>
  </si>
  <si>
    <t>0                      JX 1662000K  4</t>
  </si>
  <si>
    <t>Diplomacy in a changing world. Edited by Stephen D. Kertesz and M. A. Fitzsimons.</t>
  </si>
  <si>
    <t>Kertesz, Stephen D. (Stephen Denis), 1904-1986, editor.</t>
  </si>
  <si>
    <t>[Notre Dame, Ind.] University of Notre Dame Press, 1959.</t>
  </si>
  <si>
    <t>International studies of the Committee on International Relations, University of Notre Dame</t>
  </si>
  <si>
    <t>1997-12-06</t>
  </si>
  <si>
    <t>352304385:eng</t>
  </si>
  <si>
    <t>1879114</t>
  </si>
  <si>
    <t>991003924459702656</t>
  </si>
  <si>
    <t>2260731310002656</t>
  </si>
  <si>
    <t>32285002348224</t>
  </si>
  <si>
    <t>893611690</t>
  </si>
  <si>
    <t>JX1662 .T5</t>
  </si>
  <si>
    <t>0                      JX 1662000T  5</t>
  </si>
  <si>
    <t>Diplomat. Foreword by Sir Harold Nicolson.</t>
  </si>
  <si>
    <t>Thayer, Charles W. (Charles Wheeler), 1910-1969.</t>
  </si>
  <si>
    <t>New York, Harper [1959]</t>
  </si>
  <si>
    <t>1995-02-15</t>
  </si>
  <si>
    <t>1991-12-18</t>
  </si>
  <si>
    <t>501069:eng</t>
  </si>
  <si>
    <t>503659</t>
  </si>
  <si>
    <t>991002877199702656</t>
  </si>
  <si>
    <t>2261959970002656</t>
  </si>
  <si>
    <t>32285000896158</t>
  </si>
  <si>
    <t>893262520</t>
  </si>
  <si>
    <t>JX1706 .N535 1988</t>
  </si>
  <si>
    <t>0                      JX 1706000N  535         1988</t>
  </si>
  <si>
    <t>Diplomacy and the American democracy / David D. Newsom.</t>
  </si>
  <si>
    <t>Newsom, David D.</t>
  </si>
  <si>
    <t>Bloomington : Indiana University Press, c1988.</t>
  </si>
  <si>
    <t>1997-12-07</t>
  </si>
  <si>
    <t>11869958:eng</t>
  </si>
  <si>
    <t>16353002</t>
  </si>
  <si>
    <t>991001100969702656</t>
  </si>
  <si>
    <t>2255326220002656</t>
  </si>
  <si>
    <t>9780253204707</t>
  </si>
  <si>
    <t>32285001350643</t>
  </si>
  <si>
    <t>893803343</t>
  </si>
  <si>
    <t>JX1706.Z5 B3 1983</t>
  </si>
  <si>
    <t>0                      JX 1706000Z  5                  B  3           1983</t>
  </si>
  <si>
    <t>Staffing for foreign affairs : personnel systems for the 1980's and 1990's / William I. Bacchus.</t>
  </si>
  <si>
    <t>Bacchus, William I., 1940-</t>
  </si>
  <si>
    <t>1993-12-02</t>
  </si>
  <si>
    <t>43031317:eng</t>
  </si>
  <si>
    <t>9557342</t>
  </si>
  <si>
    <t>991000214539702656</t>
  </si>
  <si>
    <t>2266611120002656</t>
  </si>
  <si>
    <t>9780691076607</t>
  </si>
  <si>
    <t>32285001320125</t>
  </si>
  <si>
    <t>893508625</t>
  </si>
  <si>
    <t>JX1904.5 .B69</t>
  </si>
  <si>
    <t>0                      JX 1904500B  69</t>
  </si>
  <si>
    <t>Stable peace / Kenneth E. Boulding. --</t>
  </si>
  <si>
    <t>Boulding, Kenneth E. (Kenneth Ewart), 1910-1993.</t>
  </si>
  <si>
    <t>Austin : University of Texas Press, c1978.</t>
  </si>
  <si>
    <t>2003-10-04</t>
  </si>
  <si>
    <t>507352556:eng</t>
  </si>
  <si>
    <t>3627679</t>
  </si>
  <si>
    <t>991004481589702656</t>
  </si>
  <si>
    <t>2269265420002656</t>
  </si>
  <si>
    <t>9780292764477</t>
  </si>
  <si>
    <t>32285001320216</t>
  </si>
  <si>
    <t>893442660</t>
  </si>
  <si>
    <t>JX1904.5 .E377 1988</t>
  </si>
  <si>
    <t>0                      JX 1904500E  377         1988</t>
  </si>
  <si>
    <t>Educating for global responsibility : teacher-designed curricula for peace education, K-12 / edited by Betty A. Reardon.</t>
  </si>
  <si>
    <t>New York : Teachers College Press, c1988.</t>
  </si>
  <si>
    <t>2005-03-22</t>
  </si>
  <si>
    <t>12378852:eng</t>
  </si>
  <si>
    <t>16577660</t>
  </si>
  <si>
    <t>991001118869702656</t>
  </si>
  <si>
    <t>2256159020002656</t>
  </si>
  <si>
    <t>9780807728796</t>
  </si>
  <si>
    <t>32285001320224</t>
  </si>
  <si>
    <t>893334066</t>
  </si>
  <si>
    <t>JX1904.5 .H39 1988</t>
  </si>
  <si>
    <t>0                      JX 1904500H  39          1988</t>
  </si>
  <si>
    <t>Peace education / by Ian M. Harris.</t>
  </si>
  <si>
    <t>Harris, Ian M., 1943-</t>
  </si>
  <si>
    <t>Jefferson, N.C. : McFarland, c1988.</t>
  </si>
  <si>
    <t>ncu</t>
  </si>
  <si>
    <t>2002-03-20</t>
  </si>
  <si>
    <t>770504:eng</t>
  </si>
  <si>
    <t>17803488</t>
  </si>
  <si>
    <t>991001264479702656</t>
  </si>
  <si>
    <t>2264981400002656</t>
  </si>
  <si>
    <t>9780899503547</t>
  </si>
  <si>
    <t>32285001320232</t>
  </si>
  <si>
    <t>893444644</t>
  </si>
  <si>
    <t>JX1904.5 .R4 1988</t>
  </si>
  <si>
    <t>0                      JX 1904500R  4           1988</t>
  </si>
  <si>
    <t>Comprehensive peace education : educating for global responsibility / Betty A. Reardon.</t>
  </si>
  <si>
    <t>Reardon, Betty.</t>
  </si>
  <si>
    <t>2005-04-19</t>
  </si>
  <si>
    <t>1990-02-24</t>
  </si>
  <si>
    <t>253228271:eng</t>
  </si>
  <si>
    <t>16647646</t>
  </si>
  <si>
    <t>991001124989702656</t>
  </si>
  <si>
    <t>2265990870002656</t>
  </si>
  <si>
    <t>9780807728864</t>
  </si>
  <si>
    <t>32285000040807</t>
  </si>
  <si>
    <t>893243873</t>
  </si>
  <si>
    <t>JX1905.5 .M48 1988</t>
  </si>
  <si>
    <t>0                      JX 1905500M  48          1988</t>
  </si>
  <si>
    <t>Peace organizations, past and present : a survey and directory / by Robert S. Meyer ; with a foreword by Joseph W. Elder.</t>
  </si>
  <si>
    <t>Meyer, Robert S., 1915-</t>
  </si>
  <si>
    <t>1994-02-01</t>
  </si>
  <si>
    <t>836883576:eng</t>
  </si>
  <si>
    <t>17952798</t>
  </si>
  <si>
    <t>991001284529702656</t>
  </si>
  <si>
    <t>2269715030002656</t>
  </si>
  <si>
    <t>9780899503400</t>
  </si>
  <si>
    <t>32285001320257</t>
  </si>
  <si>
    <t>893897677</t>
  </si>
  <si>
    <t>JX1950 .F35</t>
  </si>
  <si>
    <t>0                      JX 1950000F  35</t>
  </si>
  <si>
    <t>International law and organization; an introductory reader. Edited by Richard A. Falk [and] Wolfram F. Hanrieder.</t>
  </si>
  <si>
    <t>Falk, Richard A. compiler.</t>
  </si>
  <si>
    <t>Philadelphia, Lippincott [1968]</t>
  </si>
  <si>
    <t>The Lippincott series in international politics</t>
  </si>
  <si>
    <t>2003-04-07</t>
  </si>
  <si>
    <t>1567684:eng</t>
  </si>
  <si>
    <t>441034</t>
  </si>
  <si>
    <t>991002783829702656</t>
  </si>
  <si>
    <t>2257124300002656</t>
  </si>
  <si>
    <t>32285002348703</t>
  </si>
  <si>
    <t>893880406</t>
  </si>
  <si>
    <t>JX1952 .B823 1969b</t>
  </si>
  <si>
    <t>0                      JX 1952000B  823         1969b</t>
  </si>
  <si>
    <t>Conflict &amp; communication: the use of controlled communication in international relations [by] John W. Burton.</t>
  </si>
  <si>
    <t>Burton, John W. (John Wear), 1915-2010.</t>
  </si>
  <si>
    <t>New York, Free Press [1969]</t>
  </si>
  <si>
    <t>2003-03-31</t>
  </si>
  <si>
    <t>792123563:eng</t>
  </si>
  <si>
    <t>53634</t>
  </si>
  <si>
    <t>991000129799702656</t>
  </si>
  <si>
    <t>2257416600002656</t>
  </si>
  <si>
    <t>32285002348729</t>
  </si>
  <si>
    <t>893243019</t>
  </si>
  <si>
    <t>JX1952 .G538 1987</t>
  </si>
  <si>
    <t>0                      JX 1952000G  538         1987</t>
  </si>
  <si>
    <t>Global peace and security : trends and challenges / edited by Wolfram F. Hanrieder.</t>
  </si>
  <si>
    <t>Boulder : Westview Press, 1987.</t>
  </si>
  <si>
    <t>1987</t>
  </si>
  <si>
    <t>1992-12-13</t>
  </si>
  <si>
    <t>1992-09-29</t>
  </si>
  <si>
    <t>906405713:eng</t>
  </si>
  <si>
    <t>14964445</t>
  </si>
  <si>
    <t>991000971609702656</t>
  </si>
  <si>
    <t>2266668320002656</t>
  </si>
  <si>
    <t>9780813372891</t>
  </si>
  <si>
    <t>32285001322477</t>
  </si>
  <si>
    <t>893407703</t>
  </si>
  <si>
    <t>JX1952 .I775 1992</t>
  </si>
  <si>
    <t>0                      JX 1952000I  775         1992</t>
  </si>
  <si>
    <t>Understanding conflict and the science of peace / Walter Isard.</t>
  </si>
  <si>
    <t>Isard, Walter.</t>
  </si>
  <si>
    <t>Cambridge, Mass. : Blackwell, 1992.</t>
  </si>
  <si>
    <t>2001-04-30</t>
  </si>
  <si>
    <t>1992-11-20</t>
  </si>
  <si>
    <t>27092615:eng</t>
  </si>
  <si>
    <t>24630611</t>
  </si>
  <si>
    <t>991001949389702656</t>
  </si>
  <si>
    <t>2266971260002656</t>
  </si>
  <si>
    <t>9781557863102</t>
  </si>
  <si>
    <t>32285001363679</t>
  </si>
  <si>
    <t>893523008</t>
  </si>
  <si>
    <t>JX1952 .S6795 1996</t>
  </si>
  <si>
    <t>0                      JX 1952000S  6795        1996</t>
  </si>
  <si>
    <t>The real world order : zones of peace, zones of turmoil / Max Singer and Aaron Wildavsky.</t>
  </si>
  <si>
    <t>Singer, Max, 1931-</t>
  </si>
  <si>
    <t>Chatham, N.J. : Chatham House Publishers, c1996.</t>
  </si>
  <si>
    <t>2006-12-05</t>
  </si>
  <si>
    <t>1996-09-25</t>
  </si>
  <si>
    <t>382685:eng</t>
  </si>
  <si>
    <t>33105073</t>
  </si>
  <si>
    <t>991002549059702656</t>
  </si>
  <si>
    <t>2263124810002656</t>
  </si>
  <si>
    <t>9781566430319</t>
  </si>
  <si>
    <t>32285002319464</t>
  </si>
  <si>
    <t>893622417</t>
  </si>
  <si>
    <t>JX1952 .S686 1987</t>
  </si>
  <si>
    <t>0                      JX 1952000S  686         1987</t>
  </si>
  <si>
    <t>Paths to peace : exploring the feasibility of sustainable peace / Richard Smoke with Willis Harman.</t>
  </si>
  <si>
    <t>Smoke, Richard.</t>
  </si>
  <si>
    <t>Boulder, Colo. : Westview Press, c1987.</t>
  </si>
  <si>
    <t>2007-02-25</t>
  </si>
  <si>
    <t>1991-11-19</t>
  </si>
  <si>
    <t>836707266:eng</t>
  </si>
  <si>
    <t>15198249</t>
  </si>
  <si>
    <t>991001000869702656</t>
  </si>
  <si>
    <t>2260417250002656</t>
  </si>
  <si>
    <t>9780813304878</t>
  </si>
  <si>
    <t>32285000840990</t>
  </si>
  <si>
    <t>893602241</t>
  </si>
  <si>
    <t>JX1954 .C54 1971</t>
  </si>
  <si>
    <t>0                      JX 1954000C  54          1971</t>
  </si>
  <si>
    <t>Swords into plowshares : the problems and progress of international organization / [by] Inis L. Claude, Jr.</t>
  </si>
  <si>
    <t>Claude, Inis L., Jr., 1922-</t>
  </si>
  <si>
    <t>New York : Random House, [1971]</t>
  </si>
  <si>
    <t>1999-08-23</t>
  </si>
  <si>
    <t>1991-12-23</t>
  </si>
  <si>
    <t>1170804:eng</t>
  </si>
  <si>
    <t>151103</t>
  </si>
  <si>
    <t>991000868869702656</t>
  </si>
  <si>
    <t>2272424470002656</t>
  </si>
  <si>
    <t>9780394310039</t>
  </si>
  <si>
    <t>32285000880061</t>
  </si>
  <si>
    <t>893339963</t>
  </si>
  <si>
    <t>JX1954 .D46</t>
  </si>
  <si>
    <t>0                      JX 1954000D  46</t>
  </si>
  <si>
    <t>Political community and the North Atlantic area; international organization in the light of historical experience, by Karl W. Deutsch [and others]</t>
  </si>
  <si>
    <t>Deutsch, Karl W. (Karl Wolfgang), 1912-1992.</t>
  </si>
  <si>
    <t>Princeton, Princeton University Press, 1957.</t>
  </si>
  <si>
    <t>Publications of the Center for Research on World Political Institutions</t>
  </si>
  <si>
    <t>2008-04-08</t>
  </si>
  <si>
    <t>890516552:eng</t>
  </si>
  <si>
    <t>1833631</t>
  </si>
  <si>
    <t>991003904439702656</t>
  </si>
  <si>
    <t>2260358330002656</t>
  </si>
  <si>
    <t>32285002348976</t>
  </si>
  <si>
    <t>893806414</t>
  </si>
  <si>
    <t>JX1954 .G316 1980</t>
  </si>
  <si>
    <t>0                      JX 1954000G  316         1980</t>
  </si>
  <si>
    <t>The true worlds : a transnational perspective / Johan Galtung.</t>
  </si>
  <si>
    <t>Galtung, Johan.</t>
  </si>
  <si>
    <t>New York : Free Press, c1980.</t>
  </si>
  <si>
    <t>Preferred worlds for the 1900's</t>
  </si>
  <si>
    <t>2009-09-02</t>
  </si>
  <si>
    <t>15136996:eng</t>
  </si>
  <si>
    <t>5051692</t>
  </si>
  <si>
    <t>991004769749702656</t>
  </si>
  <si>
    <t>2263786490002656</t>
  </si>
  <si>
    <t>9780029110607</t>
  </si>
  <si>
    <t>32285001274041</t>
  </si>
  <si>
    <t>893870089</t>
  </si>
  <si>
    <t>JX1954 .I486 1999</t>
  </si>
  <si>
    <t>0                      JX 1954000I  486         1999</t>
  </si>
  <si>
    <t>International order and the future of world politics / edited by T.V. Paul and John A. Hall.</t>
  </si>
  <si>
    <t>Cambridge : Cambridge University Press, 1999.</t>
  </si>
  <si>
    <t>1999-10-18</t>
  </si>
  <si>
    <t>344678233:eng</t>
  </si>
  <si>
    <t>41018872</t>
  </si>
  <si>
    <t>991003015909702656</t>
  </si>
  <si>
    <t>2269773980002656</t>
  </si>
  <si>
    <t>9780521651387</t>
  </si>
  <si>
    <t>32285003587846</t>
  </si>
  <si>
    <t>893721754</t>
  </si>
  <si>
    <t>JX1954 .L788 1990</t>
  </si>
  <si>
    <t>0                      JX 1954000L  788         1990</t>
  </si>
  <si>
    <t>International society / Evan Luard.</t>
  </si>
  <si>
    <t>Luard, Evan, 1926-1991.</t>
  </si>
  <si>
    <t>New York : New Amsterdam, 1990.</t>
  </si>
  <si>
    <t>1991-03-08</t>
  </si>
  <si>
    <t>3856182746:eng</t>
  </si>
  <si>
    <t>22574213</t>
  </si>
  <si>
    <t>991001793089702656</t>
  </si>
  <si>
    <t>2261043170002656</t>
  </si>
  <si>
    <t>9780941533805</t>
  </si>
  <si>
    <t>32285000493931</t>
  </si>
  <si>
    <t>893250511</t>
  </si>
  <si>
    <t>JX1954 .N43 1986</t>
  </si>
  <si>
    <t>0                      JX 1954000N  43          1986</t>
  </si>
  <si>
    <t>Negotiating world order : the artisanship and architecture of global diplomacy / edited by Alan K. Henrikson ; with essays by Gamani Corea ... [et al.].</t>
  </si>
  <si>
    <t>Wilmington, Del. : Scholarly Resources, 1986.</t>
  </si>
  <si>
    <t>1986</t>
  </si>
  <si>
    <t>deu</t>
  </si>
  <si>
    <t>2001-11-10</t>
  </si>
  <si>
    <t>1992-10-01</t>
  </si>
  <si>
    <t>799376951:eng</t>
  </si>
  <si>
    <t>13361194</t>
  </si>
  <si>
    <t>991000818379702656</t>
  </si>
  <si>
    <t>2271849780002656</t>
  </si>
  <si>
    <t>9780842022392</t>
  </si>
  <si>
    <t>32285001324341</t>
  </si>
  <si>
    <t>893589766</t>
  </si>
  <si>
    <t>JX1954 .R27 1987</t>
  </si>
  <si>
    <t>0                      JX 1954000R  27          1987</t>
  </si>
  <si>
    <t>Issues in the history of international relations : the role of issues in the evolution of the state system / Robert F. Randle.</t>
  </si>
  <si>
    <t>Randle, Robert F.</t>
  </si>
  <si>
    <t>New York : Praeger, 1987.</t>
  </si>
  <si>
    <t>314124253:eng</t>
  </si>
  <si>
    <t>15793275</t>
  </si>
  <si>
    <t>991001065639702656</t>
  </si>
  <si>
    <t>2261237850002656</t>
  </si>
  <si>
    <t>9780275927004</t>
  </si>
  <si>
    <t>32285001324358</t>
  </si>
  <si>
    <t>893702697</t>
  </si>
  <si>
    <t>JX1974 .B64 1988</t>
  </si>
  <si>
    <t>0                      JX 1974000B  64          1988</t>
  </si>
  <si>
    <t>From the Atlantic to the Urals : negotiating arms control at the Stockholm conference / John Borawski.</t>
  </si>
  <si>
    <t>Borawski, John.</t>
  </si>
  <si>
    <t>Washington : Pergamon-Brassey's, 1988.</t>
  </si>
  <si>
    <t>1990-10-17</t>
  </si>
  <si>
    <t>304508170:eng</t>
  </si>
  <si>
    <t>15661503</t>
  </si>
  <si>
    <t>991001053249702656</t>
  </si>
  <si>
    <t>2259934570002656</t>
  </si>
  <si>
    <t>9780080359588</t>
  </si>
  <si>
    <t>32285000311331</t>
  </si>
  <si>
    <t>893522249</t>
  </si>
  <si>
    <t>JX1974 .C487 1978</t>
  </si>
  <si>
    <t>0                      JX 1974000C  487         1978</t>
  </si>
  <si>
    <t>Disarmament : the human factor : proceedings of a Colloquium on the Societal Context for Disarmament, sponsored by UNITAR and Planetary Citizens and held at the United Nations, New York / edited by Ervin Laszlo and Donald Keys.</t>
  </si>
  <si>
    <t>Colloquium on the Societal Context for Disarmament (1978 : New York, N.Y.)</t>
  </si>
  <si>
    <t>Oxford ; New York : Pergamon Press, 1981.</t>
  </si>
  <si>
    <t>1994-04-17</t>
  </si>
  <si>
    <t>189963339:eng</t>
  </si>
  <si>
    <t>7206097</t>
  </si>
  <si>
    <t>991005089369702656</t>
  </si>
  <si>
    <t>2265864290002656</t>
  </si>
  <si>
    <t>9780080247038</t>
  </si>
  <si>
    <t>32285001324556</t>
  </si>
  <si>
    <t>893350681</t>
  </si>
  <si>
    <t>JX1974 .D63</t>
  </si>
  <si>
    <t>0                      JX 1974000D  63</t>
  </si>
  <si>
    <t>How to think about arms control and disarmament, by James E. Dougherty.</t>
  </si>
  <si>
    <t>Dougherty, James E.</t>
  </si>
  <si>
    <t>New York, Published for National Strategy Information Center [by] Crane, Russak [1973]</t>
  </si>
  <si>
    <t>Strategy papers, no. 17</t>
  </si>
  <si>
    <t>1998-11-13</t>
  </si>
  <si>
    <t>1997-04-04</t>
  </si>
  <si>
    <t>1785128:eng</t>
  </si>
  <si>
    <t>737242</t>
  </si>
  <si>
    <t>991003211409702656</t>
  </si>
  <si>
    <t>2256696620002656</t>
  </si>
  <si>
    <t>9780844802190</t>
  </si>
  <si>
    <t>32285002349404</t>
  </si>
  <si>
    <t>893227797</t>
  </si>
  <si>
    <t>JX1974 .M948 1982</t>
  </si>
  <si>
    <t>0                      JX 1974000M  948         1982</t>
  </si>
  <si>
    <t>The game of disarmament : how the United States &amp; Russia run the arms race / by Alva Myrdal.</t>
  </si>
  <si>
    <t>Myrdal, Alva, 1902-1986.</t>
  </si>
  <si>
    <t>New York : Pantheon Books, c1982.</t>
  </si>
  <si>
    <t>Rev. and updated ed. -- 2nd pbk. ed.</t>
  </si>
  <si>
    <t>1997-10-16</t>
  </si>
  <si>
    <t>232432188:eng</t>
  </si>
  <si>
    <t>8474392</t>
  </si>
  <si>
    <t>991005247589702656</t>
  </si>
  <si>
    <t>2258906240002656</t>
  </si>
  <si>
    <t>9780394706498</t>
  </si>
  <si>
    <t>32285001324648</t>
  </si>
  <si>
    <t>893443655</t>
  </si>
  <si>
    <t>JX1974 .P28</t>
  </si>
  <si>
    <t>0                      JX 1974000P  28</t>
  </si>
  <si>
    <t>Arms control and SALT II / W. K. H. Panofsky.</t>
  </si>
  <si>
    <t>Panofsky, Wolfgang K. H. (Wolfgang Kurt Hermann), 1919-2007.</t>
  </si>
  <si>
    <t>Seattle : University of Washington Press, c1979.</t>
  </si>
  <si>
    <t>wau</t>
  </si>
  <si>
    <t>The Jessie and John Danz lecture series</t>
  </si>
  <si>
    <t>2001-03-30</t>
  </si>
  <si>
    <t>433774:eng</t>
  </si>
  <si>
    <t>5240328</t>
  </si>
  <si>
    <t>991004805279702656</t>
  </si>
  <si>
    <t>2263165300002656</t>
  </si>
  <si>
    <t>9780295957005</t>
  </si>
  <si>
    <t>32285001324663</t>
  </si>
  <si>
    <t>893594125</t>
  </si>
  <si>
    <t>JX1974.7 .B44 1985</t>
  </si>
  <si>
    <t>0                      JX 1974700B  44          1985</t>
  </si>
  <si>
    <t>Disarmament without order : the politics of disarmament at the United Nations / Avi Beker.</t>
  </si>
  <si>
    <t>Beker, Avi.</t>
  </si>
  <si>
    <t>Westport, Conn. : Greenwood Press, c1985.</t>
  </si>
  <si>
    <t>Contributions in political science, 0147-1066 ; no. 118</t>
  </si>
  <si>
    <t>319541517:eng</t>
  </si>
  <si>
    <t>10727151</t>
  </si>
  <si>
    <t>991000419469702656</t>
  </si>
  <si>
    <t>2262118220002656</t>
  </si>
  <si>
    <t>9780313243622</t>
  </si>
  <si>
    <t>32285001324770</t>
  </si>
  <si>
    <t>893496208</t>
  </si>
  <si>
    <t>JX1974.7 .D415 1989</t>
  </si>
  <si>
    <t>0                      JX 1974700D  415         1989</t>
  </si>
  <si>
    <t>Meeting Gorbachev's challenge : how to build down the NATO-Warsaw Pact confrontation / Jonathan Dean.</t>
  </si>
  <si>
    <t>Dean, Jonathan.</t>
  </si>
  <si>
    <t>New York : St. Martin's Press, 1989.</t>
  </si>
  <si>
    <t>1999-07-12</t>
  </si>
  <si>
    <t>1991-02-11</t>
  </si>
  <si>
    <t>807217338:eng</t>
  </si>
  <si>
    <t>20013773</t>
  </si>
  <si>
    <t>991001527569702656</t>
  </si>
  <si>
    <t>2262031830002656</t>
  </si>
  <si>
    <t>9780312032678</t>
  </si>
  <si>
    <t>32285000464015</t>
  </si>
  <si>
    <t>893516255</t>
  </si>
  <si>
    <t>JX1974.7 .F46 1988</t>
  </si>
  <si>
    <t>0                      JX 1974700F  46          1988</t>
  </si>
  <si>
    <t>Planethood : the key to your survival and prosperity / Benjamin B. Ferencz ; in cooperation with Ken Keyes, Jr.</t>
  </si>
  <si>
    <t>Ferencz, Benjamin B., 1920-</t>
  </si>
  <si>
    <t>Coos Bay, OR : Vision Books, [1988]</t>
  </si>
  <si>
    <t>oru</t>
  </si>
  <si>
    <t>1999-05-06</t>
  </si>
  <si>
    <t>654411639:eng</t>
  </si>
  <si>
    <t>17441059</t>
  </si>
  <si>
    <t>991001218489702656</t>
  </si>
  <si>
    <t>2260299350002656</t>
  </si>
  <si>
    <t>9780915972142</t>
  </si>
  <si>
    <t>32285001324861</t>
  </si>
  <si>
    <t>893614873</t>
  </si>
  <si>
    <t>JX1974.7 .J445 1988</t>
  </si>
  <si>
    <t>0                      JX 1974700J  445         1988</t>
  </si>
  <si>
    <t>Bargaining for national security : the postwar disarmament negotiations / by Lloyd Jensen.</t>
  </si>
  <si>
    <t>Jensen, Lloyd.</t>
  </si>
  <si>
    <t>Columbia, S.C. : University of South Carolina Press, c1988.</t>
  </si>
  <si>
    <t>scu</t>
  </si>
  <si>
    <t>Studies in international relations</t>
  </si>
  <si>
    <t>1996-06-19</t>
  </si>
  <si>
    <t>13506719:eng</t>
  </si>
  <si>
    <t>16717809</t>
  </si>
  <si>
    <t>991001137469702656</t>
  </si>
  <si>
    <t>2256629910002656</t>
  </si>
  <si>
    <t>9780872495296</t>
  </si>
  <si>
    <t>32285000906668</t>
  </si>
  <si>
    <t>893522321</t>
  </si>
  <si>
    <t>JX1974.7 .N47</t>
  </si>
  <si>
    <t>0                      JX 1974700N  47</t>
  </si>
  <si>
    <t>Cold dawn: the story of SALT.</t>
  </si>
  <si>
    <t>Newhouse, John, 1929-2016.</t>
  </si>
  <si>
    <t>New York, Holt, Rinehart and Winston [1973]</t>
  </si>
  <si>
    <t>350566583:eng</t>
  </si>
  <si>
    <t>600511</t>
  </si>
  <si>
    <t>991003038909702656</t>
  </si>
  <si>
    <t>2261054990002656</t>
  </si>
  <si>
    <t>9780030016318</t>
  </si>
  <si>
    <t>32285002349883</t>
  </si>
  <si>
    <t>893793257</t>
  </si>
  <si>
    <t>JX1974.7 .N85</t>
  </si>
  <si>
    <t>0                      JX 1974700N  85</t>
  </si>
  <si>
    <t>Nuclear weapons and world politics : alternatives for the future / David C. Gompert ... [et al.] ; appendix by Franklin C. Miller.</t>
  </si>
  <si>
    <t>New York : McGraw-Hill, c1977.</t>
  </si>
  <si>
    <t>1980s project/Council on Foreign Relations</t>
  </si>
  <si>
    <t>890939080:eng</t>
  </si>
  <si>
    <t>3002535</t>
  </si>
  <si>
    <t>991004313779702656</t>
  </si>
  <si>
    <t>2272195650002656</t>
  </si>
  <si>
    <t>9780070237131</t>
  </si>
  <si>
    <t>32285002349909</t>
  </si>
  <si>
    <t>893894842</t>
  </si>
  <si>
    <t>JX1974.7 .P75</t>
  </si>
  <si>
    <t>0                      JX 1974700P  75</t>
  </si>
  <si>
    <t>Problems of world disarmament; a series of lectures delivered at the Johns Hopkins University. Coordinated by Charles A. Barker.</t>
  </si>
  <si>
    <t>Boston, Houghton Mifflin [1963]</t>
  </si>
  <si>
    <t>2001-03-24</t>
  </si>
  <si>
    <t>905816044:eng</t>
  </si>
  <si>
    <t>505867</t>
  </si>
  <si>
    <t>991002881659702656</t>
  </si>
  <si>
    <t>2263581110002656</t>
  </si>
  <si>
    <t>32285002349917</t>
  </si>
  <si>
    <t>893535236</t>
  </si>
  <si>
    <t>JX1974.7 .S2194 1984</t>
  </si>
  <si>
    <t>0                      JX 1974700S  2194        1984</t>
  </si>
  <si>
    <t>The abolition / Jonathan Schell.</t>
  </si>
  <si>
    <t>Schell, Jonathan, 1943-2014.</t>
  </si>
  <si>
    <t>New York : Knopf, 1984.</t>
  </si>
  <si>
    <t>2003-08-04</t>
  </si>
  <si>
    <t>1992-10-02</t>
  </si>
  <si>
    <t>2903694:eng</t>
  </si>
  <si>
    <t>10506686</t>
  </si>
  <si>
    <t>991000384269702656</t>
  </si>
  <si>
    <t>2255658750002656</t>
  </si>
  <si>
    <t>9780394538181</t>
  </si>
  <si>
    <t>32285001326015</t>
  </si>
  <si>
    <t>893626285</t>
  </si>
  <si>
    <t>JX1974.73 .B35 1993</t>
  </si>
  <si>
    <t>0                      JX 1974730B  35          1993</t>
  </si>
  <si>
    <t>Strengthening nuclear nonproliferation / Kathleen C. Bailey.</t>
  </si>
  <si>
    <t>Bailey, Kathleen C.</t>
  </si>
  <si>
    <t>Boulder : Westview Press, 1993.</t>
  </si>
  <si>
    <t>1998-11-18</t>
  </si>
  <si>
    <t>147092:eng</t>
  </si>
  <si>
    <t>28547629</t>
  </si>
  <si>
    <t>991002216449702656</t>
  </si>
  <si>
    <t>2257640030002656</t>
  </si>
  <si>
    <t>9780813320069</t>
  </si>
  <si>
    <t>32285001876423</t>
  </si>
  <si>
    <t>893414958</t>
  </si>
  <si>
    <t>JX1974.73 .D84 1982</t>
  </si>
  <si>
    <t>0                      JX 1974730D  84          1982</t>
  </si>
  <si>
    <t>Controlling the bomb : nuclear proliferation in the 1980s / Lewis A. Dunn.</t>
  </si>
  <si>
    <t>Dunn, Lewis A.</t>
  </si>
  <si>
    <t>New Haven : Yale University Press, c1982.</t>
  </si>
  <si>
    <t>1992-04-13</t>
  </si>
  <si>
    <t>1990-04-25</t>
  </si>
  <si>
    <t>435921:eng</t>
  </si>
  <si>
    <t>7924996</t>
  </si>
  <si>
    <t>991005177659702656</t>
  </si>
  <si>
    <t>2270780320002656</t>
  </si>
  <si>
    <t>9780300028201</t>
  </si>
  <si>
    <t>32285000133370</t>
  </si>
  <si>
    <t>893795748</t>
  </si>
  <si>
    <t>JX1974.73 .K36</t>
  </si>
  <si>
    <t>0                      JX 1974730K  36</t>
  </si>
  <si>
    <t>International nuclear proliferation : multilateral diplomacy and regional aspects / by Ashok Kapur.</t>
  </si>
  <si>
    <t>Kapur, Ashok.</t>
  </si>
  <si>
    <t>New York : Praeger, 1979.</t>
  </si>
  <si>
    <t>1993-03-29</t>
  </si>
  <si>
    <t>1992-03-31</t>
  </si>
  <si>
    <t>291965034:eng</t>
  </si>
  <si>
    <t>4835259</t>
  </si>
  <si>
    <t>991004732089702656</t>
  </si>
  <si>
    <t>2265256400002656</t>
  </si>
  <si>
    <t>9780030463167</t>
  </si>
  <si>
    <t>32285001032092</t>
  </si>
  <si>
    <t>893782591</t>
  </si>
  <si>
    <t>JX1974.73 .N66</t>
  </si>
  <si>
    <t>0                      JX 1974730N  66</t>
  </si>
  <si>
    <t>Nonproliferation and U.S. foreign policy / [edited by] Joseph A. Yager.</t>
  </si>
  <si>
    <t>Washington, D.C. : Brookings Institution, c1980.</t>
  </si>
  <si>
    <t>573121516:eng</t>
  </si>
  <si>
    <t>6626674</t>
  </si>
  <si>
    <t>991005016479702656</t>
  </si>
  <si>
    <t>2256181400002656</t>
  </si>
  <si>
    <t>9780815796732</t>
  </si>
  <si>
    <t>32285001032084</t>
  </si>
  <si>
    <t>893319888</t>
  </si>
  <si>
    <t>JX1974.74.M627 F45 1997</t>
  </si>
  <si>
    <t>0                      JX 1974740M  627                F  45          1997</t>
  </si>
  <si>
    <t>Nuclear weapons and arms control in the Middle East / by Shai Feldman.</t>
  </si>
  <si>
    <t>Feldman, Shai, 1950-</t>
  </si>
  <si>
    <t>Cambridge, Mass. : MIT Press, c1997.</t>
  </si>
  <si>
    <t>CSIA studies in international security</t>
  </si>
  <si>
    <t>1997-02-10</t>
  </si>
  <si>
    <t>45478539:eng</t>
  </si>
  <si>
    <t>35784329</t>
  </si>
  <si>
    <t>991002728219702656</t>
  </si>
  <si>
    <t>2270432730002656</t>
  </si>
  <si>
    <t>9780262061896</t>
  </si>
  <si>
    <t>32285002430196</t>
  </si>
  <si>
    <t>893880329</t>
  </si>
  <si>
    <t>JX238 .A7 1975</t>
  </si>
  <si>
    <t>0                      JX 0238000A  7           1975</t>
  </si>
  <si>
    <t>The Alabama claims : American politics and Anglo-American relations, 1865-1872 / Adrian Cook.</t>
  </si>
  <si>
    <t>Cook, Adrian.</t>
  </si>
  <si>
    <t>Ithaca : Cornell University Press, 1975.</t>
  </si>
  <si>
    <t>2005-04-03</t>
  </si>
  <si>
    <t>1992-04-02</t>
  </si>
  <si>
    <t>860348543:eng</t>
  </si>
  <si>
    <t>1322101</t>
  </si>
  <si>
    <t>991003690699702656</t>
  </si>
  <si>
    <t>2254982400002656</t>
  </si>
  <si>
    <t>9780801408939</t>
  </si>
  <si>
    <t>32285001032746</t>
  </si>
  <si>
    <t>893525107</t>
  </si>
  <si>
    <t>JZ1242 .I579 2001</t>
  </si>
  <si>
    <t>0                      JZ 1242000I  579         2001</t>
  </si>
  <si>
    <t>International relations--still an American social science? : toward diversity in international thought / edited by Robert M.A. Crawford and Darryl S.L. Jarvis.</t>
  </si>
  <si>
    <t>Albany, NY : State University of New York Press, c2001.</t>
  </si>
  <si>
    <t>SUNY series in global politics</t>
  </si>
  <si>
    <t xml:space="preserve">JZ </t>
  </si>
  <si>
    <t>2002-01-07</t>
  </si>
  <si>
    <t>795253573:eng</t>
  </si>
  <si>
    <t>42976868</t>
  </si>
  <si>
    <t>991003689319702656</t>
  </si>
  <si>
    <t>2255505600002656</t>
  </si>
  <si>
    <t>9780791447031</t>
  </si>
  <si>
    <t>32285004445713</t>
  </si>
  <si>
    <t>893787626</t>
  </si>
  <si>
    <t>JZ1249 .J37 1999</t>
  </si>
  <si>
    <t>0                      JZ 1249000J  37          1999</t>
  </si>
  <si>
    <t>International relations and the challenge of postmodernism : defending the discipline / D.S.L. Jarvis.</t>
  </si>
  <si>
    <t>Jarvis, D. S. L. (Darryl S. L.), 1963-</t>
  </si>
  <si>
    <t>[Columbia] : University of South Carolina Press, c2000.</t>
  </si>
  <si>
    <t>2007-09-15</t>
  </si>
  <si>
    <t>2001-03-27</t>
  </si>
  <si>
    <t>20804554:eng</t>
  </si>
  <si>
    <t>40820863</t>
  </si>
  <si>
    <t>991003476519702656</t>
  </si>
  <si>
    <t>2272434770002656</t>
  </si>
  <si>
    <t>9781570033056</t>
  </si>
  <si>
    <t>32285004307806</t>
  </si>
  <si>
    <t>893246382</t>
  </si>
  <si>
    <t>JZ1251 .H57 2002</t>
  </si>
  <si>
    <t>0                      JZ 1251000H  57          2002</t>
  </si>
  <si>
    <t>Historical sociology of international relations / edited by Stephen Hobden and John M. Hobson.</t>
  </si>
  <si>
    <t>Cambridge, UK ; New York : Cambridge University Press, 2002.</t>
  </si>
  <si>
    <t>2009-08-28</t>
  </si>
  <si>
    <t>2002-12-02</t>
  </si>
  <si>
    <t>350475481:eng</t>
  </si>
  <si>
    <t>46791154</t>
  </si>
  <si>
    <t>991003916109702656</t>
  </si>
  <si>
    <t>2267722460002656</t>
  </si>
  <si>
    <t>9780521004763</t>
  </si>
  <si>
    <t>32285004666581</t>
  </si>
  <si>
    <t>893699583</t>
  </si>
  <si>
    <t>JZ1253.2 .S74 1998</t>
  </si>
  <si>
    <t>0                      JZ 1253200S  74          1998</t>
  </si>
  <si>
    <t>Gender and international relations : an introduction / Jill Steans.</t>
  </si>
  <si>
    <t>Steans, Jill.</t>
  </si>
  <si>
    <t>New Brunswick, N.J. : Rutgers University Press, 1998.</t>
  </si>
  <si>
    <t>2002-08-23</t>
  </si>
  <si>
    <t>1999-11-11</t>
  </si>
  <si>
    <t>620190:eng</t>
  </si>
  <si>
    <t>37806133</t>
  </si>
  <si>
    <t>991002867719702656</t>
  </si>
  <si>
    <t>2259206410002656</t>
  </si>
  <si>
    <t>9780813525129</t>
  </si>
  <si>
    <t>32285003620977</t>
  </si>
  <si>
    <t>893704614</t>
  </si>
  <si>
    <t>JZ1305 .B76 1997</t>
  </si>
  <si>
    <t>0                      JZ 1305000B  76          1997</t>
  </si>
  <si>
    <t>Understanding international relations / Chris Brown.</t>
  </si>
  <si>
    <t>Brown, Chris, 1945-</t>
  </si>
  <si>
    <t>New York : St. Martin's Press, 1997.</t>
  </si>
  <si>
    <t>2003-01-10</t>
  </si>
  <si>
    <t>1997-11-21</t>
  </si>
  <si>
    <t>609292:eng</t>
  </si>
  <si>
    <t>36041566</t>
  </si>
  <si>
    <t>991002746209702656</t>
  </si>
  <si>
    <t>2267305200002656</t>
  </si>
  <si>
    <t>9780312173371</t>
  </si>
  <si>
    <t>32285003272589</t>
  </si>
  <si>
    <t>893347875</t>
  </si>
  <si>
    <t>JZ1305 .C49 1999</t>
  </si>
  <si>
    <t>0                      JZ 1305000C  49          1999</t>
  </si>
  <si>
    <t>Globalization and international relations theory / Ian Clark.</t>
  </si>
  <si>
    <t>Clark, Ian, 1949-</t>
  </si>
  <si>
    <t>Oxford ; New York : Oxford University Press, 1999.</t>
  </si>
  <si>
    <t>2006-04-13</t>
  </si>
  <si>
    <t>2001-02-21</t>
  </si>
  <si>
    <t>989440:eng</t>
  </si>
  <si>
    <t>40940073</t>
  </si>
  <si>
    <t>991003364329702656</t>
  </si>
  <si>
    <t>2264340100002656</t>
  </si>
  <si>
    <t>9780198782094</t>
  </si>
  <si>
    <t>32285004296066</t>
  </si>
  <si>
    <t>893686486</t>
  </si>
  <si>
    <t>JZ1305 .H45 2004</t>
  </si>
  <si>
    <t>0                      JZ 1305000H  45          2004</t>
  </si>
  <si>
    <t>Global covenant : the social democratic alternative to the Washington Consensus / David Held.</t>
  </si>
  <si>
    <t>Held, David.</t>
  </si>
  <si>
    <t>Cambridge : Polity, 2004.</t>
  </si>
  <si>
    <t>2004</t>
  </si>
  <si>
    <t>2006-07-25</t>
  </si>
  <si>
    <t>148171942:eng</t>
  </si>
  <si>
    <t>55609899</t>
  </si>
  <si>
    <t>991004852309702656</t>
  </si>
  <si>
    <t>2271743570002656</t>
  </si>
  <si>
    <t>9780745633534</t>
  </si>
  <si>
    <t>32285005197933</t>
  </si>
  <si>
    <t>893507301</t>
  </si>
  <si>
    <t>JZ1305 .K93 2005</t>
  </si>
  <si>
    <t>0                      JZ 1305000K  93          2005</t>
  </si>
  <si>
    <t>Trust and mistrust in international relations / Andrew H. Kydd.</t>
  </si>
  <si>
    <t>Kydd, Andrew H., 1963-</t>
  </si>
  <si>
    <t>Princeton, N.J. : Princeton University Press, c2005.</t>
  </si>
  <si>
    <t>2005</t>
  </si>
  <si>
    <t>2006-05-15</t>
  </si>
  <si>
    <t>179490:eng</t>
  </si>
  <si>
    <t>56631975</t>
  </si>
  <si>
    <t>991004802839702656</t>
  </si>
  <si>
    <t>2265827440002656</t>
  </si>
  <si>
    <t>9780691121703</t>
  </si>
  <si>
    <t>32285005187272</t>
  </si>
  <si>
    <t>893776464</t>
  </si>
  <si>
    <t>JZ1308 .C664 2003</t>
  </si>
  <si>
    <t>0                      JZ 1308000C  664         2003</t>
  </si>
  <si>
    <t>The breaking of nations : order and chaos in the twenty-first century / Robert Cooper.</t>
  </si>
  <si>
    <t>Cooper, Robert, 1947-</t>
  </si>
  <si>
    <t>New York : Atlantic Monthly Press, 2003.</t>
  </si>
  <si>
    <t>2005-09-21</t>
  </si>
  <si>
    <t>2004-03-23</t>
  </si>
  <si>
    <t>729846:eng</t>
  </si>
  <si>
    <t>53252908</t>
  </si>
  <si>
    <t>991004245679702656</t>
  </si>
  <si>
    <t>2266675630002656</t>
  </si>
  <si>
    <t>9780871139139</t>
  </si>
  <si>
    <t>32285004895628</t>
  </si>
  <si>
    <t>893718679</t>
  </si>
  <si>
    <t>JZ1310 .U83 1971</t>
  </si>
  <si>
    <t>0                      JZ 1310000U  83          1971</t>
  </si>
  <si>
    <t>The use of force : international politics and foreign policy / edited by Robert J. Art and Kenneth N. Waltz.</t>
  </si>
  <si>
    <t>Boston : Little, Brown, [1971]</t>
  </si>
  <si>
    <t>2000-12-10</t>
  </si>
  <si>
    <t>3855609457:eng</t>
  </si>
  <si>
    <t>158417</t>
  </si>
  <si>
    <t>991000907929702656</t>
  </si>
  <si>
    <t>2256381870002656</t>
  </si>
  <si>
    <t>32285002348711</t>
  </si>
  <si>
    <t>893596016</t>
  </si>
  <si>
    <t>JZ1318 .G5589 2003</t>
  </si>
  <si>
    <t>0                      JZ 1318000G  5589        2003</t>
  </si>
  <si>
    <t>Global shaping and its alternatives / edited by Yildiz Atasoy and William K. Carroll.</t>
  </si>
  <si>
    <t>Bloomfield, CT : Kumarian Press, c2003.</t>
  </si>
  <si>
    <t>2004-07-09</t>
  </si>
  <si>
    <t>352369063:eng</t>
  </si>
  <si>
    <t>50643930</t>
  </si>
  <si>
    <t>991004174989702656</t>
  </si>
  <si>
    <t>2257513510002656</t>
  </si>
  <si>
    <t>9781565491588</t>
  </si>
  <si>
    <t>32285004845847</t>
  </si>
  <si>
    <t>893435976</t>
  </si>
  <si>
    <t>JZ1318 .H65 2005</t>
  </si>
  <si>
    <t>0                      JZ 1318000H  65          2005</t>
  </si>
  <si>
    <t>Making globalization / Robert J. Holton.</t>
  </si>
  <si>
    <t>Holton, R. J.</t>
  </si>
  <si>
    <t>Houndmills, Basingstoke,Hampshire; New York : Palgrave Macmillan, 2005.</t>
  </si>
  <si>
    <t>2006-10-11</t>
  </si>
  <si>
    <t>2006-07-26</t>
  </si>
  <si>
    <t>991396:eng</t>
  </si>
  <si>
    <t>60401678</t>
  </si>
  <si>
    <t>991004851369702656</t>
  </si>
  <si>
    <t>2263537870002656</t>
  </si>
  <si>
    <t>9781403948670</t>
  </si>
  <si>
    <t>32285005197743</t>
  </si>
  <si>
    <t>893807540</t>
  </si>
  <si>
    <t>JZ1318 .R58 2004</t>
  </si>
  <si>
    <t>0                      JZ 1318000R  58          2004</t>
  </si>
  <si>
    <t>The globalization of nothing / George Ritzer.</t>
  </si>
  <si>
    <t>Ritzer, George.</t>
  </si>
  <si>
    <t>Thousand Oaks, Calif. : Pine Forge Press, c2004.</t>
  </si>
  <si>
    <t>2007-12-02</t>
  </si>
  <si>
    <t>2003-12-10</t>
  </si>
  <si>
    <t>4663571712:eng</t>
  </si>
  <si>
    <t>51937128</t>
  </si>
  <si>
    <t>991004175119702656</t>
  </si>
  <si>
    <t>2268558820002656</t>
  </si>
  <si>
    <t>9780761988069</t>
  </si>
  <si>
    <t>32285004845953</t>
  </si>
  <si>
    <t>893894659</t>
  </si>
  <si>
    <t>JZ1318 .T36 2003</t>
  </si>
  <si>
    <t>0                      JZ 1318000T  36          2003</t>
  </si>
  <si>
    <t>Taming globalization : frontiers of governance / edited by David Held and Mathias Koenig-Archibugi.</t>
  </si>
  <si>
    <t>Cambridge, UK : Polity Press ; Malden, MA : Distributed in the USA by Blackwell Pub., 2003.</t>
  </si>
  <si>
    <t>2005-04-24</t>
  </si>
  <si>
    <t>2004-12-06</t>
  </si>
  <si>
    <t>839408161:eng</t>
  </si>
  <si>
    <t>50959067</t>
  </si>
  <si>
    <t>991004368619702656</t>
  </si>
  <si>
    <t>2255146740002656</t>
  </si>
  <si>
    <t>9780745630762</t>
  </si>
  <si>
    <t>32285005015010</t>
  </si>
  <si>
    <t>893436202</t>
  </si>
  <si>
    <t>JZ1480 .H37 1999</t>
  </si>
  <si>
    <t>0                      JZ 1480000H  37          1999</t>
  </si>
  <si>
    <t>Thinking about international ethics : moral theory and cases from American foreign policy / Frances V. Harbour.</t>
  </si>
  <si>
    <t>Harbour, Frances Vryling.</t>
  </si>
  <si>
    <t>Boulder, Colo. : Westview Press, 1999.</t>
  </si>
  <si>
    <t>2008-11-23</t>
  </si>
  <si>
    <t>1999-11-16</t>
  </si>
  <si>
    <t>799051378:eng</t>
  </si>
  <si>
    <t>39229766</t>
  </si>
  <si>
    <t>991002946289702656</t>
  </si>
  <si>
    <t>2259595330002656</t>
  </si>
  <si>
    <t>9780813328461</t>
  </si>
  <si>
    <t>32285003623427</t>
  </si>
  <si>
    <t>893428250</t>
  </si>
  <si>
    <t>JZ1480 .H66  2000</t>
  </si>
  <si>
    <t>0                      JZ 1480000H  66          2000</t>
  </si>
  <si>
    <t>Honey and vinegar : incentives, sanctions, and foreign policy / Richard N. Haass and Meghan L. O'Sullivan, editors.</t>
  </si>
  <si>
    <t>Washington, D.C. : Brookings Institution Press, c2000.</t>
  </si>
  <si>
    <t>2009-04-13</t>
  </si>
  <si>
    <t>2000-07-18</t>
  </si>
  <si>
    <t>865685312:eng</t>
  </si>
  <si>
    <t>43728891</t>
  </si>
  <si>
    <t>991003205629702656</t>
  </si>
  <si>
    <t>2270409050002656</t>
  </si>
  <si>
    <t>9780815733553</t>
  </si>
  <si>
    <t>32285003740452</t>
  </si>
  <si>
    <t>893323864</t>
  </si>
  <si>
    <t>JZ1480 .K87 2002</t>
  </si>
  <si>
    <t>0                      JZ 1480000K  87          2002</t>
  </si>
  <si>
    <t>The end of the American era : U.S. foreign policy and the geopolitics of the twenty-first century / Charles A. Kupchan.</t>
  </si>
  <si>
    <t>Kupchan, Charles.</t>
  </si>
  <si>
    <t>New York : A. Knopf, 2002.</t>
  </si>
  <si>
    <t>2003-07-16</t>
  </si>
  <si>
    <t>13400214:eng</t>
  </si>
  <si>
    <t>48942136</t>
  </si>
  <si>
    <t>991004078619702656</t>
  </si>
  <si>
    <t>2262077990002656</t>
  </si>
  <si>
    <t>9780375412158</t>
  </si>
  <si>
    <t>32285004756440</t>
  </si>
  <si>
    <t>893718438</t>
  </si>
  <si>
    <t>JZ1480 .U544 2003</t>
  </si>
  <si>
    <t>0                      JZ 1480000U  544         2003</t>
  </si>
  <si>
    <t>Unilateralism and U.S. foreign policy : international perspectives / edited by David M. Malone, Yuen Foong Khong.</t>
  </si>
  <si>
    <t>Boulder, Colo. : Lynne Rienner Publishers, 2003.</t>
  </si>
  <si>
    <t>2005-01-03</t>
  </si>
  <si>
    <t>2003-03-27</t>
  </si>
  <si>
    <t>795425537:eng</t>
  </si>
  <si>
    <t>50192471</t>
  </si>
  <si>
    <t>991004003759702656</t>
  </si>
  <si>
    <t>2259673060002656</t>
  </si>
  <si>
    <t>9781588261199</t>
  </si>
  <si>
    <t>32285004687249</t>
  </si>
  <si>
    <t>893705894</t>
  </si>
  <si>
    <t>JZ1480 .U553 2003</t>
  </si>
  <si>
    <t>0                      JZ 1480000U  553         2003</t>
  </si>
  <si>
    <t>The United States and coercive diplomacy / edited by Robert J. Art and Patrick M. Cronin.</t>
  </si>
  <si>
    <t>Washington, D.C. : United States Institute of Peace Press, 2003.</t>
  </si>
  <si>
    <t>2006-03-03</t>
  </si>
  <si>
    <t>2005-02-28</t>
  </si>
  <si>
    <t>350883785:eng</t>
  </si>
  <si>
    <t>51587461</t>
  </si>
  <si>
    <t>991004462119702656</t>
  </si>
  <si>
    <t>2256840090002656</t>
  </si>
  <si>
    <t>9781929223442</t>
  </si>
  <si>
    <t>32285005027601</t>
  </si>
  <si>
    <t>893624762</t>
  </si>
  <si>
    <t>JZ1480 .W35 2005</t>
  </si>
  <si>
    <t>0                      JZ 1480000W  35          2005</t>
  </si>
  <si>
    <t>Taming American power : the global response to U.S. primacy / Stephen M. Walt.</t>
  </si>
  <si>
    <t>Walt, Stephen M., 1955-</t>
  </si>
  <si>
    <t>New York : Norton, c2005.</t>
  </si>
  <si>
    <t>2006-01-20</t>
  </si>
  <si>
    <t>2005-10-05</t>
  </si>
  <si>
    <t>197179986:eng</t>
  </si>
  <si>
    <t>60189559</t>
  </si>
  <si>
    <t>991004652249702656</t>
  </si>
  <si>
    <t>2268444130002656</t>
  </si>
  <si>
    <t>9780393052039</t>
  </si>
  <si>
    <t>32285005087787</t>
  </si>
  <si>
    <t>893325605</t>
  </si>
  <si>
    <t>JZ1480.A57 C5 2001</t>
  </si>
  <si>
    <t>0                      JZ 1480000A  57                 C  5           2001</t>
  </si>
  <si>
    <t>The United States and Chile : coming in from the cold / David R. Mares and Francisco Rojas Aravena.</t>
  </si>
  <si>
    <t>Mares, David R.</t>
  </si>
  <si>
    <t>New York : Routledge, 2001.</t>
  </si>
  <si>
    <t>Contemporary inter-American relations</t>
  </si>
  <si>
    <t>2003-08-05</t>
  </si>
  <si>
    <t>1104698980:eng</t>
  </si>
  <si>
    <t>45708179</t>
  </si>
  <si>
    <t>991003691979702656</t>
  </si>
  <si>
    <t>2259308820002656</t>
  </si>
  <si>
    <t>9780415931243</t>
  </si>
  <si>
    <t>32285004445770</t>
  </si>
  <si>
    <t>893722066</t>
  </si>
  <si>
    <t>JZ4997.5.U55 B68 1999</t>
  </si>
  <si>
    <t>0                      JZ 4997500U  55                 B  68          1999</t>
  </si>
  <si>
    <t>Unvanquished : a U.S.-U.N. saga / Boutros Boutros-Ghali.</t>
  </si>
  <si>
    <t>Boutros-Ghali, Boutros, 1922-2016.</t>
  </si>
  <si>
    <t>New York : Random House, c1999.</t>
  </si>
  <si>
    <t>2005-08-30</t>
  </si>
  <si>
    <t>2002-01-29</t>
  </si>
  <si>
    <t>25891704:eng</t>
  </si>
  <si>
    <t>40135253</t>
  </si>
  <si>
    <t>991003689119702656</t>
  </si>
  <si>
    <t>2262593430002656</t>
  </si>
  <si>
    <t>9780375500503</t>
  </si>
  <si>
    <t>32285004451190</t>
  </si>
  <si>
    <t>893512245</t>
  </si>
  <si>
    <t>JZ5005 .M56 2000</t>
  </si>
  <si>
    <t>0                      JZ 5005000M  56          2000</t>
  </si>
  <si>
    <t>The United Nations in the post-Cold War era / Karen A. Mingst, Margaret P. Karns.</t>
  </si>
  <si>
    <t>Mingst, Karen A., 1947-</t>
  </si>
  <si>
    <t>Boulder : Westview Press, 2000.</t>
  </si>
  <si>
    <t>Dilemmas in world politics</t>
  </si>
  <si>
    <t>2003-06-12</t>
  </si>
  <si>
    <t>2001-10-17</t>
  </si>
  <si>
    <t>20527879:eng</t>
  </si>
  <si>
    <t>42454409</t>
  </si>
  <si>
    <t>991003632649702656</t>
  </si>
  <si>
    <t>2268364480002656</t>
  </si>
  <si>
    <t>9780813368474</t>
  </si>
  <si>
    <t>32285004397864</t>
  </si>
  <si>
    <t>893868646</t>
  </si>
  <si>
    <t>JZ5538 .K44 1999</t>
  </si>
  <si>
    <t>0                      JZ 5538000K  44          1999</t>
  </si>
  <si>
    <t>How nations make peace / Charles W. Kegley, Jr., Gregory A. Raymond.</t>
  </si>
  <si>
    <t>Kegley, Charles W.</t>
  </si>
  <si>
    <t>New York, NY : St. Martin's : Worth Publishers, c1999.</t>
  </si>
  <si>
    <t>2005-12-04</t>
  </si>
  <si>
    <t>2000-03-14</t>
  </si>
  <si>
    <t>25308058:eng</t>
  </si>
  <si>
    <t>40764985</t>
  </si>
  <si>
    <t>991003007089702656</t>
  </si>
  <si>
    <t>2270676530002656</t>
  </si>
  <si>
    <t>9780312166168</t>
  </si>
  <si>
    <t>32285003669529</t>
  </si>
  <si>
    <t>893251903</t>
  </si>
  <si>
    <t>Keep in Collection? (Yes/No)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</si>
</sst>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Protection="1"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1920B-CAF1-4EC5-81F3-3AF07EA5DEFD}">
  <dimension ref="A1:BD228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38.25" customHeight="1" x14ac:dyDescent="0.25"/>
  <cols>
    <col min="1" max="1" width="16.28515625" customWidth="1"/>
    <col min="2" max="2" width="20" customWidth="1"/>
    <col min="3" max="3" width="0" hidden="1" customWidth="1"/>
    <col min="4" max="4" width="50.5703125" customWidth="1"/>
    <col min="6" max="10" width="0" hidden="1" customWidth="1"/>
    <col min="11" max="11" width="17.42578125" customWidth="1"/>
    <col min="12" max="12" width="13.7109375" customWidth="1"/>
    <col min="14" max="17" width="0" hidden="1" customWidth="1"/>
    <col min="20" max="26" width="0" hidden="1" customWidth="1"/>
    <col min="28" max="28" width="0" hidden="1" customWidth="1"/>
    <col min="30" max="30" width="0" hidden="1" customWidth="1"/>
    <col min="31" max="31" width="14.5703125" customWidth="1"/>
    <col min="32" max="41" width="0" hidden="1" customWidth="1"/>
    <col min="42" max="44" width="11" customWidth="1"/>
    <col min="47" max="56" width="0" hidden="1" customWidth="1"/>
  </cols>
  <sheetData>
    <row r="1" spans="1:56" ht="48.75" customHeight="1" x14ac:dyDescent="0.25">
      <c r="A1" s="8" t="s">
        <v>3159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</row>
    <row r="2" spans="1:56" ht="38.25" customHeight="1" x14ac:dyDescent="0.25">
      <c r="A2" s="7" t="s">
        <v>58</v>
      </c>
      <c r="B2" s="2" t="s">
        <v>55</v>
      </c>
      <c r="C2" s="2" t="s">
        <v>56</v>
      </c>
      <c r="D2" s="2" t="s">
        <v>57</v>
      </c>
      <c r="F2" s="3" t="s">
        <v>58</v>
      </c>
      <c r="G2" s="3" t="s">
        <v>59</v>
      </c>
      <c r="H2" s="3" t="s">
        <v>58</v>
      </c>
      <c r="I2" s="3" t="s">
        <v>58</v>
      </c>
      <c r="J2" s="3" t="s">
        <v>60</v>
      </c>
      <c r="K2" s="2" t="s">
        <v>61</v>
      </c>
      <c r="L2" s="2" t="s">
        <v>62</v>
      </c>
      <c r="M2" s="3" t="s">
        <v>63</v>
      </c>
      <c r="O2" s="3" t="s">
        <v>64</v>
      </c>
      <c r="P2" s="3" t="s">
        <v>65</v>
      </c>
      <c r="R2" s="3" t="s">
        <v>66</v>
      </c>
      <c r="S2" s="4">
        <v>1</v>
      </c>
      <c r="T2" s="4">
        <v>1</v>
      </c>
      <c r="U2" s="5" t="s">
        <v>67</v>
      </c>
      <c r="V2" s="5" t="s">
        <v>67</v>
      </c>
      <c r="W2" s="5" t="s">
        <v>67</v>
      </c>
      <c r="X2" s="5" t="s">
        <v>67</v>
      </c>
      <c r="Y2" s="4">
        <v>392</v>
      </c>
      <c r="Z2" s="4">
        <v>338</v>
      </c>
      <c r="AA2" s="4">
        <v>420</v>
      </c>
      <c r="AB2" s="4">
        <v>3</v>
      </c>
      <c r="AC2" s="4">
        <v>3</v>
      </c>
      <c r="AD2" s="4">
        <v>22</v>
      </c>
      <c r="AE2" s="4">
        <v>25</v>
      </c>
      <c r="AF2" s="4">
        <v>9</v>
      </c>
      <c r="AG2" s="4">
        <v>9</v>
      </c>
      <c r="AH2" s="4">
        <v>6</v>
      </c>
      <c r="AI2" s="4">
        <v>7</v>
      </c>
      <c r="AJ2" s="4">
        <v>12</v>
      </c>
      <c r="AK2" s="4">
        <v>13</v>
      </c>
      <c r="AL2" s="4">
        <v>2</v>
      </c>
      <c r="AM2" s="4">
        <v>2</v>
      </c>
      <c r="AN2" s="4">
        <v>0</v>
      </c>
      <c r="AO2" s="4">
        <v>2</v>
      </c>
      <c r="AP2" s="3" t="s">
        <v>58</v>
      </c>
      <c r="AQ2" s="3" t="s">
        <v>68</v>
      </c>
      <c r="AR2" s="6" t="str">
        <f>HYPERLINK("http://catalog.hathitrust.org/Record/004125372","HathiTrust Record")</f>
        <v>HathiTrust Record</v>
      </c>
      <c r="AS2" s="6" t="str">
        <f>HYPERLINK("https://creighton-primo.hosted.exlibrisgroup.com/primo-explore/search?tab=default_tab&amp;search_scope=EVERYTHING&amp;vid=01CRU&amp;lang=en_US&amp;offset=0&amp;query=any,contains,991003622269702656","Catalog Record")</f>
        <v>Catalog Record</v>
      </c>
      <c r="AT2" s="6" t="str">
        <f>HYPERLINK("http://www.worldcat.org/oclc/44167600","WorldCat Record")</f>
        <v>WorldCat Record</v>
      </c>
      <c r="AU2" s="3" t="s">
        <v>69</v>
      </c>
      <c r="AV2" s="3" t="s">
        <v>70</v>
      </c>
      <c r="AW2" s="3" t="s">
        <v>71</v>
      </c>
      <c r="AX2" s="3" t="s">
        <v>71</v>
      </c>
      <c r="AY2" s="3" t="s">
        <v>72</v>
      </c>
      <c r="AZ2" s="3" t="s">
        <v>73</v>
      </c>
      <c r="BB2" s="3" t="s">
        <v>74</v>
      </c>
      <c r="BC2" s="3" t="s">
        <v>75</v>
      </c>
      <c r="BD2" s="3" t="s">
        <v>76</v>
      </c>
    </row>
    <row r="3" spans="1:56" ht="38.25" customHeight="1" x14ac:dyDescent="0.25">
      <c r="A3" s="7" t="s">
        <v>58</v>
      </c>
      <c r="B3" s="2" t="s">
        <v>77</v>
      </c>
      <c r="C3" s="2" t="s">
        <v>78</v>
      </c>
      <c r="D3" s="2" t="s">
        <v>79</v>
      </c>
      <c r="F3" s="3" t="s">
        <v>58</v>
      </c>
      <c r="G3" s="3" t="s">
        <v>59</v>
      </c>
      <c r="H3" s="3" t="s">
        <v>58</v>
      </c>
      <c r="I3" s="3" t="s">
        <v>58</v>
      </c>
      <c r="J3" s="3" t="s">
        <v>60</v>
      </c>
      <c r="K3" s="2" t="s">
        <v>80</v>
      </c>
      <c r="L3" s="2" t="s">
        <v>81</v>
      </c>
      <c r="M3" s="3" t="s">
        <v>82</v>
      </c>
      <c r="O3" s="3" t="s">
        <v>64</v>
      </c>
      <c r="P3" s="3" t="s">
        <v>83</v>
      </c>
      <c r="R3" s="3" t="s">
        <v>66</v>
      </c>
      <c r="S3" s="4">
        <v>1</v>
      </c>
      <c r="T3" s="4">
        <v>1</v>
      </c>
      <c r="U3" s="5" t="s">
        <v>84</v>
      </c>
      <c r="V3" s="5" t="s">
        <v>84</v>
      </c>
      <c r="W3" s="5" t="s">
        <v>84</v>
      </c>
      <c r="X3" s="5" t="s">
        <v>84</v>
      </c>
      <c r="Y3" s="4">
        <v>448</v>
      </c>
      <c r="Z3" s="4">
        <v>334</v>
      </c>
      <c r="AA3" s="4">
        <v>528</v>
      </c>
      <c r="AB3" s="4">
        <v>2</v>
      </c>
      <c r="AC3" s="4">
        <v>3</v>
      </c>
      <c r="AD3" s="4">
        <v>17</v>
      </c>
      <c r="AE3" s="4">
        <v>27</v>
      </c>
      <c r="AF3" s="4">
        <v>6</v>
      </c>
      <c r="AG3" s="4">
        <v>11</v>
      </c>
      <c r="AH3" s="4">
        <v>6</v>
      </c>
      <c r="AI3" s="4">
        <v>9</v>
      </c>
      <c r="AJ3" s="4">
        <v>9</v>
      </c>
      <c r="AK3" s="4">
        <v>13</v>
      </c>
      <c r="AL3" s="4">
        <v>1</v>
      </c>
      <c r="AM3" s="4">
        <v>2</v>
      </c>
      <c r="AN3" s="4">
        <v>0</v>
      </c>
      <c r="AO3" s="4">
        <v>0</v>
      </c>
      <c r="AP3" s="3" t="s">
        <v>58</v>
      </c>
      <c r="AQ3" s="3" t="s">
        <v>58</v>
      </c>
      <c r="AS3" s="6" t="str">
        <f>HYPERLINK("https://creighton-primo.hosted.exlibrisgroup.com/primo-explore/search?tab=default_tab&amp;search_scope=EVERYTHING&amp;vid=01CRU&amp;lang=en_US&amp;offset=0&amp;query=any,contains,991003884949702656","Catalog Record")</f>
        <v>Catalog Record</v>
      </c>
      <c r="AT3" s="6" t="str">
        <f>HYPERLINK("http://www.worldcat.org/oclc/45715862","WorldCat Record")</f>
        <v>WorldCat Record</v>
      </c>
      <c r="AU3" s="3" t="s">
        <v>85</v>
      </c>
      <c r="AV3" s="3" t="s">
        <v>86</v>
      </c>
      <c r="AW3" s="3" t="s">
        <v>87</v>
      </c>
      <c r="AX3" s="3" t="s">
        <v>87</v>
      </c>
      <c r="AY3" s="3" t="s">
        <v>88</v>
      </c>
      <c r="AZ3" s="3" t="s">
        <v>73</v>
      </c>
      <c r="BB3" s="3" t="s">
        <v>89</v>
      </c>
      <c r="BC3" s="3" t="s">
        <v>90</v>
      </c>
      <c r="BD3" s="3" t="s">
        <v>91</v>
      </c>
    </row>
    <row r="4" spans="1:56" ht="38.25" customHeight="1" x14ac:dyDescent="0.25">
      <c r="A4" s="7" t="s">
        <v>58</v>
      </c>
      <c r="B4" s="2" t="s">
        <v>92</v>
      </c>
      <c r="C4" s="2" t="s">
        <v>93</v>
      </c>
      <c r="D4" s="2" t="s">
        <v>94</v>
      </c>
      <c r="F4" s="3" t="s">
        <v>58</v>
      </c>
      <c r="G4" s="3" t="s">
        <v>59</v>
      </c>
      <c r="H4" s="3" t="s">
        <v>58</v>
      </c>
      <c r="I4" s="3" t="s">
        <v>58</v>
      </c>
      <c r="J4" s="3" t="s">
        <v>60</v>
      </c>
      <c r="K4" s="2" t="s">
        <v>95</v>
      </c>
      <c r="L4" s="2" t="s">
        <v>96</v>
      </c>
      <c r="M4" s="3" t="s">
        <v>97</v>
      </c>
      <c r="N4" s="2" t="s">
        <v>98</v>
      </c>
      <c r="O4" s="3" t="s">
        <v>64</v>
      </c>
      <c r="P4" s="3" t="s">
        <v>99</v>
      </c>
      <c r="R4" s="3" t="s">
        <v>66</v>
      </c>
      <c r="S4" s="4">
        <v>1</v>
      </c>
      <c r="T4" s="4">
        <v>1</v>
      </c>
      <c r="U4" s="5" t="s">
        <v>100</v>
      </c>
      <c r="V4" s="5" t="s">
        <v>100</v>
      </c>
      <c r="W4" s="5" t="s">
        <v>100</v>
      </c>
      <c r="X4" s="5" t="s">
        <v>100</v>
      </c>
      <c r="Y4" s="4">
        <v>223</v>
      </c>
      <c r="Z4" s="4">
        <v>138</v>
      </c>
      <c r="AA4" s="4">
        <v>166</v>
      </c>
      <c r="AB4" s="4">
        <v>2</v>
      </c>
      <c r="AC4" s="4">
        <v>2</v>
      </c>
      <c r="AD4" s="4">
        <v>7</v>
      </c>
      <c r="AE4" s="4">
        <v>7</v>
      </c>
      <c r="AF4" s="4">
        <v>0</v>
      </c>
      <c r="AG4" s="4">
        <v>0</v>
      </c>
      <c r="AH4" s="4">
        <v>3</v>
      </c>
      <c r="AI4" s="4">
        <v>3</v>
      </c>
      <c r="AJ4" s="4">
        <v>4</v>
      </c>
      <c r="AK4" s="4">
        <v>4</v>
      </c>
      <c r="AL4" s="4">
        <v>1</v>
      </c>
      <c r="AM4" s="4">
        <v>1</v>
      </c>
      <c r="AN4" s="4">
        <v>0</v>
      </c>
      <c r="AO4" s="4">
        <v>0</v>
      </c>
      <c r="AP4" s="3" t="s">
        <v>58</v>
      </c>
      <c r="AQ4" s="3" t="s">
        <v>58</v>
      </c>
      <c r="AS4" s="6" t="str">
        <f>HYPERLINK("https://creighton-primo.hosted.exlibrisgroup.com/primo-explore/search?tab=default_tab&amp;search_scope=EVERYTHING&amp;vid=01CRU&amp;lang=en_US&amp;offset=0&amp;query=any,contains,991004118339702656","Catalog Record")</f>
        <v>Catalog Record</v>
      </c>
      <c r="AT4" s="6" t="str">
        <f>HYPERLINK("http://www.worldcat.org/oclc/46969802","WorldCat Record")</f>
        <v>WorldCat Record</v>
      </c>
      <c r="AU4" s="3" t="s">
        <v>101</v>
      </c>
      <c r="AV4" s="3" t="s">
        <v>102</v>
      </c>
      <c r="AW4" s="3" t="s">
        <v>103</v>
      </c>
      <c r="AX4" s="3" t="s">
        <v>103</v>
      </c>
      <c r="AY4" s="3" t="s">
        <v>104</v>
      </c>
      <c r="AZ4" s="3" t="s">
        <v>73</v>
      </c>
      <c r="BB4" s="3" t="s">
        <v>105</v>
      </c>
      <c r="BC4" s="3" t="s">
        <v>106</v>
      </c>
      <c r="BD4" s="3" t="s">
        <v>107</v>
      </c>
    </row>
    <row r="5" spans="1:56" ht="38.25" customHeight="1" x14ac:dyDescent="0.25">
      <c r="A5" s="7" t="s">
        <v>58</v>
      </c>
      <c r="B5" s="2" t="s">
        <v>108</v>
      </c>
      <c r="C5" s="2" t="s">
        <v>109</v>
      </c>
      <c r="D5" s="2" t="s">
        <v>110</v>
      </c>
      <c r="F5" s="3" t="s">
        <v>58</v>
      </c>
      <c r="G5" s="3" t="s">
        <v>59</v>
      </c>
      <c r="H5" s="3" t="s">
        <v>58</v>
      </c>
      <c r="I5" s="3" t="s">
        <v>58</v>
      </c>
      <c r="J5" s="3" t="s">
        <v>60</v>
      </c>
      <c r="K5" s="2" t="s">
        <v>111</v>
      </c>
      <c r="L5" s="2" t="s">
        <v>112</v>
      </c>
      <c r="M5" s="3" t="s">
        <v>113</v>
      </c>
      <c r="O5" s="3" t="s">
        <v>64</v>
      </c>
      <c r="P5" s="3" t="s">
        <v>114</v>
      </c>
      <c r="R5" s="3" t="s">
        <v>66</v>
      </c>
      <c r="S5" s="4">
        <v>1</v>
      </c>
      <c r="T5" s="4">
        <v>1</v>
      </c>
      <c r="U5" s="5" t="s">
        <v>115</v>
      </c>
      <c r="V5" s="5" t="s">
        <v>115</v>
      </c>
      <c r="W5" s="5" t="s">
        <v>116</v>
      </c>
      <c r="X5" s="5" t="s">
        <v>116</v>
      </c>
      <c r="Y5" s="4">
        <v>214</v>
      </c>
      <c r="Z5" s="4">
        <v>129</v>
      </c>
      <c r="AA5" s="4">
        <v>222</v>
      </c>
      <c r="AB5" s="4">
        <v>2</v>
      </c>
      <c r="AC5" s="4">
        <v>2</v>
      </c>
      <c r="AD5" s="4">
        <v>4</v>
      </c>
      <c r="AE5" s="4">
        <v>10</v>
      </c>
      <c r="AF5" s="4">
        <v>1</v>
      </c>
      <c r="AG5" s="4">
        <v>3</v>
      </c>
      <c r="AH5" s="4">
        <v>0</v>
      </c>
      <c r="AI5" s="4">
        <v>2</v>
      </c>
      <c r="AJ5" s="4">
        <v>3</v>
      </c>
      <c r="AK5" s="4">
        <v>7</v>
      </c>
      <c r="AL5" s="4">
        <v>1</v>
      </c>
      <c r="AM5" s="4">
        <v>1</v>
      </c>
      <c r="AN5" s="4">
        <v>0</v>
      </c>
      <c r="AO5" s="4">
        <v>0</v>
      </c>
      <c r="AP5" s="3" t="s">
        <v>58</v>
      </c>
      <c r="AQ5" s="3" t="s">
        <v>68</v>
      </c>
      <c r="AR5" s="6" t="str">
        <f>HYPERLINK("http://catalog.hathitrust.org/Record/000145696","HathiTrust Record")</f>
        <v>HathiTrust Record</v>
      </c>
      <c r="AS5" s="6" t="str">
        <f>HYPERLINK("https://creighton-primo.hosted.exlibrisgroup.com/primo-explore/search?tab=default_tab&amp;search_scope=EVERYTHING&amp;vid=01CRU&amp;lang=en_US&amp;offset=0&amp;query=any,contains,991005172079702656","Catalog Record")</f>
        <v>Catalog Record</v>
      </c>
      <c r="AT5" s="6" t="str">
        <f>HYPERLINK("http://www.worldcat.org/oclc/7875718","WorldCat Record")</f>
        <v>WorldCat Record</v>
      </c>
      <c r="AU5" s="3" t="s">
        <v>117</v>
      </c>
      <c r="AV5" s="3" t="s">
        <v>118</v>
      </c>
      <c r="AW5" s="3" t="s">
        <v>119</v>
      </c>
      <c r="AX5" s="3" t="s">
        <v>119</v>
      </c>
      <c r="AY5" s="3" t="s">
        <v>120</v>
      </c>
      <c r="AZ5" s="3" t="s">
        <v>73</v>
      </c>
      <c r="BB5" s="3" t="s">
        <v>121</v>
      </c>
      <c r="BC5" s="3" t="s">
        <v>122</v>
      </c>
      <c r="BD5" s="3" t="s">
        <v>123</v>
      </c>
    </row>
    <row r="6" spans="1:56" ht="38.25" customHeight="1" x14ac:dyDescent="0.25">
      <c r="A6" s="7" t="s">
        <v>58</v>
      </c>
      <c r="B6" s="2" t="s">
        <v>124</v>
      </c>
      <c r="C6" s="2" t="s">
        <v>125</v>
      </c>
      <c r="D6" s="2" t="s">
        <v>126</v>
      </c>
      <c r="F6" s="3" t="s">
        <v>58</v>
      </c>
      <c r="G6" s="3" t="s">
        <v>59</v>
      </c>
      <c r="H6" s="3" t="s">
        <v>58</v>
      </c>
      <c r="I6" s="3" t="s">
        <v>58</v>
      </c>
      <c r="J6" s="3" t="s">
        <v>60</v>
      </c>
      <c r="K6" s="2" t="s">
        <v>127</v>
      </c>
      <c r="L6" s="2" t="s">
        <v>128</v>
      </c>
      <c r="M6" s="3" t="s">
        <v>129</v>
      </c>
      <c r="O6" s="3" t="s">
        <v>64</v>
      </c>
      <c r="P6" s="3" t="s">
        <v>130</v>
      </c>
      <c r="Q6" s="2" t="s">
        <v>131</v>
      </c>
      <c r="R6" s="3" t="s">
        <v>66</v>
      </c>
      <c r="S6" s="4">
        <v>1</v>
      </c>
      <c r="T6" s="4">
        <v>1</v>
      </c>
      <c r="U6" s="5" t="s">
        <v>132</v>
      </c>
      <c r="V6" s="5" t="s">
        <v>132</v>
      </c>
      <c r="W6" s="5" t="s">
        <v>133</v>
      </c>
      <c r="X6" s="5" t="s">
        <v>133</v>
      </c>
      <c r="Y6" s="4">
        <v>344</v>
      </c>
      <c r="Z6" s="4">
        <v>231</v>
      </c>
      <c r="AA6" s="4">
        <v>252</v>
      </c>
      <c r="AB6" s="4">
        <v>2</v>
      </c>
      <c r="AC6" s="4">
        <v>2</v>
      </c>
      <c r="AD6" s="4">
        <v>16</v>
      </c>
      <c r="AE6" s="4">
        <v>16</v>
      </c>
      <c r="AF6" s="4">
        <v>6</v>
      </c>
      <c r="AG6" s="4">
        <v>6</v>
      </c>
      <c r="AH6" s="4">
        <v>4</v>
      </c>
      <c r="AI6" s="4">
        <v>4</v>
      </c>
      <c r="AJ6" s="4">
        <v>8</v>
      </c>
      <c r="AK6" s="4">
        <v>8</v>
      </c>
      <c r="AL6" s="4">
        <v>1</v>
      </c>
      <c r="AM6" s="4">
        <v>1</v>
      </c>
      <c r="AN6" s="4">
        <v>2</v>
      </c>
      <c r="AO6" s="4">
        <v>2</v>
      </c>
      <c r="AP6" s="3" t="s">
        <v>58</v>
      </c>
      <c r="AQ6" s="3" t="s">
        <v>68</v>
      </c>
      <c r="AR6" s="6" t="str">
        <f>HYPERLINK("http://catalog.hathitrust.org/Record/003142118","HathiTrust Record")</f>
        <v>HathiTrust Record</v>
      </c>
      <c r="AS6" s="6" t="str">
        <f>HYPERLINK("https://creighton-primo.hosted.exlibrisgroup.com/primo-explore/search?tab=default_tab&amp;search_scope=EVERYTHING&amp;vid=01CRU&amp;lang=en_US&amp;offset=0&amp;query=any,contains,991002688579702656","Catalog Record")</f>
        <v>Catalog Record</v>
      </c>
      <c r="AT6" s="6" t="str">
        <f>HYPERLINK("http://www.worldcat.org/oclc/35121781","WorldCat Record")</f>
        <v>WorldCat Record</v>
      </c>
      <c r="AU6" s="3" t="s">
        <v>134</v>
      </c>
      <c r="AV6" s="3" t="s">
        <v>135</v>
      </c>
      <c r="AW6" s="3" t="s">
        <v>136</v>
      </c>
      <c r="AX6" s="3" t="s">
        <v>136</v>
      </c>
      <c r="AY6" s="3" t="s">
        <v>137</v>
      </c>
      <c r="AZ6" s="3" t="s">
        <v>73</v>
      </c>
      <c r="BB6" s="3" t="s">
        <v>138</v>
      </c>
      <c r="BC6" s="3" t="s">
        <v>139</v>
      </c>
      <c r="BD6" s="3" t="s">
        <v>140</v>
      </c>
    </row>
    <row r="7" spans="1:56" ht="38.25" customHeight="1" x14ac:dyDescent="0.25">
      <c r="A7" s="7" t="s">
        <v>58</v>
      </c>
      <c r="B7" s="2" t="s">
        <v>141</v>
      </c>
      <c r="C7" s="2" t="s">
        <v>142</v>
      </c>
      <c r="D7" s="2" t="s">
        <v>143</v>
      </c>
      <c r="F7" s="3" t="s">
        <v>58</v>
      </c>
      <c r="G7" s="3" t="s">
        <v>59</v>
      </c>
      <c r="H7" s="3" t="s">
        <v>58</v>
      </c>
      <c r="I7" s="3" t="s">
        <v>58</v>
      </c>
      <c r="J7" s="3" t="s">
        <v>60</v>
      </c>
      <c r="K7" s="2" t="s">
        <v>144</v>
      </c>
      <c r="L7" s="2" t="s">
        <v>145</v>
      </c>
      <c r="M7" s="3" t="s">
        <v>146</v>
      </c>
      <c r="O7" s="3" t="s">
        <v>64</v>
      </c>
      <c r="P7" s="3" t="s">
        <v>147</v>
      </c>
      <c r="Q7" s="2" t="s">
        <v>148</v>
      </c>
      <c r="R7" s="3" t="s">
        <v>66</v>
      </c>
      <c r="S7" s="4">
        <v>1</v>
      </c>
      <c r="T7" s="4">
        <v>1</v>
      </c>
      <c r="U7" s="5" t="s">
        <v>115</v>
      </c>
      <c r="V7" s="5" t="s">
        <v>115</v>
      </c>
      <c r="W7" s="5" t="s">
        <v>116</v>
      </c>
      <c r="X7" s="5" t="s">
        <v>116</v>
      </c>
      <c r="Y7" s="4">
        <v>248</v>
      </c>
      <c r="Z7" s="4">
        <v>190</v>
      </c>
      <c r="AA7" s="4">
        <v>196</v>
      </c>
      <c r="AB7" s="4">
        <v>2</v>
      </c>
      <c r="AC7" s="4">
        <v>2</v>
      </c>
      <c r="AD7" s="4">
        <v>9</v>
      </c>
      <c r="AE7" s="4">
        <v>9</v>
      </c>
      <c r="AF7" s="4">
        <v>3</v>
      </c>
      <c r="AG7" s="4">
        <v>3</v>
      </c>
      <c r="AH7" s="4">
        <v>2</v>
      </c>
      <c r="AI7" s="4">
        <v>2</v>
      </c>
      <c r="AJ7" s="4">
        <v>6</v>
      </c>
      <c r="AK7" s="4">
        <v>6</v>
      </c>
      <c r="AL7" s="4">
        <v>1</v>
      </c>
      <c r="AM7" s="4">
        <v>1</v>
      </c>
      <c r="AN7" s="4">
        <v>0</v>
      </c>
      <c r="AO7" s="4">
        <v>0</v>
      </c>
      <c r="AP7" s="3" t="s">
        <v>58</v>
      </c>
      <c r="AQ7" s="3" t="s">
        <v>68</v>
      </c>
      <c r="AR7" s="6" t="str">
        <f>HYPERLINK("http://catalog.hathitrust.org/Record/000084328","HathiTrust Record")</f>
        <v>HathiTrust Record</v>
      </c>
      <c r="AS7" s="6" t="str">
        <f>HYPERLINK("https://creighton-primo.hosted.exlibrisgroup.com/primo-explore/search?tab=default_tab&amp;search_scope=EVERYTHING&amp;vid=01CRU&amp;lang=en_US&amp;offset=0&amp;query=any,contains,991005070229702656","Catalog Record")</f>
        <v>Catalog Record</v>
      </c>
      <c r="AT7" s="6" t="str">
        <f>HYPERLINK("http://www.worldcat.org/oclc/7007146","WorldCat Record")</f>
        <v>WorldCat Record</v>
      </c>
      <c r="AU7" s="3" t="s">
        <v>149</v>
      </c>
      <c r="AV7" s="3" t="s">
        <v>150</v>
      </c>
      <c r="AW7" s="3" t="s">
        <v>151</v>
      </c>
      <c r="AX7" s="3" t="s">
        <v>151</v>
      </c>
      <c r="AY7" s="3" t="s">
        <v>152</v>
      </c>
      <c r="AZ7" s="3" t="s">
        <v>73</v>
      </c>
      <c r="BB7" s="3" t="s">
        <v>153</v>
      </c>
      <c r="BC7" s="3" t="s">
        <v>154</v>
      </c>
      <c r="BD7" s="3" t="s">
        <v>155</v>
      </c>
    </row>
    <row r="8" spans="1:56" ht="38.25" customHeight="1" x14ac:dyDescent="0.25">
      <c r="A8" s="7" t="s">
        <v>58</v>
      </c>
      <c r="B8" s="2" t="s">
        <v>156</v>
      </c>
      <c r="C8" s="2" t="s">
        <v>157</v>
      </c>
      <c r="D8" s="2" t="s">
        <v>158</v>
      </c>
      <c r="F8" s="3" t="s">
        <v>58</v>
      </c>
      <c r="G8" s="3" t="s">
        <v>59</v>
      </c>
      <c r="H8" s="3" t="s">
        <v>58</v>
      </c>
      <c r="I8" s="3" t="s">
        <v>58</v>
      </c>
      <c r="J8" s="3" t="s">
        <v>60</v>
      </c>
      <c r="K8" s="2" t="s">
        <v>159</v>
      </c>
      <c r="L8" s="2" t="s">
        <v>160</v>
      </c>
      <c r="M8" s="3" t="s">
        <v>161</v>
      </c>
      <c r="O8" s="3" t="s">
        <v>64</v>
      </c>
      <c r="P8" s="3" t="s">
        <v>162</v>
      </c>
      <c r="R8" s="3" t="s">
        <v>66</v>
      </c>
      <c r="S8" s="4">
        <v>1</v>
      </c>
      <c r="T8" s="4">
        <v>1</v>
      </c>
      <c r="U8" s="5" t="s">
        <v>163</v>
      </c>
      <c r="V8" s="5" t="s">
        <v>163</v>
      </c>
      <c r="W8" s="5" t="s">
        <v>164</v>
      </c>
      <c r="X8" s="5" t="s">
        <v>164</v>
      </c>
      <c r="Y8" s="4">
        <v>428</v>
      </c>
      <c r="Z8" s="4">
        <v>340</v>
      </c>
      <c r="AA8" s="4">
        <v>415</v>
      </c>
      <c r="AB8" s="4">
        <v>4</v>
      </c>
      <c r="AC8" s="4">
        <v>5</v>
      </c>
      <c r="AD8" s="4">
        <v>27</v>
      </c>
      <c r="AE8" s="4">
        <v>28</v>
      </c>
      <c r="AF8" s="4">
        <v>8</v>
      </c>
      <c r="AG8" s="4">
        <v>8</v>
      </c>
      <c r="AH8" s="4">
        <v>7</v>
      </c>
      <c r="AI8" s="4">
        <v>7</v>
      </c>
      <c r="AJ8" s="4">
        <v>14</v>
      </c>
      <c r="AK8" s="4">
        <v>14</v>
      </c>
      <c r="AL8" s="4">
        <v>2</v>
      </c>
      <c r="AM8" s="4">
        <v>3</v>
      </c>
      <c r="AN8" s="4">
        <v>3</v>
      </c>
      <c r="AO8" s="4">
        <v>3</v>
      </c>
      <c r="AP8" s="3" t="s">
        <v>58</v>
      </c>
      <c r="AQ8" s="3" t="s">
        <v>58</v>
      </c>
      <c r="AS8" s="6" t="str">
        <f>HYPERLINK("https://creighton-primo.hosted.exlibrisgroup.com/primo-explore/search?tab=default_tab&amp;search_scope=EVERYTHING&amp;vid=01CRU&amp;lang=en_US&amp;offset=0&amp;query=any,contains,991000401219702656","Catalog Record")</f>
        <v>Catalog Record</v>
      </c>
      <c r="AT8" s="6" t="str">
        <f>HYPERLINK("http://www.worldcat.org/oclc/10608485","WorldCat Record")</f>
        <v>WorldCat Record</v>
      </c>
      <c r="AU8" s="3" t="s">
        <v>165</v>
      </c>
      <c r="AV8" s="3" t="s">
        <v>166</v>
      </c>
      <c r="AW8" s="3" t="s">
        <v>167</v>
      </c>
      <c r="AX8" s="3" t="s">
        <v>167</v>
      </c>
      <c r="AY8" s="3" t="s">
        <v>168</v>
      </c>
      <c r="AZ8" s="3" t="s">
        <v>73</v>
      </c>
      <c r="BB8" s="3" t="s">
        <v>169</v>
      </c>
      <c r="BC8" s="3" t="s">
        <v>170</v>
      </c>
      <c r="BD8" s="3" t="s">
        <v>171</v>
      </c>
    </row>
    <row r="9" spans="1:56" ht="38.25" customHeight="1" x14ac:dyDescent="0.25">
      <c r="A9" s="7" t="s">
        <v>58</v>
      </c>
      <c r="B9" s="2" t="s">
        <v>172</v>
      </c>
      <c r="C9" s="2" t="s">
        <v>173</v>
      </c>
      <c r="D9" s="2" t="s">
        <v>174</v>
      </c>
      <c r="F9" s="3" t="s">
        <v>58</v>
      </c>
      <c r="G9" s="3" t="s">
        <v>59</v>
      </c>
      <c r="H9" s="3" t="s">
        <v>58</v>
      </c>
      <c r="I9" s="3" t="s">
        <v>58</v>
      </c>
      <c r="J9" s="3" t="s">
        <v>60</v>
      </c>
      <c r="K9" s="2" t="s">
        <v>175</v>
      </c>
      <c r="L9" s="2" t="s">
        <v>176</v>
      </c>
      <c r="M9" s="3" t="s">
        <v>177</v>
      </c>
      <c r="O9" s="3" t="s">
        <v>64</v>
      </c>
      <c r="P9" s="3" t="s">
        <v>65</v>
      </c>
      <c r="R9" s="3" t="s">
        <v>66</v>
      </c>
      <c r="S9" s="4">
        <v>1</v>
      </c>
      <c r="T9" s="4">
        <v>1</v>
      </c>
      <c r="U9" s="5" t="s">
        <v>178</v>
      </c>
      <c r="V9" s="5" t="s">
        <v>178</v>
      </c>
      <c r="W9" s="5" t="s">
        <v>179</v>
      </c>
      <c r="X9" s="5" t="s">
        <v>179</v>
      </c>
      <c r="Y9" s="4">
        <v>444</v>
      </c>
      <c r="Z9" s="4">
        <v>325</v>
      </c>
      <c r="AA9" s="4">
        <v>332</v>
      </c>
      <c r="AB9" s="4">
        <v>3</v>
      </c>
      <c r="AC9" s="4">
        <v>3</v>
      </c>
      <c r="AD9" s="4">
        <v>17</v>
      </c>
      <c r="AE9" s="4">
        <v>17</v>
      </c>
      <c r="AF9" s="4">
        <v>4</v>
      </c>
      <c r="AG9" s="4">
        <v>4</v>
      </c>
      <c r="AH9" s="4">
        <v>6</v>
      </c>
      <c r="AI9" s="4">
        <v>6</v>
      </c>
      <c r="AJ9" s="4">
        <v>9</v>
      </c>
      <c r="AK9" s="4">
        <v>9</v>
      </c>
      <c r="AL9" s="4">
        <v>2</v>
      </c>
      <c r="AM9" s="4">
        <v>2</v>
      </c>
      <c r="AN9" s="4">
        <v>0</v>
      </c>
      <c r="AO9" s="4">
        <v>0</v>
      </c>
      <c r="AP9" s="3" t="s">
        <v>58</v>
      </c>
      <c r="AQ9" s="3" t="s">
        <v>68</v>
      </c>
      <c r="AR9" s="6" t="str">
        <f>HYPERLINK("http://catalog.hathitrust.org/Record/002231766","HathiTrust Record")</f>
        <v>HathiTrust Record</v>
      </c>
      <c r="AS9" s="6" t="str">
        <f>HYPERLINK("https://creighton-primo.hosted.exlibrisgroup.com/primo-explore/search?tab=default_tab&amp;search_scope=EVERYTHING&amp;vid=01CRU&amp;lang=en_US&amp;offset=0&amp;query=any,contains,991001633239702656","Catalog Record")</f>
        <v>Catalog Record</v>
      </c>
      <c r="AT9" s="6" t="str">
        <f>HYPERLINK("http://www.worldcat.org/oclc/20932778","WorldCat Record")</f>
        <v>WorldCat Record</v>
      </c>
      <c r="AU9" s="3" t="s">
        <v>180</v>
      </c>
      <c r="AV9" s="3" t="s">
        <v>181</v>
      </c>
      <c r="AW9" s="3" t="s">
        <v>182</v>
      </c>
      <c r="AX9" s="3" t="s">
        <v>182</v>
      </c>
      <c r="AY9" s="3" t="s">
        <v>183</v>
      </c>
      <c r="AZ9" s="3" t="s">
        <v>73</v>
      </c>
      <c r="BB9" s="3" t="s">
        <v>184</v>
      </c>
      <c r="BC9" s="3" t="s">
        <v>185</v>
      </c>
      <c r="BD9" s="3" t="s">
        <v>186</v>
      </c>
    </row>
    <row r="10" spans="1:56" ht="38.25" customHeight="1" x14ac:dyDescent="0.25">
      <c r="A10" s="7" t="s">
        <v>58</v>
      </c>
      <c r="B10" s="2" t="s">
        <v>187</v>
      </c>
      <c r="C10" s="2" t="s">
        <v>188</v>
      </c>
      <c r="D10" s="2" t="s">
        <v>189</v>
      </c>
      <c r="F10" s="3" t="s">
        <v>58</v>
      </c>
      <c r="G10" s="3" t="s">
        <v>59</v>
      </c>
      <c r="H10" s="3" t="s">
        <v>58</v>
      </c>
      <c r="I10" s="3" t="s">
        <v>58</v>
      </c>
      <c r="J10" s="3" t="s">
        <v>60</v>
      </c>
      <c r="K10" s="2" t="s">
        <v>190</v>
      </c>
      <c r="L10" s="2" t="s">
        <v>191</v>
      </c>
      <c r="M10" s="3" t="s">
        <v>192</v>
      </c>
      <c r="O10" s="3" t="s">
        <v>64</v>
      </c>
      <c r="P10" s="3" t="s">
        <v>83</v>
      </c>
      <c r="R10" s="3" t="s">
        <v>66</v>
      </c>
      <c r="S10" s="4">
        <v>1</v>
      </c>
      <c r="T10" s="4">
        <v>1</v>
      </c>
      <c r="U10" s="5" t="s">
        <v>193</v>
      </c>
      <c r="V10" s="5" t="s">
        <v>193</v>
      </c>
      <c r="W10" s="5" t="s">
        <v>164</v>
      </c>
      <c r="X10" s="5" t="s">
        <v>164</v>
      </c>
      <c r="Y10" s="4">
        <v>278</v>
      </c>
      <c r="Z10" s="4">
        <v>211</v>
      </c>
      <c r="AA10" s="4">
        <v>230</v>
      </c>
      <c r="AB10" s="4">
        <v>2</v>
      </c>
      <c r="AC10" s="4">
        <v>2</v>
      </c>
      <c r="AD10" s="4">
        <v>11</v>
      </c>
      <c r="AE10" s="4">
        <v>11</v>
      </c>
      <c r="AF10" s="4">
        <v>1</v>
      </c>
      <c r="AG10" s="4">
        <v>1</v>
      </c>
      <c r="AH10" s="4">
        <v>3</v>
      </c>
      <c r="AI10" s="4">
        <v>3</v>
      </c>
      <c r="AJ10" s="4">
        <v>8</v>
      </c>
      <c r="AK10" s="4">
        <v>8</v>
      </c>
      <c r="AL10" s="4">
        <v>1</v>
      </c>
      <c r="AM10" s="4">
        <v>1</v>
      </c>
      <c r="AN10" s="4">
        <v>0</v>
      </c>
      <c r="AO10" s="4">
        <v>0</v>
      </c>
      <c r="AP10" s="3" t="s">
        <v>58</v>
      </c>
      <c r="AQ10" s="3" t="s">
        <v>58</v>
      </c>
      <c r="AS10" s="6" t="str">
        <f>HYPERLINK("https://creighton-primo.hosted.exlibrisgroup.com/primo-explore/search?tab=default_tab&amp;search_scope=EVERYTHING&amp;vid=01CRU&amp;lang=en_US&amp;offset=0&amp;query=any,contains,991004738969702656","Catalog Record")</f>
        <v>Catalog Record</v>
      </c>
      <c r="AT10" s="6" t="str">
        <f>HYPERLINK("http://www.worldcat.org/oclc/4871784","WorldCat Record")</f>
        <v>WorldCat Record</v>
      </c>
      <c r="AU10" s="3" t="s">
        <v>194</v>
      </c>
      <c r="AV10" s="3" t="s">
        <v>195</v>
      </c>
      <c r="AW10" s="3" t="s">
        <v>196</v>
      </c>
      <c r="AX10" s="3" t="s">
        <v>196</v>
      </c>
      <c r="AY10" s="3" t="s">
        <v>197</v>
      </c>
      <c r="AZ10" s="3" t="s">
        <v>73</v>
      </c>
      <c r="BB10" s="3" t="s">
        <v>198</v>
      </c>
      <c r="BC10" s="3" t="s">
        <v>199</v>
      </c>
      <c r="BD10" s="3" t="s">
        <v>200</v>
      </c>
    </row>
    <row r="11" spans="1:56" ht="38.25" customHeight="1" x14ac:dyDescent="0.25">
      <c r="A11" s="7" t="s">
        <v>58</v>
      </c>
      <c r="B11" s="2" t="s">
        <v>201</v>
      </c>
      <c r="C11" s="2" t="s">
        <v>202</v>
      </c>
      <c r="D11" s="2" t="s">
        <v>203</v>
      </c>
      <c r="F11" s="3" t="s">
        <v>58</v>
      </c>
      <c r="G11" s="3" t="s">
        <v>59</v>
      </c>
      <c r="H11" s="3" t="s">
        <v>58</v>
      </c>
      <c r="I11" s="3" t="s">
        <v>58</v>
      </c>
      <c r="J11" s="3" t="s">
        <v>60</v>
      </c>
      <c r="K11" s="2" t="s">
        <v>204</v>
      </c>
      <c r="L11" s="2" t="s">
        <v>205</v>
      </c>
      <c r="M11" s="3" t="s">
        <v>206</v>
      </c>
      <c r="O11" s="3" t="s">
        <v>64</v>
      </c>
      <c r="P11" s="3" t="s">
        <v>65</v>
      </c>
      <c r="Q11" s="2" t="s">
        <v>207</v>
      </c>
      <c r="R11" s="3" t="s">
        <v>66</v>
      </c>
      <c r="S11" s="4">
        <v>1</v>
      </c>
      <c r="T11" s="4">
        <v>1</v>
      </c>
      <c r="U11" s="5" t="s">
        <v>208</v>
      </c>
      <c r="V11" s="5" t="s">
        <v>208</v>
      </c>
      <c r="W11" s="5" t="s">
        <v>164</v>
      </c>
      <c r="X11" s="5" t="s">
        <v>164</v>
      </c>
      <c r="Y11" s="4">
        <v>670</v>
      </c>
      <c r="Z11" s="4">
        <v>518</v>
      </c>
      <c r="AA11" s="4">
        <v>528</v>
      </c>
      <c r="AB11" s="4">
        <v>5</v>
      </c>
      <c r="AC11" s="4">
        <v>5</v>
      </c>
      <c r="AD11" s="4">
        <v>26</v>
      </c>
      <c r="AE11" s="4">
        <v>26</v>
      </c>
      <c r="AF11" s="4">
        <v>5</v>
      </c>
      <c r="AG11" s="4">
        <v>5</v>
      </c>
      <c r="AH11" s="4">
        <v>7</v>
      </c>
      <c r="AI11" s="4">
        <v>7</v>
      </c>
      <c r="AJ11" s="4">
        <v>13</v>
      </c>
      <c r="AK11" s="4">
        <v>13</v>
      </c>
      <c r="AL11" s="4">
        <v>4</v>
      </c>
      <c r="AM11" s="4">
        <v>4</v>
      </c>
      <c r="AN11" s="4">
        <v>2</v>
      </c>
      <c r="AO11" s="4">
        <v>2</v>
      </c>
      <c r="AP11" s="3" t="s">
        <v>58</v>
      </c>
      <c r="AQ11" s="3" t="s">
        <v>68</v>
      </c>
      <c r="AR11" s="6" t="str">
        <f>HYPERLINK("http://catalog.hathitrust.org/Record/001139124","HathiTrust Record")</f>
        <v>HathiTrust Record</v>
      </c>
      <c r="AS11" s="6" t="str">
        <f>HYPERLINK("https://creighton-primo.hosted.exlibrisgroup.com/primo-explore/search?tab=default_tab&amp;search_scope=EVERYTHING&amp;vid=01CRU&amp;lang=en_US&amp;offset=0&amp;query=any,contains,991002611709702656","Catalog Record")</f>
        <v>Catalog Record</v>
      </c>
      <c r="AT11" s="6" t="str">
        <f>HYPERLINK("http://www.worldcat.org/oclc/378007","WorldCat Record")</f>
        <v>WorldCat Record</v>
      </c>
      <c r="AU11" s="3" t="s">
        <v>209</v>
      </c>
      <c r="AV11" s="3" t="s">
        <v>210</v>
      </c>
      <c r="AW11" s="3" t="s">
        <v>211</v>
      </c>
      <c r="AX11" s="3" t="s">
        <v>211</v>
      </c>
      <c r="AY11" s="3" t="s">
        <v>212</v>
      </c>
      <c r="AZ11" s="3" t="s">
        <v>73</v>
      </c>
      <c r="BC11" s="3" t="s">
        <v>213</v>
      </c>
      <c r="BD11" s="3" t="s">
        <v>214</v>
      </c>
    </row>
    <row r="12" spans="1:56" ht="38.25" customHeight="1" x14ac:dyDescent="0.25">
      <c r="A12" s="7" t="s">
        <v>58</v>
      </c>
      <c r="B12" s="2" t="s">
        <v>215</v>
      </c>
      <c r="C12" s="2" t="s">
        <v>216</v>
      </c>
      <c r="D12" s="2" t="s">
        <v>217</v>
      </c>
      <c r="F12" s="3" t="s">
        <v>58</v>
      </c>
      <c r="G12" s="3" t="s">
        <v>59</v>
      </c>
      <c r="H12" s="3" t="s">
        <v>58</v>
      </c>
      <c r="I12" s="3" t="s">
        <v>58</v>
      </c>
      <c r="J12" s="3" t="s">
        <v>60</v>
      </c>
      <c r="K12" s="2" t="s">
        <v>218</v>
      </c>
      <c r="L12" s="2" t="s">
        <v>219</v>
      </c>
      <c r="M12" s="3" t="s">
        <v>113</v>
      </c>
      <c r="O12" s="3" t="s">
        <v>64</v>
      </c>
      <c r="P12" s="3" t="s">
        <v>65</v>
      </c>
      <c r="R12" s="3" t="s">
        <v>66</v>
      </c>
      <c r="S12" s="4">
        <v>1</v>
      </c>
      <c r="T12" s="4">
        <v>1</v>
      </c>
      <c r="U12" s="5" t="s">
        <v>220</v>
      </c>
      <c r="V12" s="5" t="s">
        <v>220</v>
      </c>
      <c r="W12" s="5" t="s">
        <v>164</v>
      </c>
      <c r="X12" s="5" t="s">
        <v>164</v>
      </c>
      <c r="Y12" s="4">
        <v>517</v>
      </c>
      <c r="Z12" s="4">
        <v>435</v>
      </c>
      <c r="AA12" s="4">
        <v>438</v>
      </c>
      <c r="AB12" s="4">
        <v>2</v>
      </c>
      <c r="AC12" s="4">
        <v>2</v>
      </c>
      <c r="AD12" s="4">
        <v>31</v>
      </c>
      <c r="AE12" s="4">
        <v>31</v>
      </c>
      <c r="AF12" s="4">
        <v>9</v>
      </c>
      <c r="AG12" s="4">
        <v>9</v>
      </c>
      <c r="AH12" s="4">
        <v>9</v>
      </c>
      <c r="AI12" s="4">
        <v>9</v>
      </c>
      <c r="AJ12" s="4">
        <v>21</v>
      </c>
      <c r="AK12" s="4">
        <v>21</v>
      </c>
      <c r="AL12" s="4">
        <v>0</v>
      </c>
      <c r="AM12" s="4">
        <v>0</v>
      </c>
      <c r="AN12" s="4">
        <v>2</v>
      </c>
      <c r="AO12" s="4">
        <v>2</v>
      </c>
      <c r="AP12" s="3" t="s">
        <v>58</v>
      </c>
      <c r="AQ12" s="3" t="s">
        <v>68</v>
      </c>
      <c r="AR12" s="6" t="str">
        <f>HYPERLINK("http://catalog.hathitrust.org/Record/000803808","HathiTrust Record")</f>
        <v>HathiTrust Record</v>
      </c>
      <c r="AS12" s="6" t="str">
        <f>HYPERLINK("https://creighton-primo.hosted.exlibrisgroup.com/primo-explore/search?tab=default_tab&amp;search_scope=EVERYTHING&amp;vid=01CRU&amp;lang=en_US&amp;offset=0&amp;query=any,contains,991000069559702656","Catalog Record")</f>
        <v>Catalog Record</v>
      </c>
      <c r="AT12" s="6" t="str">
        <f>HYPERLINK("http://www.worldcat.org/oclc/8774985","WorldCat Record")</f>
        <v>WorldCat Record</v>
      </c>
      <c r="AU12" s="3" t="s">
        <v>221</v>
      </c>
      <c r="AV12" s="3" t="s">
        <v>222</v>
      </c>
      <c r="AW12" s="3" t="s">
        <v>223</v>
      </c>
      <c r="AX12" s="3" t="s">
        <v>223</v>
      </c>
      <c r="AY12" s="3" t="s">
        <v>224</v>
      </c>
      <c r="AZ12" s="3" t="s">
        <v>73</v>
      </c>
      <c r="BB12" s="3" t="s">
        <v>225</v>
      </c>
      <c r="BC12" s="3" t="s">
        <v>226</v>
      </c>
      <c r="BD12" s="3" t="s">
        <v>227</v>
      </c>
    </row>
    <row r="13" spans="1:56" ht="38.25" customHeight="1" x14ac:dyDescent="0.25">
      <c r="A13" s="7" t="s">
        <v>58</v>
      </c>
      <c r="B13" s="2" t="s">
        <v>228</v>
      </c>
      <c r="C13" s="2" t="s">
        <v>229</v>
      </c>
      <c r="D13" s="2" t="s">
        <v>230</v>
      </c>
      <c r="F13" s="3" t="s">
        <v>58</v>
      </c>
      <c r="G13" s="3" t="s">
        <v>59</v>
      </c>
      <c r="H13" s="3" t="s">
        <v>58</v>
      </c>
      <c r="I13" s="3" t="s">
        <v>58</v>
      </c>
      <c r="J13" s="3" t="s">
        <v>60</v>
      </c>
      <c r="K13" s="2" t="s">
        <v>231</v>
      </c>
      <c r="L13" s="2" t="s">
        <v>232</v>
      </c>
      <c r="M13" s="3" t="s">
        <v>233</v>
      </c>
      <c r="O13" s="3" t="s">
        <v>64</v>
      </c>
      <c r="P13" s="3" t="s">
        <v>65</v>
      </c>
      <c r="R13" s="3" t="s">
        <v>66</v>
      </c>
      <c r="S13" s="4">
        <v>1</v>
      </c>
      <c r="T13" s="4">
        <v>1</v>
      </c>
      <c r="U13" s="5" t="s">
        <v>234</v>
      </c>
      <c r="V13" s="5" t="s">
        <v>234</v>
      </c>
      <c r="W13" s="5" t="s">
        <v>235</v>
      </c>
      <c r="X13" s="5" t="s">
        <v>235</v>
      </c>
      <c r="Y13" s="4">
        <v>524</v>
      </c>
      <c r="Z13" s="4">
        <v>435</v>
      </c>
      <c r="AA13" s="4">
        <v>443</v>
      </c>
      <c r="AB13" s="4">
        <v>3</v>
      </c>
      <c r="AC13" s="4">
        <v>3</v>
      </c>
      <c r="AD13" s="4">
        <v>22</v>
      </c>
      <c r="AE13" s="4">
        <v>22</v>
      </c>
      <c r="AF13" s="4">
        <v>4</v>
      </c>
      <c r="AG13" s="4">
        <v>4</v>
      </c>
      <c r="AH13" s="4">
        <v>7</v>
      </c>
      <c r="AI13" s="4">
        <v>7</v>
      </c>
      <c r="AJ13" s="4">
        <v>15</v>
      </c>
      <c r="AK13" s="4">
        <v>15</v>
      </c>
      <c r="AL13" s="4">
        <v>2</v>
      </c>
      <c r="AM13" s="4">
        <v>2</v>
      </c>
      <c r="AN13" s="4">
        <v>0</v>
      </c>
      <c r="AO13" s="4">
        <v>0</v>
      </c>
      <c r="AP13" s="3" t="s">
        <v>58</v>
      </c>
      <c r="AQ13" s="3" t="s">
        <v>68</v>
      </c>
      <c r="AR13" s="6" t="str">
        <f>HYPERLINK("http://catalog.hathitrust.org/Record/001139131","HathiTrust Record")</f>
        <v>HathiTrust Record</v>
      </c>
      <c r="AS13" s="6" t="str">
        <f>HYPERLINK("https://creighton-primo.hosted.exlibrisgroup.com/primo-explore/search?tab=default_tab&amp;search_scope=EVERYTHING&amp;vid=01CRU&amp;lang=en_US&amp;offset=0&amp;query=any,contains,991002862179702656","Catalog Record")</f>
        <v>Catalog Record</v>
      </c>
      <c r="AT13" s="6" t="str">
        <f>HYPERLINK("http://www.worldcat.org/oclc/494074","WorldCat Record")</f>
        <v>WorldCat Record</v>
      </c>
      <c r="AU13" s="3" t="s">
        <v>236</v>
      </c>
      <c r="AV13" s="3" t="s">
        <v>237</v>
      </c>
      <c r="AW13" s="3" t="s">
        <v>238</v>
      </c>
      <c r="AX13" s="3" t="s">
        <v>238</v>
      </c>
      <c r="AY13" s="3" t="s">
        <v>239</v>
      </c>
      <c r="AZ13" s="3" t="s">
        <v>73</v>
      </c>
      <c r="BC13" s="3" t="s">
        <v>240</v>
      </c>
      <c r="BD13" s="3" t="s">
        <v>241</v>
      </c>
    </row>
    <row r="14" spans="1:56" ht="38.25" customHeight="1" x14ac:dyDescent="0.25">
      <c r="A14" s="7" t="s">
        <v>58</v>
      </c>
      <c r="B14" s="2" t="s">
        <v>242</v>
      </c>
      <c r="C14" s="2" t="s">
        <v>243</v>
      </c>
      <c r="D14" s="2" t="s">
        <v>244</v>
      </c>
      <c r="F14" s="3" t="s">
        <v>58</v>
      </c>
      <c r="G14" s="3" t="s">
        <v>59</v>
      </c>
      <c r="H14" s="3" t="s">
        <v>58</v>
      </c>
      <c r="I14" s="3" t="s">
        <v>58</v>
      </c>
      <c r="J14" s="3" t="s">
        <v>60</v>
      </c>
      <c r="K14" s="2" t="s">
        <v>245</v>
      </c>
      <c r="L14" s="2" t="s">
        <v>246</v>
      </c>
      <c r="M14" s="3" t="s">
        <v>247</v>
      </c>
      <c r="O14" s="3" t="s">
        <v>64</v>
      </c>
      <c r="P14" s="3" t="s">
        <v>130</v>
      </c>
      <c r="Q14" s="2" t="s">
        <v>248</v>
      </c>
      <c r="R14" s="3" t="s">
        <v>66</v>
      </c>
      <c r="S14" s="4">
        <v>1</v>
      </c>
      <c r="T14" s="4">
        <v>1</v>
      </c>
      <c r="U14" s="5" t="s">
        <v>249</v>
      </c>
      <c r="V14" s="5" t="s">
        <v>249</v>
      </c>
      <c r="W14" s="5" t="s">
        <v>164</v>
      </c>
      <c r="X14" s="5" t="s">
        <v>164</v>
      </c>
      <c r="Y14" s="4">
        <v>327</v>
      </c>
      <c r="Z14" s="4">
        <v>254</v>
      </c>
      <c r="AA14" s="4">
        <v>259</v>
      </c>
      <c r="AB14" s="4">
        <v>2</v>
      </c>
      <c r="AC14" s="4">
        <v>2</v>
      </c>
      <c r="AD14" s="4">
        <v>11</v>
      </c>
      <c r="AE14" s="4">
        <v>11</v>
      </c>
      <c r="AF14" s="4">
        <v>5</v>
      </c>
      <c r="AG14" s="4">
        <v>5</v>
      </c>
      <c r="AH14" s="4">
        <v>3</v>
      </c>
      <c r="AI14" s="4">
        <v>3</v>
      </c>
      <c r="AJ14" s="4">
        <v>8</v>
      </c>
      <c r="AK14" s="4">
        <v>8</v>
      </c>
      <c r="AL14" s="4">
        <v>1</v>
      </c>
      <c r="AM14" s="4">
        <v>1</v>
      </c>
      <c r="AN14" s="4">
        <v>0</v>
      </c>
      <c r="AO14" s="4">
        <v>0</v>
      </c>
      <c r="AP14" s="3" t="s">
        <v>58</v>
      </c>
      <c r="AQ14" s="3" t="s">
        <v>58</v>
      </c>
      <c r="AS14" s="6" t="str">
        <f>HYPERLINK("https://creighton-primo.hosted.exlibrisgroup.com/primo-explore/search?tab=default_tab&amp;search_scope=EVERYTHING&amp;vid=01CRU&amp;lang=en_US&amp;offset=0&amp;query=any,contains,991001109479702656","Catalog Record")</f>
        <v>Catalog Record</v>
      </c>
      <c r="AT14" s="6" t="str">
        <f>HYPERLINK("http://www.worldcat.org/oclc/16465085","WorldCat Record")</f>
        <v>WorldCat Record</v>
      </c>
      <c r="AU14" s="3" t="s">
        <v>250</v>
      </c>
      <c r="AV14" s="3" t="s">
        <v>251</v>
      </c>
      <c r="AW14" s="3" t="s">
        <v>252</v>
      </c>
      <c r="AX14" s="3" t="s">
        <v>252</v>
      </c>
      <c r="AY14" s="3" t="s">
        <v>253</v>
      </c>
      <c r="AZ14" s="3" t="s">
        <v>73</v>
      </c>
      <c r="BB14" s="3" t="s">
        <v>254</v>
      </c>
      <c r="BC14" s="3" t="s">
        <v>255</v>
      </c>
      <c r="BD14" s="3" t="s">
        <v>256</v>
      </c>
    </row>
    <row r="15" spans="1:56" ht="38.25" customHeight="1" x14ac:dyDescent="0.25">
      <c r="A15" s="7" t="s">
        <v>58</v>
      </c>
      <c r="B15" s="2" t="s">
        <v>257</v>
      </c>
      <c r="C15" s="2" t="s">
        <v>258</v>
      </c>
      <c r="D15" s="2" t="s">
        <v>259</v>
      </c>
      <c r="F15" s="3" t="s">
        <v>58</v>
      </c>
      <c r="G15" s="3" t="s">
        <v>59</v>
      </c>
      <c r="H15" s="3" t="s">
        <v>58</v>
      </c>
      <c r="I15" s="3" t="s">
        <v>58</v>
      </c>
      <c r="J15" s="3" t="s">
        <v>60</v>
      </c>
      <c r="K15" s="2" t="s">
        <v>260</v>
      </c>
      <c r="L15" s="2" t="s">
        <v>261</v>
      </c>
      <c r="M15" s="3" t="s">
        <v>63</v>
      </c>
      <c r="O15" s="3" t="s">
        <v>64</v>
      </c>
      <c r="P15" s="3" t="s">
        <v>65</v>
      </c>
      <c r="R15" s="3" t="s">
        <v>66</v>
      </c>
      <c r="S15" s="4">
        <v>1</v>
      </c>
      <c r="T15" s="4">
        <v>1</v>
      </c>
      <c r="U15" s="5" t="s">
        <v>262</v>
      </c>
      <c r="V15" s="5" t="s">
        <v>262</v>
      </c>
      <c r="W15" s="5" t="s">
        <v>263</v>
      </c>
      <c r="X15" s="5" t="s">
        <v>263</v>
      </c>
      <c r="Y15" s="4">
        <v>374</v>
      </c>
      <c r="Z15" s="4">
        <v>319</v>
      </c>
      <c r="AA15" s="4">
        <v>837</v>
      </c>
      <c r="AB15" s="4">
        <v>2</v>
      </c>
      <c r="AC15" s="4">
        <v>28</v>
      </c>
      <c r="AD15" s="4">
        <v>23</v>
      </c>
      <c r="AE15" s="4">
        <v>39</v>
      </c>
      <c r="AF15" s="4">
        <v>11</v>
      </c>
      <c r="AG15" s="4">
        <v>14</v>
      </c>
      <c r="AH15" s="4">
        <v>7</v>
      </c>
      <c r="AI15" s="4">
        <v>7</v>
      </c>
      <c r="AJ15" s="4">
        <v>10</v>
      </c>
      <c r="AK15" s="4">
        <v>12</v>
      </c>
      <c r="AL15" s="4">
        <v>1</v>
      </c>
      <c r="AM15" s="4">
        <v>13</v>
      </c>
      <c r="AN15" s="4">
        <v>0</v>
      </c>
      <c r="AO15" s="4">
        <v>0</v>
      </c>
      <c r="AP15" s="3" t="s">
        <v>58</v>
      </c>
      <c r="AQ15" s="3" t="s">
        <v>68</v>
      </c>
      <c r="AR15" s="6" t="str">
        <f>HYPERLINK("http://catalog.hathitrust.org/Record/004069793","HathiTrust Record")</f>
        <v>HathiTrust Record</v>
      </c>
      <c r="AS15" s="6" t="str">
        <f>HYPERLINK("https://creighton-primo.hosted.exlibrisgroup.com/primo-explore/search?tab=default_tab&amp;search_scope=EVERYTHING&amp;vid=01CRU&amp;lang=en_US&amp;offset=0&amp;query=any,contains,991005430569702656","Catalog Record")</f>
        <v>Catalog Record</v>
      </c>
      <c r="AT15" s="6" t="str">
        <f>HYPERLINK("http://www.worldcat.org/oclc/41834544","WorldCat Record")</f>
        <v>WorldCat Record</v>
      </c>
      <c r="AU15" s="3" t="s">
        <v>264</v>
      </c>
      <c r="AV15" s="3" t="s">
        <v>265</v>
      </c>
      <c r="AW15" s="3" t="s">
        <v>266</v>
      </c>
      <c r="AX15" s="3" t="s">
        <v>266</v>
      </c>
      <c r="AY15" s="3" t="s">
        <v>267</v>
      </c>
      <c r="AZ15" s="3" t="s">
        <v>73</v>
      </c>
      <c r="BB15" s="3" t="s">
        <v>268</v>
      </c>
      <c r="BC15" s="3" t="s">
        <v>269</v>
      </c>
      <c r="BD15" s="3" t="s">
        <v>270</v>
      </c>
    </row>
    <row r="16" spans="1:56" ht="38.25" customHeight="1" x14ac:dyDescent="0.25">
      <c r="A16" s="7" t="s">
        <v>58</v>
      </c>
      <c r="B16" s="2" t="s">
        <v>271</v>
      </c>
      <c r="C16" s="2" t="s">
        <v>272</v>
      </c>
      <c r="D16" s="2" t="s">
        <v>273</v>
      </c>
      <c r="F16" s="3" t="s">
        <v>58</v>
      </c>
      <c r="G16" s="3" t="s">
        <v>59</v>
      </c>
      <c r="H16" s="3" t="s">
        <v>58</v>
      </c>
      <c r="I16" s="3" t="s">
        <v>58</v>
      </c>
      <c r="J16" s="3" t="s">
        <v>60</v>
      </c>
      <c r="K16" s="2" t="s">
        <v>274</v>
      </c>
      <c r="L16" s="2" t="s">
        <v>275</v>
      </c>
      <c r="M16" s="3" t="s">
        <v>276</v>
      </c>
      <c r="O16" s="3" t="s">
        <v>64</v>
      </c>
      <c r="P16" s="3" t="s">
        <v>277</v>
      </c>
      <c r="R16" s="3" t="s">
        <v>66</v>
      </c>
      <c r="S16" s="4">
        <v>1</v>
      </c>
      <c r="T16" s="4">
        <v>1</v>
      </c>
      <c r="U16" s="5" t="s">
        <v>278</v>
      </c>
      <c r="V16" s="5" t="s">
        <v>278</v>
      </c>
      <c r="W16" s="5" t="s">
        <v>279</v>
      </c>
      <c r="X16" s="5" t="s">
        <v>279</v>
      </c>
      <c r="Y16" s="4">
        <v>620</v>
      </c>
      <c r="Z16" s="4">
        <v>517</v>
      </c>
      <c r="AA16" s="4">
        <v>679</v>
      </c>
      <c r="AB16" s="4">
        <v>5</v>
      </c>
      <c r="AC16" s="4">
        <v>5</v>
      </c>
      <c r="AD16" s="4">
        <v>24</v>
      </c>
      <c r="AE16" s="4">
        <v>31</v>
      </c>
      <c r="AF16" s="4">
        <v>7</v>
      </c>
      <c r="AG16" s="4">
        <v>12</v>
      </c>
      <c r="AH16" s="4">
        <v>5</v>
      </c>
      <c r="AI16" s="4">
        <v>8</v>
      </c>
      <c r="AJ16" s="4">
        <v>12</v>
      </c>
      <c r="AK16" s="4">
        <v>14</v>
      </c>
      <c r="AL16" s="4">
        <v>3</v>
      </c>
      <c r="AM16" s="4">
        <v>3</v>
      </c>
      <c r="AN16" s="4">
        <v>2</v>
      </c>
      <c r="AO16" s="4">
        <v>2</v>
      </c>
      <c r="AP16" s="3" t="s">
        <v>58</v>
      </c>
      <c r="AQ16" s="3" t="s">
        <v>58</v>
      </c>
      <c r="AS16" s="6" t="str">
        <f>HYPERLINK("https://creighton-primo.hosted.exlibrisgroup.com/primo-explore/search?tab=default_tab&amp;search_scope=EVERYTHING&amp;vid=01CRU&amp;lang=en_US&amp;offset=0&amp;query=any,contains,991002754909702656","Catalog Record")</f>
        <v>Catalog Record</v>
      </c>
      <c r="AT16" s="6" t="str">
        <f>HYPERLINK("http://www.worldcat.org/oclc/36135788","WorldCat Record")</f>
        <v>WorldCat Record</v>
      </c>
      <c r="AU16" s="3" t="s">
        <v>280</v>
      </c>
      <c r="AV16" s="3" t="s">
        <v>281</v>
      </c>
      <c r="AW16" s="3" t="s">
        <v>282</v>
      </c>
      <c r="AX16" s="3" t="s">
        <v>282</v>
      </c>
      <c r="AY16" s="3" t="s">
        <v>283</v>
      </c>
      <c r="AZ16" s="3" t="s">
        <v>73</v>
      </c>
      <c r="BB16" s="3" t="s">
        <v>284</v>
      </c>
      <c r="BC16" s="3" t="s">
        <v>285</v>
      </c>
      <c r="BD16" s="3" t="s">
        <v>286</v>
      </c>
    </row>
    <row r="17" spans="1:56" ht="38.25" customHeight="1" x14ac:dyDescent="0.25">
      <c r="A17" s="7" t="s">
        <v>58</v>
      </c>
      <c r="B17" s="2" t="s">
        <v>287</v>
      </c>
      <c r="C17" s="2" t="s">
        <v>288</v>
      </c>
      <c r="D17" s="2" t="s">
        <v>289</v>
      </c>
      <c r="F17" s="3" t="s">
        <v>58</v>
      </c>
      <c r="G17" s="3" t="s">
        <v>59</v>
      </c>
      <c r="H17" s="3" t="s">
        <v>68</v>
      </c>
      <c r="I17" s="3" t="s">
        <v>68</v>
      </c>
      <c r="J17" s="3" t="s">
        <v>60</v>
      </c>
      <c r="K17" s="2" t="s">
        <v>290</v>
      </c>
      <c r="L17" s="2" t="s">
        <v>291</v>
      </c>
      <c r="M17" s="3" t="s">
        <v>206</v>
      </c>
      <c r="O17" s="3" t="s">
        <v>64</v>
      </c>
      <c r="P17" s="3" t="s">
        <v>292</v>
      </c>
      <c r="R17" s="3" t="s">
        <v>66</v>
      </c>
      <c r="S17" s="4">
        <v>0</v>
      </c>
      <c r="T17" s="4">
        <v>2</v>
      </c>
      <c r="V17" s="5" t="s">
        <v>293</v>
      </c>
      <c r="W17" s="5" t="s">
        <v>235</v>
      </c>
      <c r="X17" s="5" t="s">
        <v>235</v>
      </c>
      <c r="Y17" s="4">
        <v>483</v>
      </c>
      <c r="Z17" s="4">
        <v>433</v>
      </c>
      <c r="AA17" s="4">
        <v>657</v>
      </c>
      <c r="AB17" s="4">
        <v>6</v>
      </c>
      <c r="AC17" s="4">
        <v>8</v>
      </c>
      <c r="AD17" s="4">
        <v>25</v>
      </c>
      <c r="AE17" s="4">
        <v>38</v>
      </c>
      <c r="AF17" s="4">
        <v>7</v>
      </c>
      <c r="AG17" s="4">
        <v>13</v>
      </c>
      <c r="AH17" s="4">
        <v>3</v>
      </c>
      <c r="AI17" s="4">
        <v>8</v>
      </c>
      <c r="AJ17" s="4">
        <v>14</v>
      </c>
      <c r="AK17" s="4">
        <v>20</v>
      </c>
      <c r="AL17" s="4">
        <v>4</v>
      </c>
      <c r="AM17" s="4">
        <v>6</v>
      </c>
      <c r="AN17" s="4">
        <v>0</v>
      </c>
      <c r="AO17" s="4">
        <v>0</v>
      </c>
      <c r="AP17" s="3" t="s">
        <v>68</v>
      </c>
      <c r="AQ17" s="3" t="s">
        <v>58</v>
      </c>
      <c r="AR17" s="6" t="str">
        <f>HYPERLINK("http://catalog.hathitrust.org/Record/001158086","HathiTrust Record")</f>
        <v>HathiTrust Record</v>
      </c>
      <c r="AS17" s="6" t="str">
        <f>HYPERLINK("https://creighton-primo.hosted.exlibrisgroup.com/primo-explore/search?tab=default_tab&amp;search_scope=EVERYTHING&amp;vid=01CRU&amp;lang=en_US&amp;offset=0&amp;query=any,contains,991000002559702656","Catalog Record")</f>
        <v>Catalog Record</v>
      </c>
      <c r="AT17" s="6" t="str">
        <f>HYPERLINK("http://www.worldcat.org/oclc/11459","WorldCat Record")</f>
        <v>WorldCat Record</v>
      </c>
      <c r="AU17" s="3" t="s">
        <v>294</v>
      </c>
      <c r="AV17" s="3" t="s">
        <v>295</v>
      </c>
      <c r="AW17" s="3" t="s">
        <v>296</v>
      </c>
      <c r="AX17" s="3" t="s">
        <v>296</v>
      </c>
      <c r="AY17" s="3" t="s">
        <v>297</v>
      </c>
      <c r="AZ17" s="3" t="s">
        <v>73</v>
      </c>
      <c r="BC17" s="3" t="s">
        <v>298</v>
      </c>
      <c r="BD17" s="3" t="s">
        <v>299</v>
      </c>
    </row>
    <row r="18" spans="1:56" ht="38.25" customHeight="1" x14ac:dyDescent="0.25">
      <c r="A18" s="7" t="s">
        <v>58</v>
      </c>
      <c r="B18" s="2" t="s">
        <v>300</v>
      </c>
      <c r="C18" s="2" t="s">
        <v>301</v>
      </c>
      <c r="D18" s="2" t="s">
        <v>289</v>
      </c>
      <c r="F18" s="3" t="s">
        <v>58</v>
      </c>
      <c r="G18" s="3" t="s">
        <v>59</v>
      </c>
      <c r="H18" s="3" t="s">
        <v>68</v>
      </c>
      <c r="I18" s="3" t="s">
        <v>68</v>
      </c>
      <c r="J18" s="3" t="s">
        <v>60</v>
      </c>
      <c r="K18" s="2" t="s">
        <v>290</v>
      </c>
      <c r="L18" s="2" t="s">
        <v>291</v>
      </c>
      <c r="M18" s="3" t="s">
        <v>206</v>
      </c>
      <c r="O18" s="3" t="s">
        <v>64</v>
      </c>
      <c r="P18" s="3" t="s">
        <v>292</v>
      </c>
      <c r="R18" s="3" t="s">
        <v>66</v>
      </c>
      <c r="S18" s="4">
        <v>0</v>
      </c>
      <c r="T18" s="4">
        <v>2</v>
      </c>
      <c r="V18" s="5" t="s">
        <v>293</v>
      </c>
      <c r="W18" s="5" t="s">
        <v>235</v>
      </c>
      <c r="X18" s="5" t="s">
        <v>235</v>
      </c>
      <c r="Y18" s="4">
        <v>483</v>
      </c>
      <c r="Z18" s="4">
        <v>433</v>
      </c>
      <c r="AA18" s="4">
        <v>657</v>
      </c>
      <c r="AB18" s="4">
        <v>6</v>
      </c>
      <c r="AC18" s="4">
        <v>8</v>
      </c>
      <c r="AD18" s="4">
        <v>25</v>
      </c>
      <c r="AE18" s="4">
        <v>38</v>
      </c>
      <c r="AF18" s="4">
        <v>7</v>
      </c>
      <c r="AG18" s="4">
        <v>13</v>
      </c>
      <c r="AH18" s="4">
        <v>3</v>
      </c>
      <c r="AI18" s="4">
        <v>8</v>
      </c>
      <c r="AJ18" s="4">
        <v>14</v>
      </c>
      <c r="AK18" s="4">
        <v>20</v>
      </c>
      <c r="AL18" s="4">
        <v>4</v>
      </c>
      <c r="AM18" s="4">
        <v>6</v>
      </c>
      <c r="AN18" s="4">
        <v>0</v>
      </c>
      <c r="AO18" s="4">
        <v>0</v>
      </c>
      <c r="AP18" s="3" t="s">
        <v>68</v>
      </c>
      <c r="AQ18" s="3" t="s">
        <v>58</v>
      </c>
      <c r="AR18" s="6" t="str">
        <f>HYPERLINK("http://catalog.hathitrust.org/Record/001158086","HathiTrust Record")</f>
        <v>HathiTrust Record</v>
      </c>
      <c r="AS18" s="6" t="str">
        <f>HYPERLINK("https://creighton-primo.hosted.exlibrisgroup.com/primo-explore/search?tab=default_tab&amp;search_scope=EVERYTHING&amp;vid=01CRU&amp;lang=en_US&amp;offset=0&amp;query=any,contains,991000002559702656","Catalog Record")</f>
        <v>Catalog Record</v>
      </c>
      <c r="AT18" s="6" t="str">
        <f>HYPERLINK("http://www.worldcat.org/oclc/11459","WorldCat Record")</f>
        <v>WorldCat Record</v>
      </c>
      <c r="AU18" s="3" t="s">
        <v>294</v>
      </c>
      <c r="AV18" s="3" t="s">
        <v>295</v>
      </c>
      <c r="AW18" s="3" t="s">
        <v>296</v>
      </c>
      <c r="AX18" s="3" t="s">
        <v>296</v>
      </c>
      <c r="AY18" s="3" t="s">
        <v>297</v>
      </c>
      <c r="AZ18" s="3" t="s">
        <v>73</v>
      </c>
      <c r="BC18" s="3" t="s">
        <v>302</v>
      </c>
      <c r="BD18" s="3" t="s">
        <v>303</v>
      </c>
    </row>
    <row r="19" spans="1:56" ht="38.25" customHeight="1" x14ac:dyDescent="0.25">
      <c r="A19" s="7" t="s">
        <v>58</v>
      </c>
      <c r="B19" s="2" t="s">
        <v>304</v>
      </c>
      <c r="C19" s="2" t="s">
        <v>305</v>
      </c>
      <c r="D19" s="2" t="s">
        <v>306</v>
      </c>
      <c r="F19" s="3" t="s">
        <v>58</v>
      </c>
      <c r="G19" s="3" t="s">
        <v>59</v>
      </c>
      <c r="H19" s="3" t="s">
        <v>58</v>
      </c>
      <c r="I19" s="3" t="s">
        <v>68</v>
      </c>
      <c r="J19" s="3" t="s">
        <v>60</v>
      </c>
      <c r="K19" s="2" t="s">
        <v>307</v>
      </c>
      <c r="L19" s="2" t="s">
        <v>308</v>
      </c>
      <c r="M19" s="3" t="s">
        <v>309</v>
      </c>
      <c r="O19" s="3" t="s">
        <v>64</v>
      </c>
      <c r="P19" s="3" t="s">
        <v>65</v>
      </c>
      <c r="R19" s="3" t="s">
        <v>66</v>
      </c>
      <c r="S19" s="4">
        <v>1</v>
      </c>
      <c r="T19" s="4">
        <v>1</v>
      </c>
      <c r="U19" s="5" t="s">
        <v>310</v>
      </c>
      <c r="V19" s="5" t="s">
        <v>310</v>
      </c>
      <c r="W19" s="5" t="s">
        <v>311</v>
      </c>
      <c r="X19" s="5" t="s">
        <v>311</v>
      </c>
      <c r="Y19" s="4">
        <v>228</v>
      </c>
      <c r="Z19" s="4">
        <v>163</v>
      </c>
      <c r="AA19" s="4">
        <v>335</v>
      </c>
      <c r="AB19" s="4">
        <v>1</v>
      </c>
      <c r="AC19" s="4">
        <v>4</v>
      </c>
      <c r="AD19" s="4">
        <v>7</v>
      </c>
      <c r="AE19" s="4">
        <v>16</v>
      </c>
      <c r="AF19" s="4">
        <v>3</v>
      </c>
      <c r="AG19" s="4">
        <v>6</v>
      </c>
      <c r="AH19" s="4">
        <v>2</v>
      </c>
      <c r="AI19" s="4">
        <v>3</v>
      </c>
      <c r="AJ19" s="4">
        <v>3</v>
      </c>
      <c r="AK19" s="4">
        <v>9</v>
      </c>
      <c r="AL19" s="4">
        <v>0</v>
      </c>
      <c r="AM19" s="4">
        <v>2</v>
      </c>
      <c r="AN19" s="4">
        <v>0</v>
      </c>
      <c r="AO19" s="4">
        <v>0</v>
      </c>
      <c r="AP19" s="3" t="s">
        <v>58</v>
      </c>
      <c r="AQ19" s="3" t="s">
        <v>68</v>
      </c>
      <c r="AR19" s="6" t="str">
        <f>HYPERLINK("http://catalog.hathitrust.org/Record/001139158","HathiTrust Record")</f>
        <v>HathiTrust Record</v>
      </c>
      <c r="AS19" s="6" t="str">
        <f>HYPERLINK("https://creighton-primo.hosted.exlibrisgroup.com/primo-explore/search?tab=default_tab&amp;search_scope=EVERYTHING&amp;vid=01CRU&amp;lang=en_US&amp;offset=0&amp;query=any,contains,991004243759702656","Catalog Record")</f>
        <v>Catalog Record</v>
      </c>
      <c r="AT19" s="6" t="str">
        <f>HYPERLINK("http://www.worldcat.org/oclc/2797557","WorldCat Record")</f>
        <v>WorldCat Record</v>
      </c>
      <c r="AU19" s="3" t="s">
        <v>312</v>
      </c>
      <c r="AV19" s="3" t="s">
        <v>313</v>
      </c>
      <c r="AW19" s="3" t="s">
        <v>314</v>
      </c>
      <c r="AX19" s="3" t="s">
        <v>314</v>
      </c>
      <c r="AY19" s="3" t="s">
        <v>315</v>
      </c>
      <c r="AZ19" s="3" t="s">
        <v>73</v>
      </c>
      <c r="BB19" s="3" t="s">
        <v>316</v>
      </c>
      <c r="BC19" s="3" t="s">
        <v>317</v>
      </c>
      <c r="BD19" s="3" t="s">
        <v>318</v>
      </c>
    </row>
    <row r="20" spans="1:56" ht="38.25" customHeight="1" x14ac:dyDescent="0.25">
      <c r="A20" s="7" t="s">
        <v>58</v>
      </c>
      <c r="B20" s="2" t="s">
        <v>319</v>
      </c>
      <c r="C20" s="2" t="s">
        <v>320</v>
      </c>
      <c r="D20" s="2" t="s">
        <v>321</v>
      </c>
      <c r="F20" s="3" t="s">
        <v>58</v>
      </c>
      <c r="G20" s="3" t="s">
        <v>59</v>
      </c>
      <c r="H20" s="3" t="s">
        <v>58</v>
      </c>
      <c r="I20" s="3" t="s">
        <v>58</v>
      </c>
      <c r="J20" s="3" t="s">
        <v>60</v>
      </c>
      <c r="K20" s="2" t="s">
        <v>322</v>
      </c>
      <c r="L20" s="2" t="s">
        <v>323</v>
      </c>
      <c r="M20" s="3" t="s">
        <v>324</v>
      </c>
      <c r="N20" s="2" t="s">
        <v>325</v>
      </c>
      <c r="O20" s="3" t="s">
        <v>64</v>
      </c>
      <c r="P20" s="3" t="s">
        <v>65</v>
      </c>
      <c r="R20" s="3" t="s">
        <v>66</v>
      </c>
      <c r="S20" s="4">
        <v>1</v>
      </c>
      <c r="T20" s="4">
        <v>1</v>
      </c>
      <c r="U20" s="5" t="s">
        <v>326</v>
      </c>
      <c r="V20" s="5" t="s">
        <v>326</v>
      </c>
      <c r="W20" s="5" t="s">
        <v>235</v>
      </c>
      <c r="X20" s="5" t="s">
        <v>235</v>
      </c>
      <c r="Y20" s="4">
        <v>467</v>
      </c>
      <c r="Z20" s="4">
        <v>368</v>
      </c>
      <c r="AA20" s="4">
        <v>405</v>
      </c>
      <c r="AB20" s="4">
        <v>3</v>
      </c>
      <c r="AC20" s="4">
        <v>3</v>
      </c>
      <c r="AD20" s="4">
        <v>23</v>
      </c>
      <c r="AE20" s="4">
        <v>25</v>
      </c>
      <c r="AF20" s="4">
        <v>6</v>
      </c>
      <c r="AG20" s="4">
        <v>7</v>
      </c>
      <c r="AH20" s="4">
        <v>6</v>
      </c>
      <c r="AI20" s="4">
        <v>7</v>
      </c>
      <c r="AJ20" s="4">
        <v>15</v>
      </c>
      <c r="AK20" s="4">
        <v>16</v>
      </c>
      <c r="AL20" s="4">
        <v>2</v>
      </c>
      <c r="AM20" s="4">
        <v>2</v>
      </c>
      <c r="AN20" s="4">
        <v>0</v>
      </c>
      <c r="AO20" s="4">
        <v>0</v>
      </c>
      <c r="AP20" s="3" t="s">
        <v>58</v>
      </c>
      <c r="AQ20" s="3" t="s">
        <v>68</v>
      </c>
      <c r="AR20" s="6" t="str">
        <f>HYPERLINK("http://catalog.hathitrust.org/Record/000230142","HathiTrust Record")</f>
        <v>HathiTrust Record</v>
      </c>
      <c r="AS20" s="6" t="str">
        <f>HYPERLINK("https://creighton-primo.hosted.exlibrisgroup.com/primo-explore/search?tab=default_tab&amp;search_scope=EVERYTHING&amp;vid=01CRU&amp;lang=en_US&amp;offset=0&amp;query=any,contains,991000542349702656","Catalog Record")</f>
        <v>Catalog Record</v>
      </c>
      <c r="AT20" s="6" t="str">
        <f>HYPERLINK("http://www.worldcat.org/oclc/90695","WorldCat Record")</f>
        <v>WorldCat Record</v>
      </c>
      <c r="AU20" s="3" t="s">
        <v>327</v>
      </c>
      <c r="AV20" s="3" t="s">
        <v>328</v>
      </c>
      <c r="AW20" s="3" t="s">
        <v>329</v>
      </c>
      <c r="AX20" s="3" t="s">
        <v>329</v>
      </c>
      <c r="AY20" s="3" t="s">
        <v>330</v>
      </c>
      <c r="AZ20" s="3" t="s">
        <v>73</v>
      </c>
      <c r="BC20" s="3" t="s">
        <v>331</v>
      </c>
      <c r="BD20" s="3" t="s">
        <v>332</v>
      </c>
    </row>
    <row r="21" spans="1:56" ht="38.25" customHeight="1" x14ac:dyDescent="0.25">
      <c r="A21" s="7" t="s">
        <v>58</v>
      </c>
      <c r="B21" s="2" t="s">
        <v>333</v>
      </c>
      <c r="C21" s="2" t="s">
        <v>334</v>
      </c>
      <c r="D21" s="2" t="s">
        <v>335</v>
      </c>
      <c r="F21" s="3" t="s">
        <v>58</v>
      </c>
      <c r="G21" s="3" t="s">
        <v>59</v>
      </c>
      <c r="H21" s="3" t="s">
        <v>58</v>
      </c>
      <c r="I21" s="3" t="s">
        <v>58</v>
      </c>
      <c r="J21" s="3" t="s">
        <v>60</v>
      </c>
      <c r="K21" s="2" t="s">
        <v>336</v>
      </c>
      <c r="L21" s="2" t="s">
        <v>337</v>
      </c>
      <c r="M21" s="3" t="s">
        <v>338</v>
      </c>
      <c r="O21" s="3" t="s">
        <v>64</v>
      </c>
      <c r="P21" s="3" t="s">
        <v>65</v>
      </c>
      <c r="Q21" s="2" t="s">
        <v>339</v>
      </c>
      <c r="R21" s="3" t="s">
        <v>66</v>
      </c>
      <c r="S21" s="4">
        <v>1</v>
      </c>
      <c r="T21" s="4">
        <v>1</v>
      </c>
      <c r="U21" s="5" t="s">
        <v>326</v>
      </c>
      <c r="V21" s="5" t="s">
        <v>326</v>
      </c>
      <c r="W21" s="5" t="s">
        <v>164</v>
      </c>
      <c r="X21" s="5" t="s">
        <v>164</v>
      </c>
      <c r="Y21" s="4">
        <v>641</v>
      </c>
      <c r="Z21" s="4">
        <v>485</v>
      </c>
      <c r="AA21" s="4">
        <v>494</v>
      </c>
      <c r="AB21" s="4">
        <v>5</v>
      </c>
      <c r="AC21" s="4">
        <v>5</v>
      </c>
      <c r="AD21" s="4">
        <v>27</v>
      </c>
      <c r="AE21" s="4">
        <v>27</v>
      </c>
      <c r="AF21" s="4">
        <v>8</v>
      </c>
      <c r="AG21" s="4">
        <v>8</v>
      </c>
      <c r="AH21" s="4">
        <v>7</v>
      </c>
      <c r="AI21" s="4">
        <v>7</v>
      </c>
      <c r="AJ21" s="4">
        <v>14</v>
      </c>
      <c r="AK21" s="4">
        <v>14</v>
      </c>
      <c r="AL21" s="4">
        <v>4</v>
      </c>
      <c r="AM21" s="4">
        <v>4</v>
      </c>
      <c r="AN21" s="4">
        <v>0</v>
      </c>
      <c r="AO21" s="4">
        <v>0</v>
      </c>
      <c r="AP21" s="3" t="s">
        <v>58</v>
      </c>
      <c r="AQ21" s="3" t="s">
        <v>68</v>
      </c>
      <c r="AR21" s="6" t="str">
        <f>HYPERLINK("http://catalog.hathitrust.org/Record/001155863","HathiTrust Record")</f>
        <v>HathiTrust Record</v>
      </c>
      <c r="AS21" s="6" t="str">
        <f>HYPERLINK("https://creighton-primo.hosted.exlibrisgroup.com/primo-explore/search?tab=default_tab&amp;search_scope=EVERYTHING&amp;vid=01CRU&amp;lang=en_US&amp;offset=0&amp;query=any,contains,991000066499702656","Catalog Record")</f>
        <v>Catalog Record</v>
      </c>
      <c r="AT21" s="6" t="str">
        <f>HYPERLINK("http://www.worldcat.org/oclc/27122","WorldCat Record")</f>
        <v>WorldCat Record</v>
      </c>
      <c r="AU21" s="3" t="s">
        <v>340</v>
      </c>
      <c r="AV21" s="3" t="s">
        <v>341</v>
      </c>
      <c r="AW21" s="3" t="s">
        <v>342</v>
      </c>
      <c r="AX21" s="3" t="s">
        <v>342</v>
      </c>
      <c r="AY21" s="3" t="s">
        <v>343</v>
      </c>
      <c r="AZ21" s="3" t="s">
        <v>73</v>
      </c>
      <c r="BC21" s="3" t="s">
        <v>344</v>
      </c>
      <c r="BD21" s="3" t="s">
        <v>345</v>
      </c>
    </row>
    <row r="22" spans="1:56" ht="38.25" customHeight="1" x14ac:dyDescent="0.25">
      <c r="A22" s="7" t="s">
        <v>58</v>
      </c>
      <c r="B22" s="2" t="s">
        <v>346</v>
      </c>
      <c r="C22" s="2" t="s">
        <v>347</v>
      </c>
      <c r="D22" s="2" t="s">
        <v>348</v>
      </c>
      <c r="F22" s="3" t="s">
        <v>58</v>
      </c>
      <c r="G22" s="3" t="s">
        <v>59</v>
      </c>
      <c r="H22" s="3" t="s">
        <v>58</v>
      </c>
      <c r="I22" s="3" t="s">
        <v>58</v>
      </c>
      <c r="J22" s="3" t="s">
        <v>60</v>
      </c>
      <c r="K22" s="2" t="s">
        <v>349</v>
      </c>
      <c r="L22" s="2" t="s">
        <v>350</v>
      </c>
      <c r="M22" s="3" t="s">
        <v>351</v>
      </c>
      <c r="O22" s="3" t="s">
        <v>64</v>
      </c>
      <c r="P22" s="3" t="s">
        <v>83</v>
      </c>
      <c r="Q22" s="2" t="s">
        <v>352</v>
      </c>
      <c r="R22" s="3" t="s">
        <v>66</v>
      </c>
      <c r="S22" s="4">
        <v>1</v>
      </c>
      <c r="T22" s="4">
        <v>1</v>
      </c>
      <c r="U22" s="5" t="s">
        <v>353</v>
      </c>
      <c r="V22" s="5" t="s">
        <v>353</v>
      </c>
      <c r="W22" s="5" t="s">
        <v>164</v>
      </c>
      <c r="X22" s="5" t="s">
        <v>164</v>
      </c>
      <c r="Y22" s="4">
        <v>355</v>
      </c>
      <c r="Z22" s="4">
        <v>284</v>
      </c>
      <c r="AA22" s="4">
        <v>292</v>
      </c>
      <c r="AB22" s="4">
        <v>3</v>
      </c>
      <c r="AC22" s="4">
        <v>3</v>
      </c>
      <c r="AD22" s="4">
        <v>14</v>
      </c>
      <c r="AE22" s="4">
        <v>14</v>
      </c>
      <c r="AF22" s="4">
        <v>6</v>
      </c>
      <c r="AG22" s="4">
        <v>6</v>
      </c>
      <c r="AH22" s="4">
        <v>2</v>
      </c>
      <c r="AI22" s="4">
        <v>2</v>
      </c>
      <c r="AJ22" s="4">
        <v>7</v>
      </c>
      <c r="AK22" s="4">
        <v>7</v>
      </c>
      <c r="AL22" s="4">
        <v>2</v>
      </c>
      <c r="AM22" s="4">
        <v>2</v>
      </c>
      <c r="AN22" s="4">
        <v>0</v>
      </c>
      <c r="AO22" s="4">
        <v>0</v>
      </c>
      <c r="AP22" s="3" t="s">
        <v>58</v>
      </c>
      <c r="AQ22" s="3" t="s">
        <v>68</v>
      </c>
      <c r="AR22" s="6" t="str">
        <f>HYPERLINK("http://catalog.hathitrust.org/Record/000730880","HathiTrust Record")</f>
        <v>HathiTrust Record</v>
      </c>
      <c r="AS22" s="6" t="str">
        <f>HYPERLINK("https://creighton-primo.hosted.exlibrisgroup.com/primo-explore/search?tab=default_tab&amp;search_scope=EVERYTHING&amp;vid=01CRU&amp;lang=en_US&amp;offset=0&amp;query=any,contains,991004873749702656","Catalog Record")</f>
        <v>Catalog Record</v>
      </c>
      <c r="AT22" s="6" t="str">
        <f>HYPERLINK("http://www.worldcat.org/oclc/5777086","WorldCat Record")</f>
        <v>WorldCat Record</v>
      </c>
      <c r="AU22" s="3" t="s">
        <v>354</v>
      </c>
      <c r="AV22" s="3" t="s">
        <v>355</v>
      </c>
      <c r="AW22" s="3" t="s">
        <v>356</v>
      </c>
      <c r="AX22" s="3" t="s">
        <v>356</v>
      </c>
      <c r="AY22" s="3" t="s">
        <v>357</v>
      </c>
      <c r="AZ22" s="3" t="s">
        <v>73</v>
      </c>
      <c r="BB22" s="3" t="s">
        <v>358</v>
      </c>
      <c r="BC22" s="3" t="s">
        <v>359</v>
      </c>
      <c r="BD22" s="3" t="s">
        <v>360</v>
      </c>
    </row>
    <row r="23" spans="1:56" ht="38.25" customHeight="1" x14ac:dyDescent="0.25">
      <c r="A23" s="7" t="s">
        <v>58</v>
      </c>
      <c r="B23" s="2" t="s">
        <v>361</v>
      </c>
      <c r="C23" s="2" t="s">
        <v>362</v>
      </c>
      <c r="D23" s="2" t="s">
        <v>363</v>
      </c>
      <c r="F23" s="3" t="s">
        <v>58</v>
      </c>
      <c r="G23" s="3" t="s">
        <v>59</v>
      </c>
      <c r="H23" s="3" t="s">
        <v>58</v>
      </c>
      <c r="I23" s="3" t="s">
        <v>58</v>
      </c>
      <c r="J23" s="3" t="s">
        <v>60</v>
      </c>
      <c r="L23" s="2" t="s">
        <v>364</v>
      </c>
      <c r="M23" s="3" t="s">
        <v>365</v>
      </c>
      <c r="O23" s="3" t="s">
        <v>64</v>
      </c>
      <c r="P23" s="3" t="s">
        <v>366</v>
      </c>
      <c r="Q23" s="2" t="s">
        <v>367</v>
      </c>
      <c r="R23" s="3" t="s">
        <v>66</v>
      </c>
      <c r="S23" s="4">
        <v>1</v>
      </c>
      <c r="T23" s="4">
        <v>1</v>
      </c>
      <c r="U23" s="5" t="s">
        <v>368</v>
      </c>
      <c r="V23" s="5" t="s">
        <v>368</v>
      </c>
      <c r="W23" s="5" t="s">
        <v>164</v>
      </c>
      <c r="X23" s="5" t="s">
        <v>164</v>
      </c>
      <c r="Y23" s="4">
        <v>415</v>
      </c>
      <c r="Z23" s="4">
        <v>376</v>
      </c>
      <c r="AA23" s="4">
        <v>378</v>
      </c>
      <c r="AB23" s="4">
        <v>3</v>
      </c>
      <c r="AC23" s="4">
        <v>3</v>
      </c>
      <c r="AD23" s="4">
        <v>17</v>
      </c>
      <c r="AE23" s="4">
        <v>17</v>
      </c>
      <c r="AF23" s="4">
        <v>7</v>
      </c>
      <c r="AG23" s="4">
        <v>7</v>
      </c>
      <c r="AH23" s="4">
        <v>1</v>
      </c>
      <c r="AI23" s="4">
        <v>1</v>
      </c>
      <c r="AJ23" s="4">
        <v>7</v>
      </c>
      <c r="AK23" s="4">
        <v>7</v>
      </c>
      <c r="AL23" s="4">
        <v>2</v>
      </c>
      <c r="AM23" s="4">
        <v>2</v>
      </c>
      <c r="AN23" s="4">
        <v>4</v>
      </c>
      <c r="AO23" s="4">
        <v>4</v>
      </c>
      <c r="AP23" s="3" t="s">
        <v>58</v>
      </c>
      <c r="AQ23" s="3" t="s">
        <v>68</v>
      </c>
      <c r="AR23" s="6" t="str">
        <f>HYPERLINK("http://catalog.hathitrust.org/Record/000121986","HathiTrust Record")</f>
        <v>HathiTrust Record</v>
      </c>
      <c r="AS23" s="6" t="str">
        <f>HYPERLINK("https://creighton-primo.hosted.exlibrisgroup.com/primo-explore/search?tab=default_tab&amp;search_scope=EVERYTHING&amp;vid=01CRU&amp;lang=en_US&amp;offset=0&amp;query=any,contains,991000452469702656","Catalog Record")</f>
        <v>Catalog Record</v>
      </c>
      <c r="AT23" s="6" t="str">
        <f>HYPERLINK("http://www.worldcat.org/oclc/11397405","WorldCat Record")</f>
        <v>WorldCat Record</v>
      </c>
      <c r="AU23" s="3" t="s">
        <v>369</v>
      </c>
      <c r="AV23" s="3" t="s">
        <v>370</v>
      </c>
      <c r="AW23" s="3" t="s">
        <v>371</v>
      </c>
      <c r="AX23" s="3" t="s">
        <v>371</v>
      </c>
      <c r="AY23" s="3" t="s">
        <v>372</v>
      </c>
      <c r="AZ23" s="3" t="s">
        <v>73</v>
      </c>
      <c r="BB23" s="3" t="s">
        <v>373</v>
      </c>
      <c r="BC23" s="3" t="s">
        <v>374</v>
      </c>
      <c r="BD23" s="3" t="s">
        <v>375</v>
      </c>
    </row>
    <row r="24" spans="1:56" ht="38.25" customHeight="1" x14ac:dyDescent="0.25">
      <c r="A24" s="7" t="s">
        <v>58</v>
      </c>
      <c r="B24" s="2" t="s">
        <v>376</v>
      </c>
      <c r="C24" s="2" t="s">
        <v>377</v>
      </c>
      <c r="D24" s="2" t="s">
        <v>378</v>
      </c>
      <c r="F24" s="3" t="s">
        <v>58</v>
      </c>
      <c r="G24" s="3" t="s">
        <v>59</v>
      </c>
      <c r="H24" s="3" t="s">
        <v>58</v>
      </c>
      <c r="I24" s="3" t="s">
        <v>58</v>
      </c>
      <c r="J24" s="3" t="s">
        <v>60</v>
      </c>
      <c r="K24" s="2" t="s">
        <v>379</v>
      </c>
      <c r="L24" s="2" t="s">
        <v>380</v>
      </c>
      <c r="M24" s="3" t="s">
        <v>351</v>
      </c>
      <c r="O24" s="3" t="s">
        <v>64</v>
      </c>
      <c r="P24" s="3" t="s">
        <v>65</v>
      </c>
      <c r="Q24" s="2" t="s">
        <v>381</v>
      </c>
      <c r="R24" s="3" t="s">
        <v>66</v>
      </c>
      <c r="S24" s="4">
        <v>1</v>
      </c>
      <c r="T24" s="4">
        <v>1</v>
      </c>
      <c r="U24" s="5" t="s">
        <v>382</v>
      </c>
      <c r="V24" s="5" t="s">
        <v>382</v>
      </c>
      <c r="W24" s="5" t="s">
        <v>383</v>
      </c>
      <c r="X24" s="5" t="s">
        <v>383</v>
      </c>
      <c r="Y24" s="4">
        <v>397</v>
      </c>
      <c r="Z24" s="4">
        <v>366</v>
      </c>
      <c r="AA24" s="4">
        <v>367</v>
      </c>
      <c r="AB24" s="4">
        <v>4</v>
      </c>
      <c r="AC24" s="4">
        <v>4</v>
      </c>
      <c r="AD24" s="4">
        <v>34</v>
      </c>
      <c r="AE24" s="4">
        <v>34</v>
      </c>
      <c r="AF24" s="4">
        <v>11</v>
      </c>
      <c r="AG24" s="4">
        <v>11</v>
      </c>
      <c r="AH24" s="4">
        <v>8</v>
      </c>
      <c r="AI24" s="4">
        <v>8</v>
      </c>
      <c r="AJ24" s="4">
        <v>20</v>
      </c>
      <c r="AK24" s="4">
        <v>20</v>
      </c>
      <c r="AL24" s="4">
        <v>3</v>
      </c>
      <c r="AM24" s="4">
        <v>3</v>
      </c>
      <c r="AN24" s="4">
        <v>2</v>
      </c>
      <c r="AO24" s="4">
        <v>2</v>
      </c>
      <c r="AP24" s="3" t="s">
        <v>58</v>
      </c>
      <c r="AQ24" s="3" t="s">
        <v>68</v>
      </c>
      <c r="AR24" s="6" t="str">
        <f>HYPERLINK("http://catalog.hathitrust.org/Record/000700380","HathiTrust Record")</f>
        <v>HathiTrust Record</v>
      </c>
      <c r="AS24" s="6" t="str">
        <f>HYPERLINK("https://creighton-primo.hosted.exlibrisgroup.com/primo-explore/search?tab=default_tab&amp;search_scope=EVERYTHING&amp;vid=01CRU&amp;lang=en_US&amp;offset=0&amp;query=any,contains,991004911659702656","Catalog Record")</f>
        <v>Catalog Record</v>
      </c>
      <c r="AT24" s="6" t="str">
        <f>HYPERLINK("http://www.worldcat.org/oclc/5992445","WorldCat Record")</f>
        <v>WorldCat Record</v>
      </c>
      <c r="AU24" s="3" t="s">
        <v>384</v>
      </c>
      <c r="AV24" s="3" t="s">
        <v>385</v>
      </c>
      <c r="AW24" s="3" t="s">
        <v>386</v>
      </c>
      <c r="AX24" s="3" t="s">
        <v>386</v>
      </c>
      <c r="AY24" s="3" t="s">
        <v>387</v>
      </c>
      <c r="AZ24" s="3" t="s">
        <v>73</v>
      </c>
      <c r="BB24" s="3" t="s">
        <v>388</v>
      </c>
      <c r="BC24" s="3" t="s">
        <v>389</v>
      </c>
      <c r="BD24" s="3" t="s">
        <v>390</v>
      </c>
    </row>
    <row r="25" spans="1:56" ht="38.25" customHeight="1" x14ac:dyDescent="0.25">
      <c r="A25" s="7" t="s">
        <v>58</v>
      </c>
      <c r="B25" s="2" t="s">
        <v>391</v>
      </c>
      <c r="C25" s="2" t="s">
        <v>392</v>
      </c>
      <c r="D25" s="2" t="s">
        <v>393</v>
      </c>
      <c r="F25" s="3" t="s">
        <v>58</v>
      </c>
      <c r="G25" s="3" t="s">
        <v>59</v>
      </c>
      <c r="H25" s="3" t="s">
        <v>58</v>
      </c>
      <c r="I25" s="3" t="s">
        <v>58</v>
      </c>
      <c r="J25" s="3" t="s">
        <v>60</v>
      </c>
      <c r="K25" s="2" t="s">
        <v>394</v>
      </c>
      <c r="L25" s="2" t="s">
        <v>395</v>
      </c>
      <c r="M25" s="3" t="s">
        <v>365</v>
      </c>
      <c r="O25" s="3" t="s">
        <v>64</v>
      </c>
      <c r="P25" s="3" t="s">
        <v>65</v>
      </c>
      <c r="R25" s="3" t="s">
        <v>66</v>
      </c>
      <c r="S25" s="4">
        <v>1</v>
      </c>
      <c r="T25" s="4">
        <v>1</v>
      </c>
      <c r="U25" s="5" t="s">
        <v>382</v>
      </c>
      <c r="V25" s="5" t="s">
        <v>382</v>
      </c>
      <c r="W25" s="5" t="s">
        <v>164</v>
      </c>
      <c r="X25" s="5" t="s">
        <v>164</v>
      </c>
      <c r="Y25" s="4">
        <v>655</v>
      </c>
      <c r="Z25" s="4">
        <v>561</v>
      </c>
      <c r="AA25" s="4">
        <v>659</v>
      </c>
      <c r="AB25" s="4">
        <v>4</v>
      </c>
      <c r="AC25" s="4">
        <v>4</v>
      </c>
      <c r="AD25" s="4">
        <v>37</v>
      </c>
      <c r="AE25" s="4">
        <v>40</v>
      </c>
      <c r="AF25" s="4">
        <v>14</v>
      </c>
      <c r="AG25" s="4">
        <v>16</v>
      </c>
      <c r="AH25" s="4">
        <v>10</v>
      </c>
      <c r="AI25" s="4">
        <v>10</v>
      </c>
      <c r="AJ25" s="4">
        <v>16</v>
      </c>
      <c r="AK25" s="4">
        <v>18</v>
      </c>
      <c r="AL25" s="4">
        <v>2</v>
      </c>
      <c r="AM25" s="4">
        <v>2</v>
      </c>
      <c r="AN25" s="4">
        <v>6</v>
      </c>
      <c r="AO25" s="4">
        <v>6</v>
      </c>
      <c r="AP25" s="3" t="s">
        <v>58</v>
      </c>
      <c r="AQ25" s="3" t="s">
        <v>68</v>
      </c>
      <c r="AR25" s="6" t="str">
        <f>HYPERLINK("http://catalog.hathitrust.org/Record/000325282","HathiTrust Record")</f>
        <v>HathiTrust Record</v>
      </c>
      <c r="AS25" s="6" t="str">
        <f>HYPERLINK("https://creighton-primo.hosted.exlibrisgroup.com/primo-explore/search?tab=default_tab&amp;search_scope=EVERYTHING&amp;vid=01CRU&amp;lang=en_US&amp;offset=0&amp;query=any,contains,991000366159702656","Catalog Record")</f>
        <v>Catalog Record</v>
      </c>
      <c r="AT25" s="6" t="str">
        <f>HYPERLINK("http://www.worldcat.org/oclc/10402823","WorldCat Record")</f>
        <v>WorldCat Record</v>
      </c>
      <c r="AU25" s="3" t="s">
        <v>396</v>
      </c>
      <c r="AV25" s="3" t="s">
        <v>397</v>
      </c>
      <c r="AW25" s="3" t="s">
        <v>398</v>
      </c>
      <c r="AX25" s="3" t="s">
        <v>398</v>
      </c>
      <c r="AY25" s="3" t="s">
        <v>399</v>
      </c>
      <c r="AZ25" s="3" t="s">
        <v>73</v>
      </c>
      <c r="BB25" s="3" t="s">
        <v>400</v>
      </c>
      <c r="BC25" s="3" t="s">
        <v>401</v>
      </c>
      <c r="BD25" s="3" t="s">
        <v>402</v>
      </c>
    </row>
    <row r="26" spans="1:56" ht="38.25" customHeight="1" x14ac:dyDescent="0.25">
      <c r="A26" s="7" t="s">
        <v>58</v>
      </c>
      <c r="B26" s="2" t="s">
        <v>403</v>
      </c>
      <c r="C26" s="2" t="s">
        <v>404</v>
      </c>
      <c r="D26" s="2" t="s">
        <v>405</v>
      </c>
      <c r="F26" s="3" t="s">
        <v>58</v>
      </c>
      <c r="G26" s="3" t="s">
        <v>59</v>
      </c>
      <c r="H26" s="3" t="s">
        <v>58</v>
      </c>
      <c r="I26" s="3" t="s">
        <v>58</v>
      </c>
      <c r="J26" s="3" t="s">
        <v>60</v>
      </c>
      <c r="K26" s="2" t="s">
        <v>406</v>
      </c>
      <c r="L26" s="2" t="s">
        <v>407</v>
      </c>
      <c r="M26" s="3" t="s">
        <v>408</v>
      </c>
      <c r="O26" s="3" t="s">
        <v>64</v>
      </c>
      <c r="P26" s="3" t="s">
        <v>277</v>
      </c>
      <c r="R26" s="3" t="s">
        <v>66</v>
      </c>
      <c r="S26" s="4">
        <v>1</v>
      </c>
      <c r="T26" s="4">
        <v>1</v>
      </c>
      <c r="U26" s="5" t="s">
        <v>409</v>
      </c>
      <c r="V26" s="5" t="s">
        <v>409</v>
      </c>
      <c r="W26" s="5" t="s">
        <v>410</v>
      </c>
      <c r="X26" s="5" t="s">
        <v>410</v>
      </c>
      <c r="Y26" s="4">
        <v>692</v>
      </c>
      <c r="Z26" s="4">
        <v>549</v>
      </c>
      <c r="AA26" s="4">
        <v>693</v>
      </c>
      <c r="AB26" s="4">
        <v>5</v>
      </c>
      <c r="AC26" s="4">
        <v>5</v>
      </c>
      <c r="AD26" s="4">
        <v>40</v>
      </c>
      <c r="AE26" s="4">
        <v>46</v>
      </c>
      <c r="AF26" s="4">
        <v>13</v>
      </c>
      <c r="AG26" s="4">
        <v>19</v>
      </c>
      <c r="AH26" s="4">
        <v>8</v>
      </c>
      <c r="AI26" s="4">
        <v>9</v>
      </c>
      <c r="AJ26" s="4">
        <v>17</v>
      </c>
      <c r="AK26" s="4">
        <v>18</v>
      </c>
      <c r="AL26" s="4">
        <v>4</v>
      </c>
      <c r="AM26" s="4">
        <v>4</v>
      </c>
      <c r="AN26" s="4">
        <v>7</v>
      </c>
      <c r="AO26" s="4">
        <v>7</v>
      </c>
      <c r="AP26" s="3" t="s">
        <v>58</v>
      </c>
      <c r="AQ26" s="3" t="s">
        <v>58</v>
      </c>
      <c r="AS26" s="6" t="str">
        <f>HYPERLINK("https://creighton-primo.hosted.exlibrisgroup.com/primo-explore/search?tab=default_tab&amp;search_scope=EVERYTHING&amp;vid=01CRU&amp;lang=en_US&amp;offset=0&amp;query=any,contains,991001373409702656","Catalog Record")</f>
        <v>Catalog Record</v>
      </c>
      <c r="AT26" s="6" t="str">
        <f>HYPERLINK("http://www.worldcat.org/oclc/18589429","WorldCat Record")</f>
        <v>WorldCat Record</v>
      </c>
      <c r="AU26" s="3" t="s">
        <v>411</v>
      </c>
      <c r="AV26" s="3" t="s">
        <v>412</v>
      </c>
      <c r="AW26" s="3" t="s">
        <v>413</v>
      </c>
      <c r="AX26" s="3" t="s">
        <v>413</v>
      </c>
      <c r="AY26" s="3" t="s">
        <v>414</v>
      </c>
      <c r="AZ26" s="3" t="s">
        <v>73</v>
      </c>
      <c r="BB26" s="3" t="s">
        <v>415</v>
      </c>
      <c r="BC26" s="3" t="s">
        <v>416</v>
      </c>
      <c r="BD26" s="3" t="s">
        <v>417</v>
      </c>
    </row>
    <row r="27" spans="1:56" ht="38.25" customHeight="1" x14ac:dyDescent="0.25">
      <c r="A27" s="7" t="s">
        <v>58</v>
      </c>
      <c r="B27" s="2" t="s">
        <v>418</v>
      </c>
      <c r="C27" s="2" t="s">
        <v>419</v>
      </c>
      <c r="D27" s="2" t="s">
        <v>420</v>
      </c>
      <c r="F27" s="3" t="s">
        <v>58</v>
      </c>
      <c r="G27" s="3" t="s">
        <v>59</v>
      </c>
      <c r="H27" s="3" t="s">
        <v>58</v>
      </c>
      <c r="I27" s="3" t="s">
        <v>58</v>
      </c>
      <c r="J27" s="3" t="s">
        <v>60</v>
      </c>
      <c r="K27" s="2" t="s">
        <v>421</v>
      </c>
      <c r="L27" s="2" t="s">
        <v>422</v>
      </c>
      <c r="M27" s="3" t="s">
        <v>351</v>
      </c>
      <c r="O27" s="3" t="s">
        <v>64</v>
      </c>
      <c r="P27" s="3" t="s">
        <v>65</v>
      </c>
      <c r="R27" s="3" t="s">
        <v>66</v>
      </c>
      <c r="S27" s="4">
        <v>1</v>
      </c>
      <c r="T27" s="4">
        <v>1</v>
      </c>
      <c r="U27" s="5" t="s">
        <v>423</v>
      </c>
      <c r="V27" s="5" t="s">
        <v>423</v>
      </c>
      <c r="W27" s="5" t="s">
        <v>164</v>
      </c>
      <c r="X27" s="5" t="s">
        <v>164</v>
      </c>
      <c r="Y27" s="4">
        <v>306</v>
      </c>
      <c r="Z27" s="4">
        <v>251</v>
      </c>
      <c r="AA27" s="4">
        <v>287</v>
      </c>
      <c r="AB27" s="4">
        <v>5</v>
      </c>
      <c r="AC27" s="4">
        <v>6</v>
      </c>
      <c r="AD27" s="4">
        <v>11</v>
      </c>
      <c r="AE27" s="4">
        <v>15</v>
      </c>
      <c r="AF27" s="4">
        <v>4</v>
      </c>
      <c r="AG27" s="4">
        <v>5</v>
      </c>
      <c r="AH27" s="4">
        <v>1</v>
      </c>
      <c r="AI27" s="4">
        <v>2</v>
      </c>
      <c r="AJ27" s="4">
        <v>3</v>
      </c>
      <c r="AK27" s="4">
        <v>5</v>
      </c>
      <c r="AL27" s="4">
        <v>3</v>
      </c>
      <c r="AM27" s="4">
        <v>4</v>
      </c>
      <c r="AN27" s="4">
        <v>1</v>
      </c>
      <c r="AO27" s="4">
        <v>1</v>
      </c>
      <c r="AP27" s="3" t="s">
        <v>58</v>
      </c>
      <c r="AQ27" s="3" t="s">
        <v>68</v>
      </c>
      <c r="AR27" s="6" t="str">
        <f>HYPERLINK("http://catalog.hathitrust.org/Record/000730119","HathiTrust Record")</f>
        <v>HathiTrust Record</v>
      </c>
      <c r="AS27" s="6" t="str">
        <f>HYPERLINK("https://creighton-primo.hosted.exlibrisgroup.com/primo-explore/search?tab=default_tab&amp;search_scope=EVERYTHING&amp;vid=01CRU&amp;lang=en_US&amp;offset=0&amp;query=any,contains,991004920589702656","Catalog Record")</f>
        <v>Catalog Record</v>
      </c>
      <c r="AT27" s="6" t="str">
        <f>HYPERLINK("http://www.worldcat.org/oclc/6042949","WorldCat Record")</f>
        <v>WorldCat Record</v>
      </c>
      <c r="AU27" s="3" t="s">
        <v>424</v>
      </c>
      <c r="AV27" s="3" t="s">
        <v>425</v>
      </c>
      <c r="AW27" s="3" t="s">
        <v>426</v>
      </c>
      <c r="AX27" s="3" t="s">
        <v>426</v>
      </c>
      <c r="AY27" s="3" t="s">
        <v>427</v>
      </c>
      <c r="AZ27" s="3" t="s">
        <v>73</v>
      </c>
      <c r="BB27" s="3" t="s">
        <v>428</v>
      </c>
      <c r="BC27" s="3" t="s">
        <v>429</v>
      </c>
      <c r="BD27" s="3" t="s">
        <v>430</v>
      </c>
    </row>
    <row r="28" spans="1:56" ht="38.25" customHeight="1" x14ac:dyDescent="0.25">
      <c r="A28" s="7" t="s">
        <v>58</v>
      </c>
      <c r="B28" s="2" t="s">
        <v>431</v>
      </c>
      <c r="C28" s="2" t="s">
        <v>432</v>
      </c>
      <c r="D28" s="2" t="s">
        <v>433</v>
      </c>
      <c r="F28" s="3" t="s">
        <v>58</v>
      </c>
      <c r="G28" s="3" t="s">
        <v>59</v>
      </c>
      <c r="H28" s="3" t="s">
        <v>58</v>
      </c>
      <c r="I28" s="3" t="s">
        <v>58</v>
      </c>
      <c r="J28" s="3" t="s">
        <v>60</v>
      </c>
      <c r="K28" s="2" t="s">
        <v>434</v>
      </c>
      <c r="L28" s="2" t="s">
        <v>435</v>
      </c>
      <c r="M28" s="3" t="s">
        <v>436</v>
      </c>
      <c r="N28" s="2" t="s">
        <v>437</v>
      </c>
      <c r="O28" s="3" t="s">
        <v>64</v>
      </c>
      <c r="P28" s="3" t="s">
        <v>162</v>
      </c>
      <c r="R28" s="3" t="s">
        <v>66</v>
      </c>
      <c r="S28" s="4">
        <v>1</v>
      </c>
      <c r="T28" s="4">
        <v>1</v>
      </c>
      <c r="U28" s="5" t="s">
        <v>438</v>
      </c>
      <c r="V28" s="5" t="s">
        <v>438</v>
      </c>
      <c r="W28" s="5" t="s">
        <v>439</v>
      </c>
      <c r="X28" s="5" t="s">
        <v>439</v>
      </c>
      <c r="Y28" s="4">
        <v>759</v>
      </c>
      <c r="Z28" s="4">
        <v>724</v>
      </c>
      <c r="AA28" s="4">
        <v>1330</v>
      </c>
      <c r="AB28" s="4">
        <v>5</v>
      </c>
      <c r="AC28" s="4">
        <v>10</v>
      </c>
      <c r="AD28" s="4">
        <v>34</v>
      </c>
      <c r="AE28" s="4">
        <v>53</v>
      </c>
      <c r="AF28" s="4">
        <v>11</v>
      </c>
      <c r="AG28" s="4">
        <v>19</v>
      </c>
      <c r="AH28" s="4">
        <v>8</v>
      </c>
      <c r="AI28" s="4">
        <v>10</v>
      </c>
      <c r="AJ28" s="4">
        <v>18</v>
      </c>
      <c r="AK28" s="4">
        <v>23</v>
      </c>
      <c r="AL28" s="4">
        <v>3</v>
      </c>
      <c r="AM28" s="4">
        <v>6</v>
      </c>
      <c r="AN28" s="4">
        <v>3</v>
      </c>
      <c r="AO28" s="4">
        <v>6</v>
      </c>
      <c r="AP28" s="3" t="s">
        <v>58</v>
      </c>
      <c r="AQ28" s="3" t="s">
        <v>68</v>
      </c>
      <c r="AR28" s="6" t="str">
        <f>HYPERLINK("http://catalog.hathitrust.org/Record/001155885","HathiTrust Record")</f>
        <v>HathiTrust Record</v>
      </c>
      <c r="AS28" s="6" t="str">
        <f>HYPERLINK("https://creighton-primo.hosted.exlibrisgroup.com/primo-explore/search?tab=default_tab&amp;search_scope=EVERYTHING&amp;vid=01CRU&amp;lang=en_US&amp;offset=0&amp;query=any,contains,991003445209702656","Catalog Record")</f>
        <v>Catalog Record</v>
      </c>
      <c r="AT28" s="6" t="str">
        <f>HYPERLINK("http://www.worldcat.org/oclc/980381","WorldCat Record")</f>
        <v>WorldCat Record</v>
      </c>
      <c r="AU28" s="3" t="s">
        <v>440</v>
      </c>
      <c r="AV28" s="3" t="s">
        <v>441</v>
      </c>
      <c r="AW28" s="3" t="s">
        <v>442</v>
      </c>
      <c r="AX28" s="3" t="s">
        <v>442</v>
      </c>
      <c r="AY28" s="3" t="s">
        <v>443</v>
      </c>
      <c r="AZ28" s="3" t="s">
        <v>73</v>
      </c>
      <c r="BB28" s="3" t="s">
        <v>444</v>
      </c>
      <c r="BC28" s="3" t="s">
        <v>445</v>
      </c>
      <c r="BD28" s="3" t="s">
        <v>446</v>
      </c>
    </row>
    <row r="29" spans="1:56" ht="38.25" customHeight="1" x14ac:dyDescent="0.25">
      <c r="A29" s="7" t="s">
        <v>58</v>
      </c>
      <c r="B29" s="2" t="s">
        <v>447</v>
      </c>
      <c r="C29" s="2" t="s">
        <v>448</v>
      </c>
      <c r="D29" s="2" t="s">
        <v>449</v>
      </c>
      <c r="F29" s="3" t="s">
        <v>58</v>
      </c>
      <c r="G29" s="3" t="s">
        <v>59</v>
      </c>
      <c r="H29" s="3" t="s">
        <v>58</v>
      </c>
      <c r="I29" s="3" t="s">
        <v>58</v>
      </c>
      <c r="J29" s="3" t="s">
        <v>60</v>
      </c>
      <c r="K29" s="2" t="s">
        <v>450</v>
      </c>
      <c r="L29" s="2" t="s">
        <v>451</v>
      </c>
      <c r="M29" s="3" t="s">
        <v>452</v>
      </c>
      <c r="O29" s="3" t="s">
        <v>64</v>
      </c>
      <c r="P29" s="3" t="s">
        <v>453</v>
      </c>
      <c r="R29" s="3" t="s">
        <v>66</v>
      </c>
      <c r="S29" s="4">
        <v>1</v>
      </c>
      <c r="T29" s="4">
        <v>1</v>
      </c>
      <c r="U29" s="5" t="s">
        <v>454</v>
      </c>
      <c r="V29" s="5" t="s">
        <v>454</v>
      </c>
      <c r="W29" s="5" t="s">
        <v>235</v>
      </c>
      <c r="X29" s="5" t="s">
        <v>235</v>
      </c>
      <c r="Y29" s="4">
        <v>410</v>
      </c>
      <c r="Z29" s="4">
        <v>337</v>
      </c>
      <c r="AA29" s="4">
        <v>455</v>
      </c>
      <c r="AB29" s="4">
        <v>4</v>
      </c>
      <c r="AC29" s="4">
        <v>4</v>
      </c>
      <c r="AD29" s="4">
        <v>24</v>
      </c>
      <c r="AE29" s="4">
        <v>27</v>
      </c>
      <c r="AF29" s="4">
        <v>4</v>
      </c>
      <c r="AG29" s="4">
        <v>5</v>
      </c>
      <c r="AH29" s="4">
        <v>7</v>
      </c>
      <c r="AI29" s="4">
        <v>7</v>
      </c>
      <c r="AJ29" s="4">
        <v>16</v>
      </c>
      <c r="AK29" s="4">
        <v>19</v>
      </c>
      <c r="AL29" s="4">
        <v>3</v>
      </c>
      <c r="AM29" s="4">
        <v>3</v>
      </c>
      <c r="AN29" s="4">
        <v>0</v>
      </c>
      <c r="AO29" s="4">
        <v>0</v>
      </c>
      <c r="AP29" s="3" t="s">
        <v>58</v>
      </c>
      <c r="AQ29" s="3" t="s">
        <v>58</v>
      </c>
      <c r="AR29" s="6" t="str">
        <f>HYPERLINK("http://catalog.hathitrust.org/Record/001139259","HathiTrust Record")</f>
        <v>HathiTrust Record</v>
      </c>
      <c r="AS29" s="6" t="str">
        <f>HYPERLINK("https://creighton-primo.hosted.exlibrisgroup.com/primo-explore/search?tab=default_tab&amp;search_scope=EVERYTHING&amp;vid=01CRU&amp;lang=en_US&amp;offset=0&amp;query=any,contains,991003403119702656","Catalog Record")</f>
        <v>Catalog Record</v>
      </c>
      <c r="AT29" s="6" t="str">
        <f>HYPERLINK("http://www.worldcat.org/oclc/942551","WorldCat Record")</f>
        <v>WorldCat Record</v>
      </c>
      <c r="AU29" s="3" t="s">
        <v>455</v>
      </c>
      <c r="AV29" s="3" t="s">
        <v>456</v>
      </c>
      <c r="AW29" s="3" t="s">
        <v>457</v>
      </c>
      <c r="AX29" s="3" t="s">
        <v>457</v>
      </c>
      <c r="AY29" s="3" t="s">
        <v>458</v>
      </c>
      <c r="AZ29" s="3" t="s">
        <v>73</v>
      </c>
      <c r="BC29" s="3" t="s">
        <v>459</v>
      </c>
      <c r="BD29" s="3" t="s">
        <v>460</v>
      </c>
    </row>
    <row r="30" spans="1:56" ht="38.25" customHeight="1" x14ac:dyDescent="0.25">
      <c r="A30" s="7" t="s">
        <v>58</v>
      </c>
      <c r="B30" s="2" t="s">
        <v>461</v>
      </c>
      <c r="C30" s="2" t="s">
        <v>462</v>
      </c>
      <c r="D30" s="2" t="s">
        <v>463</v>
      </c>
      <c r="F30" s="3" t="s">
        <v>58</v>
      </c>
      <c r="G30" s="3" t="s">
        <v>59</v>
      </c>
      <c r="H30" s="3" t="s">
        <v>58</v>
      </c>
      <c r="I30" s="3" t="s">
        <v>58</v>
      </c>
      <c r="J30" s="3" t="s">
        <v>60</v>
      </c>
      <c r="K30" s="2" t="s">
        <v>464</v>
      </c>
      <c r="L30" s="2" t="s">
        <v>465</v>
      </c>
      <c r="M30" s="3" t="s">
        <v>466</v>
      </c>
      <c r="O30" s="3" t="s">
        <v>64</v>
      </c>
      <c r="P30" s="3" t="s">
        <v>114</v>
      </c>
      <c r="R30" s="3" t="s">
        <v>66</v>
      </c>
      <c r="S30" s="4">
        <v>1</v>
      </c>
      <c r="T30" s="4">
        <v>1</v>
      </c>
      <c r="U30" s="5" t="s">
        <v>467</v>
      </c>
      <c r="V30" s="5" t="s">
        <v>467</v>
      </c>
      <c r="W30" s="5" t="s">
        <v>468</v>
      </c>
      <c r="X30" s="5" t="s">
        <v>468</v>
      </c>
      <c r="Y30" s="4">
        <v>266</v>
      </c>
      <c r="Z30" s="4">
        <v>131</v>
      </c>
      <c r="AA30" s="4">
        <v>133</v>
      </c>
      <c r="AB30" s="4">
        <v>3</v>
      </c>
      <c r="AC30" s="4">
        <v>3</v>
      </c>
      <c r="AD30" s="4">
        <v>6</v>
      </c>
      <c r="AE30" s="4">
        <v>6</v>
      </c>
      <c r="AF30" s="4">
        <v>3</v>
      </c>
      <c r="AG30" s="4">
        <v>3</v>
      </c>
      <c r="AH30" s="4">
        <v>0</v>
      </c>
      <c r="AI30" s="4">
        <v>0</v>
      </c>
      <c r="AJ30" s="4">
        <v>2</v>
      </c>
      <c r="AK30" s="4">
        <v>2</v>
      </c>
      <c r="AL30" s="4">
        <v>2</v>
      </c>
      <c r="AM30" s="4">
        <v>2</v>
      </c>
      <c r="AN30" s="4">
        <v>0</v>
      </c>
      <c r="AO30" s="4">
        <v>0</v>
      </c>
      <c r="AP30" s="3" t="s">
        <v>58</v>
      </c>
      <c r="AQ30" s="3" t="s">
        <v>68</v>
      </c>
      <c r="AR30" s="6" t="str">
        <f>HYPERLINK("http://catalog.hathitrust.org/Record/002490963","HathiTrust Record")</f>
        <v>HathiTrust Record</v>
      </c>
      <c r="AS30" s="6" t="str">
        <f>HYPERLINK("https://creighton-primo.hosted.exlibrisgroup.com/primo-explore/search?tab=default_tab&amp;search_scope=EVERYTHING&amp;vid=01CRU&amp;lang=en_US&amp;offset=0&amp;query=any,contains,991001894519702656","Catalog Record")</f>
        <v>Catalog Record</v>
      </c>
      <c r="AT30" s="6" t="str">
        <f>HYPERLINK("http://www.worldcat.org/oclc/23940302","WorldCat Record")</f>
        <v>WorldCat Record</v>
      </c>
      <c r="AU30" s="3" t="s">
        <v>469</v>
      </c>
      <c r="AV30" s="3" t="s">
        <v>470</v>
      </c>
      <c r="AW30" s="3" t="s">
        <v>471</v>
      </c>
      <c r="AX30" s="3" t="s">
        <v>471</v>
      </c>
      <c r="AY30" s="3" t="s">
        <v>472</v>
      </c>
      <c r="AZ30" s="3" t="s">
        <v>73</v>
      </c>
      <c r="BB30" s="3" t="s">
        <v>473</v>
      </c>
      <c r="BC30" s="3" t="s">
        <v>474</v>
      </c>
      <c r="BD30" s="3" t="s">
        <v>475</v>
      </c>
    </row>
    <row r="31" spans="1:56" ht="38.25" customHeight="1" x14ac:dyDescent="0.25">
      <c r="A31" s="7" t="s">
        <v>58</v>
      </c>
      <c r="B31" s="2" t="s">
        <v>476</v>
      </c>
      <c r="C31" s="2" t="s">
        <v>477</v>
      </c>
      <c r="D31" s="2" t="s">
        <v>478</v>
      </c>
      <c r="F31" s="3" t="s">
        <v>58</v>
      </c>
      <c r="G31" s="3" t="s">
        <v>59</v>
      </c>
      <c r="H31" s="3" t="s">
        <v>58</v>
      </c>
      <c r="I31" s="3" t="s">
        <v>58</v>
      </c>
      <c r="J31" s="3" t="s">
        <v>60</v>
      </c>
      <c r="K31" s="2" t="s">
        <v>479</v>
      </c>
      <c r="L31" s="2" t="s">
        <v>480</v>
      </c>
      <c r="M31" s="3" t="s">
        <v>481</v>
      </c>
      <c r="O31" s="3" t="s">
        <v>64</v>
      </c>
      <c r="P31" s="3" t="s">
        <v>453</v>
      </c>
      <c r="R31" s="3" t="s">
        <v>66</v>
      </c>
      <c r="S31" s="4">
        <v>1</v>
      </c>
      <c r="T31" s="4">
        <v>1</v>
      </c>
      <c r="U31" s="5" t="s">
        <v>482</v>
      </c>
      <c r="V31" s="5" t="s">
        <v>482</v>
      </c>
      <c r="W31" s="5" t="s">
        <v>235</v>
      </c>
      <c r="X31" s="5" t="s">
        <v>235</v>
      </c>
      <c r="Y31" s="4">
        <v>269</v>
      </c>
      <c r="Z31" s="4">
        <v>249</v>
      </c>
      <c r="AA31" s="4">
        <v>606</v>
      </c>
      <c r="AB31" s="4">
        <v>4</v>
      </c>
      <c r="AC31" s="4">
        <v>8</v>
      </c>
      <c r="AD31" s="4">
        <v>13</v>
      </c>
      <c r="AE31" s="4">
        <v>29</v>
      </c>
      <c r="AF31" s="4">
        <v>3</v>
      </c>
      <c r="AG31" s="4">
        <v>8</v>
      </c>
      <c r="AH31" s="4">
        <v>2</v>
      </c>
      <c r="AI31" s="4">
        <v>6</v>
      </c>
      <c r="AJ31" s="4">
        <v>7</v>
      </c>
      <c r="AK31" s="4">
        <v>13</v>
      </c>
      <c r="AL31" s="4">
        <v>2</v>
      </c>
      <c r="AM31" s="4">
        <v>6</v>
      </c>
      <c r="AN31" s="4">
        <v>0</v>
      </c>
      <c r="AO31" s="4">
        <v>1</v>
      </c>
      <c r="AP31" s="3" t="s">
        <v>58</v>
      </c>
      <c r="AQ31" s="3" t="s">
        <v>68</v>
      </c>
      <c r="AR31" s="6" t="str">
        <f>HYPERLINK("http://catalog.hathitrust.org/Record/001139311","HathiTrust Record")</f>
        <v>HathiTrust Record</v>
      </c>
      <c r="AS31" s="6" t="str">
        <f>HYPERLINK("https://creighton-primo.hosted.exlibrisgroup.com/primo-explore/search?tab=default_tab&amp;search_scope=EVERYTHING&amp;vid=01CRU&amp;lang=en_US&amp;offset=0&amp;query=any,contains,991003404269702656","Catalog Record")</f>
        <v>Catalog Record</v>
      </c>
      <c r="AT31" s="6" t="str">
        <f>HYPERLINK("http://www.worldcat.org/oclc/943885","WorldCat Record")</f>
        <v>WorldCat Record</v>
      </c>
      <c r="AU31" s="3" t="s">
        <v>483</v>
      </c>
      <c r="AV31" s="3" t="s">
        <v>484</v>
      </c>
      <c r="AW31" s="3" t="s">
        <v>485</v>
      </c>
      <c r="AX31" s="3" t="s">
        <v>485</v>
      </c>
      <c r="AY31" s="3" t="s">
        <v>486</v>
      </c>
      <c r="AZ31" s="3" t="s">
        <v>73</v>
      </c>
      <c r="BC31" s="3" t="s">
        <v>487</v>
      </c>
      <c r="BD31" s="3" t="s">
        <v>488</v>
      </c>
    </row>
    <row r="32" spans="1:56" ht="38.25" customHeight="1" x14ac:dyDescent="0.25">
      <c r="A32" s="7" t="s">
        <v>58</v>
      </c>
      <c r="B32" s="2" t="s">
        <v>489</v>
      </c>
      <c r="C32" s="2" t="s">
        <v>490</v>
      </c>
      <c r="D32" s="2" t="s">
        <v>491</v>
      </c>
      <c r="F32" s="3" t="s">
        <v>58</v>
      </c>
      <c r="G32" s="3" t="s">
        <v>59</v>
      </c>
      <c r="H32" s="3" t="s">
        <v>58</v>
      </c>
      <c r="I32" s="3" t="s">
        <v>58</v>
      </c>
      <c r="J32" s="3" t="s">
        <v>60</v>
      </c>
      <c r="K32" s="2" t="s">
        <v>492</v>
      </c>
      <c r="L32" s="2" t="s">
        <v>493</v>
      </c>
      <c r="M32" s="3" t="s">
        <v>494</v>
      </c>
      <c r="O32" s="3" t="s">
        <v>64</v>
      </c>
      <c r="P32" s="3" t="s">
        <v>65</v>
      </c>
      <c r="Q32" s="2" t="s">
        <v>495</v>
      </c>
      <c r="R32" s="3" t="s">
        <v>66</v>
      </c>
      <c r="S32" s="4">
        <v>1</v>
      </c>
      <c r="T32" s="4">
        <v>1</v>
      </c>
      <c r="U32" s="5" t="s">
        <v>496</v>
      </c>
      <c r="V32" s="5" t="s">
        <v>496</v>
      </c>
      <c r="W32" s="5" t="s">
        <v>497</v>
      </c>
      <c r="X32" s="5" t="s">
        <v>497</v>
      </c>
      <c r="Y32" s="4">
        <v>304</v>
      </c>
      <c r="Z32" s="4">
        <v>274</v>
      </c>
      <c r="AA32" s="4">
        <v>853</v>
      </c>
      <c r="AB32" s="4">
        <v>2</v>
      </c>
      <c r="AC32" s="4">
        <v>4</v>
      </c>
      <c r="AD32" s="4">
        <v>14</v>
      </c>
      <c r="AE32" s="4">
        <v>40</v>
      </c>
      <c r="AF32" s="4">
        <v>4</v>
      </c>
      <c r="AG32" s="4">
        <v>16</v>
      </c>
      <c r="AH32" s="4">
        <v>4</v>
      </c>
      <c r="AI32" s="4">
        <v>9</v>
      </c>
      <c r="AJ32" s="4">
        <v>8</v>
      </c>
      <c r="AK32" s="4">
        <v>23</v>
      </c>
      <c r="AL32" s="4">
        <v>0</v>
      </c>
      <c r="AM32" s="4">
        <v>2</v>
      </c>
      <c r="AN32" s="4">
        <v>1</v>
      </c>
      <c r="AO32" s="4">
        <v>1</v>
      </c>
      <c r="AP32" s="3" t="s">
        <v>58</v>
      </c>
      <c r="AQ32" s="3" t="s">
        <v>58</v>
      </c>
      <c r="AS32" s="6" t="str">
        <f>HYPERLINK("https://creighton-primo.hosted.exlibrisgroup.com/primo-explore/search?tab=default_tab&amp;search_scope=EVERYTHING&amp;vid=01CRU&amp;lang=en_US&amp;offset=0&amp;query=any,contains,991003590639702656","Catalog Record")</f>
        <v>Catalog Record</v>
      </c>
      <c r="AT32" s="6" t="str">
        <f>HYPERLINK("http://www.worldcat.org/oclc/834630","WorldCat Record")</f>
        <v>WorldCat Record</v>
      </c>
      <c r="AU32" s="3" t="s">
        <v>498</v>
      </c>
      <c r="AV32" s="3" t="s">
        <v>499</v>
      </c>
      <c r="AW32" s="3" t="s">
        <v>500</v>
      </c>
      <c r="AX32" s="3" t="s">
        <v>500</v>
      </c>
      <c r="AY32" s="3" t="s">
        <v>501</v>
      </c>
      <c r="AZ32" s="3" t="s">
        <v>73</v>
      </c>
      <c r="BC32" s="3" t="s">
        <v>502</v>
      </c>
      <c r="BD32" s="3" t="s">
        <v>503</v>
      </c>
    </row>
    <row r="33" spans="1:56" ht="38.25" customHeight="1" x14ac:dyDescent="0.25">
      <c r="A33" s="7" t="s">
        <v>58</v>
      </c>
      <c r="B33" s="2" t="s">
        <v>504</v>
      </c>
      <c r="C33" s="2" t="s">
        <v>505</v>
      </c>
      <c r="D33" s="2" t="s">
        <v>506</v>
      </c>
      <c r="F33" s="3" t="s">
        <v>58</v>
      </c>
      <c r="G33" s="3" t="s">
        <v>59</v>
      </c>
      <c r="H33" s="3" t="s">
        <v>58</v>
      </c>
      <c r="I33" s="3" t="s">
        <v>58</v>
      </c>
      <c r="J33" s="3" t="s">
        <v>60</v>
      </c>
      <c r="L33" s="2" t="s">
        <v>507</v>
      </c>
      <c r="M33" s="3" t="s">
        <v>508</v>
      </c>
      <c r="O33" s="3" t="s">
        <v>64</v>
      </c>
      <c r="P33" s="3" t="s">
        <v>114</v>
      </c>
      <c r="R33" s="3" t="s">
        <v>66</v>
      </c>
      <c r="S33" s="4">
        <v>0</v>
      </c>
      <c r="T33" s="4">
        <v>0</v>
      </c>
      <c r="U33" s="5" t="s">
        <v>509</v>
      </c>
      <c r="V33" s="5" t="s">
        <v>509</v>
      </c>
      <c r="W33" s="5" t="s">
        <v>510</v>
      </c>
      <c r="X33" s="5" t="s">
        <v>510</v>
      </c>
      <c r="Y33" s="4">
        <v>352</v>
      </c>
      <c r="Z33" s="4">
        <v>201</v>
      </c>
      <c r="AA33" s="4">
        <v>228</v>
      </c>
      <c r="AB33" s="4">
        <v>2</v>
      </c>
      <c r="AC33" s="4">
        <v>2</v>
      </c>
      <c r="AD33" s="4">
        <v>22</v>
      </c>
      <c r="AE33" s="4">
        <v>22</v>
      </c>
      <c r="AF33" s="4">
        <v>8</v>
      </c>
      <c r="AG33" s="4">
        <v>8</v>
      </c>
      <c r="AH33" s="4">
        <v>9</v>
      </c>
      <c r="AI33" s="4">
        <v>9</v>
      </c>
      <c r="AJ33" s="4">
        <v>13</v>
      </c>
      <c r="AK33" s="4">
        <v>13</v>
      </c>
      <c r="AL33" s="4">
        <v>1</v>
      </c>
      <c r="AM33" s="4">
        <v>1</v>
      </c>
      <c r="AN33" s="4">
        <v>0</v>
      </c>
      <c r="AO33" s="4">
        <v>0</v>
      </c>
      <c r="AP33" s="3" t="s">
        <v>58</v>
      </c>
      <c r="AQ33" s="3" t="s">
        <v>58</v>
      </c>
      <c r="AS33" s="6" t="str">
        <f>HYPERLINK("https://creighton-primo.hosted.exlibrisgroup.com/primo-explore/search?tab=default_tab&amp;search_scope=EVERYTHING&amp;vid=01CRU&amp;lang=en_US&amp;offset=0&amp;query=any,contains,991002056979702656","Catalog Record")</f>
        <v>Catalog Record</v>
      </c>
      <c r="AT33" s="6" t="str">
        <f>HYPERLINK("http://www.worldcat.org/oclc/26305065","WorldCat Record")</f>
        <v>WorldCat Record</v>
      </c>
      <c r="AU33" s="3" t="s">
        <v>511</v>
      </c>
      <c r="AV33" s="3" t="s">
        <v>512</v>
      </c>
      <c r="AW33" s="3" t="s">
        <v>513</v>
      </c>
      <c r="AX33" s="3" t="s">
        <v>513</v>
      </c>
      <c r="AY33" s="3" t="s">
        <v>514</v>
      </c>
      <c r="AZ33" s="3" t="s">
        <v>73</v>
      </c>
      <c r="BB33" s="3" t="s">
        <v>515</v>
      </c>
      <c r="BC33" s="3" t="s">
        <v>516</v>
      </c>
      <c r="BD33" s="3" t="s">
        <v>517</v>
      </c>
    </row>
    <row r="34" spans="1:56" ht="38.25" customHeight="1" x14ac:dyDescent="0.25">
      <c r="A34" s="7" t="s">
        <v>58</v>
      </c>
      <c r="B34" s="2" t="s">
        <v>518</v>
      </c>
      <c r="C34" s="2" t="s">
        <v>519</v>
      </c>
      <c r="D34" s="2" t="s">
        <v>520</v>
      </c>
      <c r="F34" s="3" t="s">
        <v>58</v>
      </c>
      <c r="G34" s="3" t="s">
        <v>59</v>
      </c>
      <c r="H34" s="3" t="s">
        <v>58</v>
      </c>
      <c r="I34" s="3" t="s">
        <v>58</v>
      </c>
      <c r="J34" s="3" t="s">
        <v>60</v>
      </c>
      <c r="K34" s="2" t="s">
        <v>521</v>
      </c>
      <c r="L34" s="2" t="s">
        <v>522</v>
      </c>
      <c r="M34" s="3" t="s">
        <v>523</v>
      </c>
      <c r="N34" s="2" t="s">
        <v>524</v>
      </c>
      <c r="O34" s="3" t="s">
        <v>64</v>
      </c>
      <c r="P34" s="3" t="s">
        <v>65</v>
      </c>
      <c r="R34" s="3" t="s">
        <v>66</v>
      </c>
      <c r="S34" s="4">
        <v>1</v>
      </c>
      <c r="T34" s="4">
        <v>1</v>
      </c>
      <c r="U34" s="5" t="s">
        <v>525</v>
      </c>
      <c r="V34" s="5" t="s">
        <v>525</v>
      </c>
      <c r="W34" s="5" t="s">
        <v>526</v>
      </c>
      <c r="X34" s="5" t="s">
        <v>526</v>
      </c>
      <c r="Y34" s="4">
        <v>570</v>
      </c>
      <c r="Z34" s="4">
        <v>529</v>
      </c>
      <c r="AA34" s="4">
        <v>537</v>
      </c>
      <c r="AB34" s="4">
        <v>3</v>
      </c>
      <c r="AC34" s="4">
        <v>3</v>
      </c>
      <c r="AD34" s="4">
        <v>22</v>
      </c>
      <c r="AE34" s="4">
        <v>22</v>
      </c>
      <c r="AF34" s="4">
        <v>8</v>
      </c>
      <c r="AG34" s="4">
        <v>8</v>
      </c>
      <c r="AH34" s="4">
        <v>5</v>
      </c>
      <c r="AI34" s="4">
        <v>5</v>
      </c>
      <c r="AJ34" s="4">
        <v>12</v>
      </c>
      <c r="AK34" s="4">
        <v>12</v>
      </c>
      <c r="AL34" s="4">
        <v>2</v>
      </c>
      <c r="AM34" s="4">
        <v>2</v>
      </c>
      <c r="AN34" s="4">
        <v>1</v>
      </c>
      <c r="AO34" s="4">
        <v>1</v>
      </c>
      <c r="AP34" s="3" t="s">
        <v>58</v>
      </c>
      <c r="AQ34" s="3" t="s">
        <v>68</v>
      </c>
      <c r="AR34" s="6" t="str">
        <f>HYPERLINK("http://catalog.hathitrust.org/Record/002503272","HathiTrust Record")</f>
        <v>HathiTrust Record</v>
      </c>
      <c r="AS34" s="6" t="str">
        <f>HYPERLINK("https://creighton-primo.hosted.exlibrisgroup.com/primo-explore/search?tab=default_tab&amp;search_scope=EVERYTHING&amp;vid=01CRU&amp;lang=en_US&amp;offset=0&amp;query=any,contains,991001842199702656","Catalog Record")</f>
        <v>Catalog Record</v>
      </c>
      <c r="AT34" s="6" t="str">
        <f>HYPERLINK("http://www.worldcat.org/oclc/23142537","WorldCat Record")</f>
        <v>WorldCat Record</v>
      </c>
      <c r="AU34" s="3" t="s">
        <v>527</v>
      </c>
      <c r="AV34" s="3" t="s">
        <v>528</v>
      </c>
      <c r="AW34" s="3" t="s">
        <v>529</v>
      </c>
      <c r="AX34" s="3" t="s">
        <v>529</v>
      </c>
      <c r="AY34" s="3" t="s">
        <v>530</v>
      </c>
      <c r="AZ34" s="3" t="s">
        <v>73</v>
      </c>
      <c r="BB34" s="3" t="s">
        <v>531</v>
      </c>
      <c r="BC34" s="3" t="s">
        <v>532</v>
      </c>
      <c r="BD34" s="3" t="s">
        <v>533</v>
      </c>
    </row>
    <row r="35" spans="1:56" ht="38.25" customHeight="1" x14ac:dyDescent="0.25">
      <c r="A35" s="7" t="s">
        <v>58</v>
      </c>
      <c r="B35" s="2" t="s">
        <v>534</v>
      </c>
      <c r="C35" s="2" t="s">
        <v>535</v>
      </c>
      <c r="D35" s="2" t="s">
        <v>536</v>
      </c>
      <c r="F35" s="3" t="s">
        <v>58</v>
      </c>
      <c r="G35" s="3" t="s">
        <v>59</v>
      </c>
      <c r="H35" s="3" t="s">
        <v>58</v>
      </c>
      <c r="I35" s="3" t="s">
        <v>58</v>
      </c>
      <c r="J35" s="3" t="s">
        <v>60</v>
      </c>
      <c r="K35" s="2" t="s">
        <v>537</v>
      </c>
      <c r="L35" s="2" t="s">
        <v>538</v>
      </c>
      <c r="M35" s="3" t="s">
        <v>466</v>
      </c>
      <c r="O35" s="3" t="s">
        <v>64</v>
      </c>
      <c r="P35" s="3" t="s">
        <v>147</v>
      </c>
      <c r="R35" s="3" t="s">
        <v>66</v>
      </c>
      <c r="S35" s="4">
        <v>1</v>
      </c>
      <c r="T35" s="4">
        <v>1</v>
      </c>
      <c r="U35" s="5" t="s">
        <v>539</v>
      </c>
      <c r="V35" s="5" t="s">
        <v>539</v>
      </c>
      <c r="W35" s="5" t="s">
        <v>540</v>
      </c>
      <c r="X35" s="5" t="s">
        <v>540</v>
      </c>
      <c r="Y35" s="4">
        <v>315</v>
      </c>
      <c r="Z35" s="4">
        <v>246</v>
      </c>
      <c r="AA35" s="4">
        <v>274</v>
      </c>
      <c r="AB35" s="4">
        <v>1</v>
      </c>
      <c r="AC35" s="4">
        <v>2</v>
      </c>
      <c r="AD35" s="4">
        <v>15</v>
      </c>
      <c r="AE35" s="4">
        <v>17</v>
      </c>
      <c r="AF35" s="4">
        <v>4</v>
      </c>
      <c r="AG35" s="4">
        <v>4</v>
      </c>
      <c r="AH35" s="4">
        <v>4</v>
      </c>
      <c r="AI35" s="4">
        <v>5</v>
      </c>
      <c r="AJ35" s="4">
        <v>12</v>
      </c>
      <c r="AK35" s="4">
        <v>13</v>
      </c>
      <c r="AL35" s="4">
        <v>0</v>
      </c>
      <c r="AM35" s="4">
        <v>1</v>
      </c>
      <c r="AN35" s="4">
        <v>0</v>
      </c>
      <c r="AO35" s="4">
        <v>0</v>
      </c>
      <c r="AP35" s="3" t="s">
        <v>58</v>
      </c>
      <c r="AQ35" s="3" t="s">
        <v>58</v>
      </c>
      <c r="AS35" s="6" t="str">
        <f>HYPERLINK("https://creighton-primo.hosted.exlibrisgroup.com/primo-explore/search?tab=default_tab&amp;search_scope=EVERYTHING&amp;vid=01CRU&amp;lang=en_US&amp;offset=0&amp;query=any,contains,991002037669702656","Catalog Record")</f>
        <v>Catalog Record</v>
      </c>
      <c r="AT35" s="6" t="str">
        <f>HYPERLINK("http://www.worldcat.org/oclc/25979995","WorldCat Record")</f>
        <v>WorldCat Record</v>
      </c>
      <c r="AU35" s="3" t="s">
        <v>541</v>
      </c>
      <c r="AV35" s="3" t="s">
        <v>542</v>
      </c>
      <c r="AW35" s="3" t="s">
        <v>543</v>
      </c>
      <c r="AX35" s="3" t="s">
        <v>543</v>
      </c>
      <c r="AY35" s="3" t="s">
        <v>544</v>
      </c>
      <c r="AZ35" s="3" t="s">
        <v>73</v>
      </c>
      <c r="BB35" s="3" t="s">
        <v>545</v>
      </c>
      <c r="BC35" s="3" t="s">
        <v>546</v>
      </c>
      <c r="BD35" s="3" t="s">
        <v>547</v>
      </c>
    </row>
    <row r="36" spans="1:56" ht="38.25" customHeight="1" x14ac:dyDescent="0.25">
      <c r="A36" s="7" t="s">
        <v>58</v>
      </c>
      <c r="B36" s="2" t="s">
        <v>548</v>
      </c>
      <c r="C36" s="2" t="s">
        <v>549</v>
      </c>
      <c r="D36" s="2" t="s">
        <v>550</v>
      </c>
      <c r="F36" s="3" t="s">
        <v>58</v>
      </c>
      <c r="G36" s="3" t="s">
        <v>59</v>
      </c>
      <c r="H36" s="3" t="s">
        <v>58</v>
      </c>
      <c r="I36" s="3" t="s">
        <v>58</v>
      </c>
      <c r="J36" s="3" t="s">
        <v>60</v>
      </c>
      <c r="K36" s="2" t="s">
        <v>551</v>
      </c>
      <c r="L36" s="2" t="s">
        <v>552</v>
      </c>
      <c r="M36" s="3" t="s">
        <v>481</v>
      </c>
      <c r="O36" s="3" t="s">
        <v>64</v>
      </c>
      <c r="P36" s="3" t="s">
        <v>65</v>
      </c>
      <c r="R36" s="3" t="s">
        <v>66</v>
      </c>
      <c r="S36" s="4">
        <v>1</v>
      </c>
      <c r="T36" s="4">
        <v>1</v>
      </c>
      <c r="U36" s="5" t="s">
        <v>553</v>
      </c>
      <c r="V36" s="5" t="s">
        <v>553</v>
      </c>
      <c r="W36" s="5" t="s">
        <v>554</v>
      </c>
      <c r="X36" s="5" t="s">
        <v>554</v>
      </c>
      <c r="Y36" s="4">
        <v>289</v>
      </c>
      <c r="Z36" s="4">
        <v>268</v>
      </c>
      <c r="AA36" s="4">
        <v>778</v>
      </c>
      <c r="AB36" s="4">
        <v>4</v>
      </c>
      <c r="AC36" s="4">
        <v>9</v>
      </c>
      <c r="AD36" s="4">
        <v>20</v>
      </c>
      <c r="AE36" s="4">
        <v>40</v>
      </c>
      <c r="AF36" s="4">
        <v>9</v>
      </c>
      <c r="AG36" s="4">
        <v>14</v>
      </c>
      <c r="AH36" s="4">
        <v>2</v>
      </c>
      <c r="AI36" s="4">
        <v>7</v>
      </c>
      <c r="AJ36" s="4">
        <v>9</v>
      </c>
      <c r="AK36" s="4">
        <v>18</v>
      </c>
      <c r="AL36" s="4">
        <v>2</v>
      </c>
      <c r="AM36" s="4">
        <v>7</v>
      </c>
      <c r="AN36" s="4">
        <v>1</v>
      </c>
      <c r="AO36" s="4">
        <v>1</v>
      </c>
      <c r="AP36" s="3" t="s">
        <v>58</v>
      </c>
      <c r="AQ36" s="3" t="s">
        <v>68</v>
      </c>
      <c r="AR36" s="6" t="str">
        <f>HYPERLINK("http://catalog.hathitrust.org/Record/001139349","HathiTrust Record")</f>
        <v>HathiTrust Record</v>
      </c>
      <c r="AS36" s="6" t="str">
        <f>HYPERLINK("https://creighton-primo.hosted.exlibrisgroup.com/primo-explore/search?tab=default_tab&amp;search_scope=EVERYTHING&amp;vid=01CRU&amp;lang=en_US&amp;offset=0&amp;query=any,contains,991002311559702656","Catalog Record")</f>
        <v>Catalog Record</v>
      </c>
      <c r="AT36" s="6" t="str">
        <f>HYPERLINK("http://www.worldcat.org/oclc/30025431","WorldCat Record")</f>
        <v>WorldCat Record</v>
      </c>
      <c r="AU36" s="3" t="s">
        <v>555</v>
      </c>
      <c r="AV36" s="3" t="s">
        <v>556</v>
      </c>
      <c r="AW36" s="3" t="s">
        <v>557</v>
      </c>
      <c r="AX36" s="3" t="s">
        <v>557</v>
      </c>
      <c r="AY36" s="3" t="s">
        <v>558</v>
      </c>
      <c r="AZ36" s="3" t="s">
        <v>73</v>
      </c>
      <c r="BC36" s="3" t="s">
        <v>559</v>
      </c>
      <c r="BD36" s="3" t="s">
        <v>560</v>
      </c>
    </row>
    <row r="37" spans="1:56" ht="38.25" customHeight="1" x14ac:dyDescent="0.25">
      <c r="A37" s="7" t="s">
        <v>58</v>
      </c>
      <c r="B37" s="2" t="s">
        <v>561</v>
      </c>
      <c r="C37" s="2" t="s">
        <v>562</v>
      </c>
      <c r="D37" s="2" t="s">
        <v>563</v>
      </c>
      <c r="F37" s="3" t="s">
        <v>58</v>
      </c>
      <c r="G37" s="3" t="s">
        <v>59</v>
      </c>
      <c r="H37" s="3" t="s">
        <v>58</v>
      </c>
      <c r="I37" s="3" t="s">
        <v>58</v>
      </c>
      <c r="J37" s="3" t="s">
        <v>60</v>
      </c>
      <c r="K37" s="2" t="s">
        <v>564</v>
      </c>
      <c r="L37" s="2" t="s">
        <v>565</v>
      </c>
      <c r="M37" s="3" t="s">
        <v>566</v>
      </c>
      <c r="O37" s="3" t="s">
        <v>64</v>
      </c>
      <c r="P37" s="3" t="s">
        <v>65</v>
      </c>
      <c r="Q37" s="2" t="s">
        <v>567</v>
      </c>
      <c r="R37" s="3" t="s">
        <v>66</v>
      </c>
      <c r="S37" s="4">
        <v>1</v>
      </c>
      <c r="T37" s="4">
        <v>1</v>
      </c>
      <c r="U37" s="5" t="s">
        <v>67</v>
      </c>
      <c r="V37" s="5" t="s">
        <v>67</v>
      </c>
      <c r="W37" s="5" t="s">
        <v>67</v>
      </c>
      <c r="X37" s="5" t="s">
        <v>67</v>
      </c>
      <c r="Y37" s="4">
        <v>709</v>
      </c>
      <c r="Z37" s="4">
        <v>614</v>
      </c>
      <c r="AA37" s="4">
        <v>1353</v>
      </c>
      <c r="AB37" s="4">
        <v>4</v>
      </c>
      <c r="AC37" s="4">
        <v>7</v>
      </c>
      <c r="AD37" s="4">
        <v>30</v>
      </c>
      <c r="AE37" s="4">
        <v>38</v>
      </c>
      <c r="AF37" s="4">
        <v>15</v>
      </c>
      <c r="AG37" s="4">
        <v>19</v>
      </c>
      <c r="AH37" s="4">
        <v>7</v>
      </c>
      <c r="AI37" s="4">
        <v>7</v>
      </c>
      <c r="AJ37" s="4">
        <v>13</v>
      </c>
      <c r="AK37" s="4">
        <v>15</v>
      </c>
      <c r="AL37" s="4">
        <v>3</v>
      </c>
      <c r="AM37" s="4">
        <v>6</v>
      </c>
      <c r="AN37" s="4">
        <v>0</v>
      </c>
      <c r="AO37" s="4">
        <v>0</v>
      </c>
      <c r="AP37" s="3" t="s">
        <v>58</v>
      </c>
      <c r="AQ37" s="3" t="s">
        <v>68</v>
      </c>
      <c r="AR37" s="6" t="str">
        <f>HYPERLINK("http://catalog.hathitrust.org/Record/004042687","HathiTrust Record")</f>
        <v>HathiTrust Record</v>
      </c>
      <c r="AS37" s="6" t="str">
        <f>HYPERLINK("https://creighton-primo.hosted.exlibrisgroup.com/primo-explore/search?tab=default_tab&amp;search_scope=EVERYTHING&amp;vid=01CRU&amp;lang=en_US&amp;offset=0&amp;query=any,contains,991003621779702656","Catalog Record")</f>
        <v>Catalog Record</v>
      </c>
      <c r="AT37" s="6" t="str">
        <f>HYPERLINK("http://www.worldcat.org/oclc/40595344","WorldCat Record")</f>
        <v>WorldCat Record</v>
      </c>
      <c r="AU37" s="3" t="s">
        <v>568</v>
      </c>
      <c r="AV37" s="3" t="s">
        <v>569</v>
      </c>
      <c r="AW37" s="3" t="s">
        <v>570</v>
      </c>
      <c r="AX37" s="3" t="s">
        <v>570</v>
      </c>
      <c r="AY37" s="3" t="s">
        <v>571</v>
      </c>
      <c r="AZ37" s="3" t="s">
        <v>73</v>
      </c>
      <c r="BB37" s="3" t="s">
        <v>572</v>
      </c>
      <c r="BC37" s="3" t="s">
        <v>573</v>
      </c>
      <c r="BD37" s="3" t="s">
        <v>574</v>
      </c>
    </row>
    <row r="38" spans="1:56" ht="38.25" customHeight="1" x14ac:dyDescent="0.25">
      <c r="A38" s="7" t="s">
        <v>58</v>
      </c>
      <c r="B38" s="2" t="s">
        <v>575</v>
      </c>
      <c r="C38" s="2" t="s">
        <v>576</v>
      </c>
      <c r="D38" s="2" t="s">
        <v>577</v>
      </c>
      <c r="F38" s="3" t="s">
        <v>58</v>
      </c>
      <c r="G38" s="3" t="s">
        <v>59</v>
      </c>
      <c r="H38" s="3" t="s">
        <v>58</v>
      </c>
      <c r="I38" s="3" t="s">
        <v>58</v>
      </c>
      <c r="J38" s="3" t="s">
        <v>60</v>
      </c>
      <c r="K38" s="2" t="s">
        <v>578</v>
      </c>
      <c r="L38" s="2" t="s">
        <v>579</v>
      </c>
      <c r="M38" s="3" t="s">
        <v>97</v>
      </c>
      <c r="O38" s="3" t="s">
        <v>64</v>
      </c>
      <c r="P38" s="3" t="s">
        <v>580</v>
      </c>
      <c r="R38" s="3" t="s">
        <v>66</v>
      </c>
      <c r="S38" s="4">
        <v>1</v>
      </c>
      <c r="T38" s="4">
        <v>1</v>
      </c>
      <c r="U38" s="5" t="s">
        <v>581</v>
      </c>
      <c r="V38" s="5" t="s">
        <v>581</v>
      </c>
      <c r="W38" s="5" t="s">
        <v>581</v>
      </c>
      <c r="X38" s="5" t="s">
        <v>581</v>
      </c>
      <c r="Y38" s="4">
        <v>467</v>
      </c>
      <c r="Z38" s="4">
        <v>351</v>
      </c>
      <c r="AA38" s="4">
        <v>352</v>
      </c>
      <c r="AB38" s="4">
        <v>2</v>
      </c>
      <c r="AC38" s="4">
        <v>2</v>
      </c>
      <c r="AD38" s="4">
        <v>19</v>
      </c>
      <c r="AE38" s="4">
        <v>19</v>
      </c>
      <c r="AF38" s="4">
        <v>13</v>
      </c>
      <c r="AG38" s="4">
        <v>13</v>
      </c>
      <c r="AH38" s="4">
        <v>5</v>
      </c>
      <c r="AI38" s="4">
        <v>5</v>
      </c>
      <c r="AJ38" s="4">
        <v>7</v>
      </c>
      <c r="AK38" s="4">
        <v>7</v>
      </c>
      <c r="AL38" s="4">
        <v>1</v>
      </c>
      <c r="AM38" s="4">
        <v>1</v>
      </c>
      <c r="AN38" s="4">
        <v>0</v>
      </c>
      <c r="AO38" s="4">
        <v>0</v>
      </c>
      <c r="AP38" s="3" t="s">
        <v>58</v>
      </c>
      <c r="AQ38" s="3" t="s">
        <v>58</v>
      </c>
      <c r="AS38" s="6" t="str">
        <f>HYPERLINK("https://creighton-primo.hosted.exlibrisgroup.com/primo-explore/search?tab=default_tab&amp;search_scope=EVERYTHING&amp;vid=01CRU&amp;lang=en_US&amp;offset=0&amp;query=any,contains,991004383239702656","Catalog Record")</f>
        <v>Catalog Record</v>
      </c>
      <c r="AT38" s="6" t="str">
        <f>HYPERLINK("http://www.worldcat.org/oclc/48762466","WorldCat Record")</f>
        <v>WorldCat Record</v>
      </c>
      <c r="AU38" s="3" t="s">
        <v>582</v>
      </c>
      <c r="AV38" s="3" t="s">
        <v>583</v>
      </c>
      <c r="AW38" s="3" t="s">
        <v>584</v>
      </c>
      <c r="AX38" s="3" t="s">
        <v>584</v>
      </c>
      <c r="AY38" s="3" t="s">
        <v>585</v>
      </c>
      <c r="AZ38" s="3" t="s">
        <v>73</v>
      </c>
      <c r="BB38" s="3" t="s">
        <v>586</v>
      </c>
      <c r="BC38" s="3" t="s">
        <v>587</v>
      </c>
      <c r="BD38" s="3" t="s">
        <v>588</v>
      </c>
    </row>
    <row r="39" spans="1:56" ht="38.25" customHeight="1" x14ac:dyDescent="0.25">
      <c r="A39" s="7" t="s">
        <v>58</v>
      </c>
      <c r="B39" s="2" t="s">
        <v>589</v>
      </c>
      <c r="C39" s="2" t="s">
        <v>590</v>
      </c>
      <c r="D39" s="2" t="s">
        <v>591</v>
      </c>
      <c r="F39" s="3" t="s">
        <v>58</v>
      </c>
      <c r="G39" s="3" t="s">
        <v>59</v>
      </c>
      <c r="H39" s="3" t="s">
        <v>58</v>
      </c>
      <c r="I39" s="3" t="s">
        <v>58</v>
      </c>
      <c r="J39" s="3" t="s">
        <v>60</v>
      </c>
      <c r="K39" s="2" t="s">
        <v>592</v>
      </c>
      <c r="L39" s="2" t="s">
        <v>593</v>
      </c>
      <c r="M39" s="3" t="s">
        <v>113</v>
      </c>
      <c r="O39" s="3" t="s">
        <v>64</v>
      </c>
      <c r="P39" s="3" t="s">
        <v>594</v>
      </c>
      <c r="R39" s="3" t="s">
        <v>66</v>
      </c>
      <c r="S39" s="4">
        <v>1</v>
      </c>
      <c r="T39" s="4">
        <v>1</v>
      </c>
      <c r="U39" s="5" t="s">
        <v>595</v>
      </c>
      <c r="V39" s="5" t="s">
        <v>595</v>
      </c>
      <c r="W39" s="5" t="s">
        <v>596</v>
      </c>
      <c r="X39" s="5" t="s">
        <v>596</v>
      </c>
      <c r="Y39" s="4">
        <v>491</v>
      </c>
      <c r="Z39" s="4">
        <v>450</v>
      </c>
      <c r="AA39" s="4">
        <v>494</v>
      </c>
      <c r="AB39" s="4">
        <v>4</v>
      </c>
      <c r="AC39" s="4">
        <v>4</v>
      </c>
      <c r="AD39" s="4">
        <v>26</v>
      </c>
      <c r="AE39" s="4">
        <v>26</v>
      </c>
      <c r="AF39" s="4">
        <v>9</v>
      </c>
      <c r="AG39" s="4">
        <v>9</v>
      </c>
      <c r="AH39" s="4">
        <v>8</v>
      </c>
      <c r="AI39" s="4">
        <v>8</v>
      </c>
      <c r="AJ39" s="4">
        <v>13</v>
      </c>
      <c r="AK39" s="4">
        <v>13</v>
      </c>
      <c r="AL39" s="4">
        <v>3</v>
      </c>
      <c r="AM39" s="4">
        <v>3</v>
      </c>
      <c r="AN39" s="4">
        <v>1</v>
      </c>
      <c r="AO39" s="4">
        <v>1</v>
      </c>
      <c r="AP39" s="3" t="s">
        <v>58</v>
      </c>
      <c r="AQ39" s="3" t="s">
        <v>58</v>
      </c>
      <c r="AS39" s="6" t="str">
        <f>HYPERLINK("https://creighton-primo.hosted.exlibrisgroup.com/primo-explore/search?tab=default_tab&amp;search_scope=EVERYTHING&amp;vid=01CRU&amp;lang=en_US&amp;offset=0&amp;query=any,contains,991005236539702656","Catalog Record")</f>
        <v>Catalog Record</v>
      </c>
      <c r="AT39" s="6" t="str">
        <f>HYPERLINK("http://www.worldcat.org/oclc/8386928","WorldCat Record")</f>
        <v>WorldCat Record</v>
      </c>
      <c r="AU39" s="3" t="s">
        <v>597</v>
      </c>
      <c r="AV39" s="3" t="s">
        <v>598</v>
      </c>
      <c r="AW39" s="3" t="s">
        <v>599</v>
      </c>
      <c r="AX39" s="3" t="s">
        <v>599</v>
      </c>
      <c r="AY39" s="3" t="s">
        <v>600</v>
      </c>
      <c r="AZ39" s="3" t="s">
        <v>73</v>
      </c>
      <c r="BB39" s="3" t="s">
        <v>601</v>
      </c>
      <c r="BC39" s="3" t="s">
        <v>602</v>
      </c>
      <c r="BD39" s="3" t="s">
        <v>603</v>
      </c>
    </row>
    <row r="40" spans="1:56" ht="38.25" customHeight="1" x14ac:dyDescent="0.25">
      <c r="A40" s="7" t="s">
        <v>58</v>
      </c>
      <c r="B40" s="2" t="s">
        <v>604</v>
      </c>
      <c r="C40" s="2" t="s">
        <v>605</v>
      </c>
      <c r="D40" s="2" t="s">
        <v>606</v>
      </c>
      <c r="F40" s="3" t="s">
        <v>58</v>
      </c>
      <c r="G40" s="3" t="s">
        <v>59</v>
      </c>
      <c r="H40" s="3" t="s">
        <v>58</v>
      </c>
      <c r="I40" s="3" t="s">
        <v>58</v>
      </c>
      <c r="J40" s="3" t="s">
        <v>60</v>
      </c>
      <c r="K40" s="2" t="s">
        <v>607</v>
      </c>
      <c r="L40" s="2" t="s">
        <v>608</v>
      </c>
      <c r="M40" s="3" t="s">
        <v>609</v>
      </c>
      <c r="O40" s="3" t="s">
        <v>64</v>
      </c>
      <c r="P40" s="3" t="s">
        <v>162</v>
      </c>
      <c r="R40" s="3" t="s">
        <v>610</v>
      </c>
      <c r="S40" s="4">
        <v>1</v>
      </c>
      <c r="T40" s="4">
        <v>1</v>
      </c>
      <c r="U40" s="5" t="s">
        <v>611</v>
      </c>
      <c r="V40" s="5" t="s">
        <v>611</v>
      </c>
      <c r="W40" s="5" t="s">
        <v>612</v>
      </c>
      <c r="X40" s="5" t="s">
        <v>612</v>
      </c>
      <c r="Y40" s="4">
        <v>447</v>
      </c>
      <c r="Z40" s="4">
        <v>391</v>
      </c>
      <c r="AA40" s="4">
        <v>424</v>
      </c>
      <c r="AB40" s="4">
        <v>3</v>
      </c>
      <c r="AC40" s="4">
        <v>3</v>
      </c>
      <c r="AD40" s="4">
        <v>26</v>
      </c>
      <c r="AE40" s="4">
        <v>27</v>
      </c>
      <c r="AF40" s="4">
        <v>2</v>
      </c>
      <c r="AG40" s="4">
        <v>3</v>
      </c>
      <c r="AH40" s="4">
        <v>4</v>
      </c>
      <c r="AI40" s="4">
        <v>4</v>
      </c>
      <c r="AJ40" s="4">
        <v>11</v>
      </c>
      <c r="AK40" s="4">
        <v>11</v>
      </c>
      <c r="AL40" s="4">
        <v>2</v>
      </c>
      <c r="AM40" s="4">
        <v>2</v>
      </c>
      <c r="AN40" s="4">
        <v>10</v>
      </c>
      <c r="AO40" s="4">
        <v>10</v>
      </c>
      <c r="AP40" s="3" t="s">
        <v>58</v>
      </c>
      <c r="AQ40" s="3" t="s">
        <v>68</v>
      </c>
      <c r="AR40" s="6" t="str">
        <f>HYPERLINK("http://catalog.hathitrust.org/Record/000032604","HathiTrust Record")</f>
        <v>HathiTrust Record</v>
      </c>
      <c r="AS40" s="6" t="str">
        <f>HYPERLINK("https://creighton-primo.hosted.exlibrisgroup.com/primo-explore/search?tab=default_tab&amp;search_scope=EVERYTHING&amp;vid=01CRU&amp;lang=en_US&amp;offset=0&amp;query=any,contains,991003538099702656","Catalog Record")</f>
        <v>Catalog Record</v>
      </c>
      <c r="AT40" s="6" t="str">
        <f>HYPERLINK("http://www.worldcat.org/oclc/1103214","WorldCat Record")</f>
        <v>WorldCat Record</v>
      </c>
      <c r="AU40" s="3" t="s">
        <v>613</v>
      </c>
      <c r="AV40" s="3" t="s">
        <v>614</v>
      </c>
      <c r="AW40" s="3" t="s">
        <v>615</v>
      </c>
      <c r="AX40" s="3" t="s">
        <v>615</v>
      </c>
      <c r="AY40" s="3" t="s">
        <v>616</v>
      </c>
      <c r="AZ40" s="3" t="s">
        <v>73</v>
      </c>
      <c r="BB40" s="3" t="s">
        <v>617</v>
      </c>
      <c r="BC40" s="3" t="s">
        <v>618</v>
      </c>
      <c r="BD40" s="3" t="s">
        <v>619</v>
      </c>
    </row>
    <row r="41" spans="1:56" ht="38.25" customHeight="1" x14ac:dyDescent="0.25">
      <c r="A41" s="7" t="s">
        <v>58</v>
      </c>
      <c r="B41" s="2" t="s">
        <v>620</v>
      </c>
      <c r="C41" s="2" t="s">
        <v>621</v>
      </c>
      <c r="D41" s="2" t="s">
        <v>622</v>
      </c>
      <c r="F41" s="3" t="s">
        <v>58</v>
      </c>
      <c r="G41" s="3" t="s">
        <v>59</v>
      </c>
      <c r="H41" s="3" t="s">
        <v>58</v>
      </c>
      <c r="I41" s="3" t="s">
        <v>58</v>
      </c>
      <c r="J41" s="3" t="s">
        <v>60</v>
      </c>
      <c r="L41" s="2" t="s">
        <v>623</v>
      </c>
      <c r="M41" s="3" t="s">
        <v>624</v>
      </c>
      <c r="O41" s="3" t="s">
        <v>64</v>
      </c>
      <c r="P41" s="3" t="s">
        <v>625</v>
      </c>
      <c r="R41" s="3" t="s">
        <v>610</v>
      </c>
      <c r="S41" s="4">
        <v>1</v>
      </c>
      <c r="T41" s="4">
        <v>1</v>
      </c>
      <c r="U41" s="5" t="s">
        <v>611</v>
      </c>
      <c r="V41" s="5" t="s">
        <v>611</v>
      </c>
      <c r="W41" s="5" t="s">
        <v>612</v>
      </c>
      <c r="X41" s="5" t="s">
        <v>612</v>
      </c>
      <c r="Y41" s="4">
        <v>511</v>
      </c>
      <c r="Z41" s="4">
        <v>471</v>
      </c>
      <c r="AA41" s="4">
        <v>496</v>
      </c>
      <c r="AB41" s="4">
        <v>4</v>
      </c>
      <c r="AC41" s="4">
        <v>4</v>
      </c>
      <c r="AD41" s="4">
        <v>30</v>
      </c>
      <c r="AE41" s="4">
        <v>32</v>
      </c>
      <c r="AF41" s="4">
        <v>6</v>
      </c>
      <c r="AG41" s="4">
        <v>6</v>
      </c>
      <c r="AH41" s="4">
        <v>7</v>
      </c>
      <c r="AI41" s="4">
        <v>8</v>
      </c>
      <c r="AJ41" s="4">
        <v>15</v>
      </c>
      <c r="AK41" s="4">
        <v>16</v>
      </c>
      <c r="AL41" s="4">
        <v>2</v>
      </c>
      <c r="AM41" s="4">
        <v>2</v>
      </c>
      <c r="AN41" s="4">
        <v>5</v>
      </c>
      <c r="AO41" s="4">
        <v>6</v>
      </c>
      <c r="AP41" s="3" t="s">
        <v>58</v>
      </c>
      <c r="AQ41" s="3" t="s">
        <v>68</v>
      </c>
      <c r="AR41" s="6" t="str">
        <f>HYPERLINK("http://catalog.hathitrust.org/Record/001434007","HathiTrust Record")</f>
        <v>HathiTrust Record</v>
      </c>
      <c r="AS41" s="6" t="str">
        <f>HYPERLINK("https://creighton-primo.hosted.exlibrisgroup.com/primo-explore/search?tab=default_tab&amp;search_scope=EVERYTHING&amp;vid=01CRU&amp;lang=en_US&amp;offset=0&amp;query=any,contains,991003438039702656","Catalog Record")</f>
        <v>Catalog Record</v>
      </c>
      <c r="AT41" s="6" t="str">
        <f>HYPERLINK("http://www.worldcat.org/oclc/973825","WorldCat Record")</f>
        <v>WorldCat Record</v>
      </c>
      <c r="AU41" s="3" t="s">
        <v>626</v>
      </c>
      <c r="AV41" s="3" t="s">
        <v>627</v>
      </c>
      <c r="AW41" s="3" t="s">
        <v>628</v>
      </c>
      <c r="AX41" s="3" t="s">
        <v>628</v>
      </c>
      <c r="AY41" s="3" t="s">
        <v>629</v>
      </c>
      <c r="AZ41" s="3" t="s">
        <v>73</v>
      </c>
      <c r="BC41" s="3" t="s">
        <v>630</v>
      </c>
      <c r="BD41" s="3" t="s">
        <v>631</v>
      </c>
    </row>
    <row r="42" spans="1:56" ht="38.25" customHeight="1" x14ac:dyDescent="0.25">
      <c r="A42" s="7" t="s">
        <v>58</v>
      </c>
      <c r="B42" s="2" t="s">
        <v>632</v>
      </c>
      <c r="C42" s="2" t="s">
        <v>633</v>
      </c>
      <c r="D42" s="2" t="s">
        <v>634</v>
      </c>
      <c r="F42" s="3" t="s">
        <v>58</v>
      </c>
      <c r="G42" s="3" t="s">
        <v>59</v>
      </c>
      <c r="H42" s="3" t="s">
        <v>58</v>
      </c>
      <c r="I42" s="3" t="s">
        <v>58</v>
      </c>
      <c r="J42" s="3" t="s">
        <v>60</v>
      </c>
      <c r="K42" s="2" t="s">
        <v>635</v>
      </c>
      <c r="L42" s="2" t="s">
        <v>636</v>
      </c>
      <c r="M42" s="3" t="s">
        <v>247</v>
      </c>
      <c r="O42" s="3" t="s">
        <v>64</v>
      </c>
      <c r="P42" s="3" t="s">
        <v>594</v>
      </c>
      <c r="R42" s="3" t="s">
        <v>610</v>
      </c>
      <c r="S42" s="4">
        <v>0</v>
      </c>
      <c r="T42" s="4">
        <v>0</v>
      </c>
      <c r="U42" s="5" t="s">
        <v>637</v>
      </c>
      <c r="V42" s="5" t="s">
        <v>637</v>
      </c>
      <c r="W42" s="5" t="s">
        <v>638</v>
      </c>
      <c r="X42" s="5" t="s">
        <v>638</v>
      </c>
      <c r="Y42" s="4">
        <v>603</v>
      </c>
      <c r="Z42" s="4">
        <v>519</v>
      </c>
      <c r="AA42" s="4">
        <v>550</v>
      </c>
      <c r="AB42" s="4">
        <v>3</v>
      </c>
      <c r="AC42" s="4">
        <v>4</v>
      </c>
      <c r="AD42" s="4">
        <v>37</v>
      </c>
      <c r="AE42" s="4">
        <v>41</v>
      </c>
      <c r="AF42" s="4">
        <v>10</v>
      </c>
      <c r="AG42" s="4">
        <v>12</v>
      </c>
      <c r="AH42" s="4">
        <v>6</v>
      </c>
      <c r="AI42" s="4">
        <v>6</v>
      </c>
      <c r="AJ42" s="4">
        <v>11</v>
      </c>
      <c r="AK42" s="4">
        <v>12</v>
      </c>
      <c r="AL42" s="4">
        <v>2</v>
      </c>
      <c r="AM42" s="4">
        <v>3</v>
      </c>
      <c r="AN42" s="4">
        <v>16</v>
      </c>
      <c r="AO42" s="4">
        <v>16</v>
      </c>
      <c r="AP42" s="3" t="s">
        <v>58</v>
      </c>
      <c r="AQ42" s="3" t="s">
        <v>68</v>
      </c>
      <c r="AR42" s="6" t="str">
        <f>HYPERLINK("http://catalog.hathitrust.org/Record/000874135","HathiTrust Record")</f>
        <v>HathiTrust Record</v>
      </c>
      <c r="AS42" s="6" t="str">
        <f>HYPERLINK("https://creighton-primo.hosted.exlibrisgroup.com/primo-explore/search?tab=default_tab&amp;search_scope=EVERYTHING&amp;vid=01CRU&amp;lang=en_US&amp;offset=0&amp;query=any,contains,991001100139702656","Catalog Record")</f>
        <v>Catalog Record</v>
      </c>
      <c r="AT42" s="6" t="str">
        <f>HYPERLINK("http://www.worldcat.org/oclc/16351727","WorldCat Record")</f>
        <v>WorldCat Record</v>
      </c>
      <c r="AU42" s="3" t="s">
        <v>639</v>
      </c>
      <c r="AV42" s="3" t="s">
        <v>640</v>
      </c>
      <c r="AW42" s="3" t="s">
        <v>641</v>
      </c>
      <c r="AX42" s="3" t="s">
        <v>641</v>
      </c>
      <c r="AY42" s="3" t="s">
        <v>642</v>
      </c>
      <c r="AZ42" s="3" t="s">
        <v>73</v>
      </c>
      <c r="BB42" s="3" t="s">
        <v>643</v>
      </c>
      <c r="BC42" s="3" t="s">
        <v>644</v>
      </c>
      <c r="BD42" s="3" t="s">
        <v>645</v>
      </c>
    </row>
    <row r="43" spans="1:56" ht="38.25" customHeight="1" x14ac:dyDescent="0.25">
      <c r="A43" s="7" t="s">
        <v>58</v>
      </c>
      <c r="B43" s="2" t="s">
        <v>646</v>
      </c>
      <c r="C43" s="2" t="s">
        <v>647</v>
      </c>
      <c r="D43" s="2" t="s">
        <v>648</v>
      </c>
      <c r="F43" s="3" t="s">
        <v>58</v>
      </c>
      <c r="G43" s="3" t="s">
        <v>59</v>
      </c>
      <c r="H43" s="3" t="s">
        <v>58</v>
      </c>
      <c r="I43" s="3" t="s">
        <v>58</v>
      </c>
      <c r="J43" s="3" t="s">
        <v>60</v>
      </c>
      <c r="K43" s="2" t="s">
        <v>649</v>
      </c>
      <c r="L43" s="2" t="s">
        <v>650</v>
      </c>
      <c r="M43" s="3" t="s">
        <v>161</v>
      </c>
      <c r="O43" s="3" t="s">
        <v>64</v>
      </c>
      <c r="P43" s="3" t="s">
        <v>162</v>
      </c>
      <c r="R43" s="3" t="s">
        <v>610</v>
      </c>
      <c r="S43" s="4">
        <v>0</v>
      </c>
      <c r="T43" s="4">
        <v>0</v>
      </c>
      <c r="U43" s="5" t="s">
        <v>651</v>
      </c>
      <c r="V43" s="5" t="s">
        <v>651</v>
      </c>
      <c r="W43" s="5" t="s">
        <v>638</v>
      </c>
      <c r="X43" s="5" t="s">
        <v>638</v>
      </c>
      <c r="Y43" s="4">
        <v>207</v>
      </c>
      <c r="Z43" s="4">
        <v>199</v>
      </c>
      <c r="AA43" s="4">
        <v>206</v>
      </c>
      <c r="AB43" s="4">
        <v>2</v>
      </c>
      <c r="AC43" s="4">
        <v>2</v>
      </c>
      <c r="AD43" s="4">
        <v>5</v>
      </c>
      <c r="AE43" s="4">
        <v>5</v>
      </c>
      <c r="AF43" s="4">
        <v>1</v>
      </c>
      <c r="AG43" s="4">
        <v>1</v>
      </c>
      <c r="AH43" s="4">
        <v>0</v>
      </c>
      <c r="AI43" s="4">
        <v>0</v>
      </c>
      <c r="AJ43" s="4">
        <v>1</v>
      </c>
      <c r="AK43" s="4">
        <v>1</v>
      </c>
      <c r="AL43" s="4">
        <v>0</v>
      </c>
      <c r="AM43" s="4">
        <v>0</v>
      </c>
      <c r="AN43" s="4">
        <v>3</v>
      </c>
      <c r="AO43" s="4">
        <v>3</v>
      </c>
      <c r="AP43" s="3" t="s">
        <v>58</v>
      </c>
      <c r="AQ43" s="3" t="s">
        <v>68</v>
      </c>
      <c r="AR43" s="6" t="str">
        <f>HYPERLINK("http://catalog.hathitrust.org/Record/102080065","HathiTrust Record")</f>
        <v>HathiTrust Record</v>
      </c>
      <c r="AS43" s="6" t="str">
        <f>HYPERLINK("https://creighton-primo.hosted.exlibrisgroup.com/primo-explore/search?tab=default_tab&amp;search_scope=EVERYTHING&amp;vid=01CRU&amp;lang=en_US&amp;offset=0&amp;query=any,contains,991000284969702656","Catalog Record")</f>
        <v>Catalog Record</v>
      </c>
      <c r="AT43" s="6" t="str">
        <f>HYPERLINK("http://www.worldcat.org/oclc/9941066","WorldCat Record")</f>
        <v>WorldCat Record</v>
      </c>
      <c r="AU43" s="3" t="s">
        <v>652</v>
      </c>
      <c r="AV43" s="3" t="s">
        <v>653</v>
      </c>
      <c r="AW43" s="3" t="s">
        <v>654</v>
      </c>
      <c r="AX43" s="3" t="s">
        <v>654</v>
      </c>
      <c r="AY43" s="3" t="s">
        <v>655</v>
      </c>
      <c r="AZ43" s="3" t="s">
        <v>73</v>
      </c>
      <c r="BB43" s="3" t="s">
        <v>656</v>
      </c>
      <c r="BC43" s="3" t="s">
        <v>657</v>
      </c>
      <c r="BD43" s="3" t="s">
        <v>658</v>
      </c>
    </row>
    <row r="44" spans="1:56" ht="38.25" customHeight="1" x14ac:dyDescent="0.25">
      <c r="A44" s="7" t="s">
        <v>58</v>
      </c>
      <c r="B44" s="2" t="s">
        <v>659</v>
      </c>
      <c r="C44" s="2" t="s">
        <v>660</v>
      </c>
      <c r="D44" s="2" t="s">
        <v>661</v>
      </c>
      <c r="F44" s="3" t="s">
        <v>58</v>
      </c>
      <c r="G44" s="3" t="s">
        <v>59</v>
      </c>
      <c r="H44" s="3" t="s">
        <v>58</v>
      </c>
      <c r="I44" s="3" t="s">
        <v>58</v>
      </c>
      <c r="J44" s="3" t="s">
        <v>60</v>
      </c>
      <c r="K44" s="2" t="s">
        <v>662</v>
      </c>
      <c r="L44" s="2" t="s">
        <v>663</v>
      </c>
      <c r="M44" s="3" t="s">
        <v>494</v>
      </c>
      <c r="O44" s="3" t="s">
        <v>64</v>
      </c>
      <c r="P44" s="3" t="s">
        <v>65</v>
      </c>
      <c r="Q44" s="2" t="s">
        <v>664</v>
      </c>
      <c r="R44" s="3" t="s">
        <v>665</v>
      </c>
      <c r="S44" s="4">
        <v>1</v>
      </c>
      <c r="T44" s="4">
        <v>1</v>
      </c>
      <c r="U44" s="5" t="s">
        <v>666</v>
      </c>
      <c r="V44" s="5" t="s">
        <v>666</v>
      </c>
      <c r="W44" s="5" t="s">
        <v>667</v>
      </c>
      <c r="X44" s="5" t="s">
        <v>667</v>
      </c>
      <c r="Y44" s="4">
        <v>486</v>
      </c>
      <c r="Z44" s="4">
        <v>450</v>
      </c>
      <c r="AA44" s="4">
        <v>710</v>
      </c>
      <c r="AB44" s="4">
        <v>3</v>
      </c>
      <c r="AC44" s="4">
        <v>5</v>
      </c>
      <c r="AD44" s="4">
        <v>25</v>
      </c>
      <c r="AE44" s="4">
        <v>38</v>
      </c>
      <c r="AF44" s="4">
        <v>9</v>
      </c>
      <c r="AG44" s="4">
        <v>17</v>
      </c>
      <c r="AH44" s="4">
        <v>5</v>
      </c>
      <c r="AI44" s="4">
        <v>7</v>
      </c>
      <c r="AJ44" s="4">
        <v>15</v>
      </c>
      <c r="AK44" s="4">
        <v>20</v>
      </c>
      <c r="AL44" s="4">
        <v>2</v>
      </c>
      <c r="AM44" s="4">
        <v>4</v>
      </c>
      <c r="AN44" s="4">
        <v>0</v>
      </c>
      <c r="AO44" s="4">
        <v>0</v>
      </c>
      <c r="AP44" s="3" t="s">
        <v>68</v>
      </c>
      <c r="AQ44" s="3" t="s">
        <v>68</v>
      </c>
      <c r="AR44" s="6" t="str">
        <f>HYPERLINK("http://catalog.hathitrust.org/Record/001748373","HathiTrust Record")</f>
        <v>HathiTrust Record</v>
      </c>
      <c r="AS44" s="6" t="str">
        <f>HYPERLINK("https://creighton-primo.hosted.exlibrisgroup.com/primo-explore/search?tab=default_tab&amp;search_scope=EVERYTHING&amp;vid=01CRU&amp;lang=en_US&amp;offset=0&amp;query=any,contains,991002868959702656","Catalog Record")</f>
        <v>Catalog Record</v>
      </c>
      <c r="AT44" s="6" t="str">
        <f>HYPERLINK("http://www.worldcat.org/oclc/497886","WorldCat Record")</f>
        <v>WorldCat Record</v>
      </c>
      <c r="AU44" s="3" t="s">
        <v>668</v>
      </c>
      <c r="AV44" s="3" t="s">
        <v>669</v>
      </c>
      <c r="AW44" s="3" t="s">
        <v>670</v>
      </c>
      <c r="AX44" s="3" t="s">
        <v>670</v>
      </c>
      <c r="AY44" s="3" t="s">
        <v>671</v>
      </c>
      <c r="AZ44" s="3" t="s">
        <v>73</v>
      </c>
      <c r="BC44" s="3" t="s">
        <v>672</v>
      </c>
      <c r="BD44" s="3" t="s">
        <v>673</v>
      </c>
    </row>
    <row r="45" spans="1:56" ht="38.25" customHeight="1" x14ac:dyDescent="0.25">
      <c r="A45" s="7" t="s">
        <v>58</v>
      </c>
      <c r="B45" s="2" t="s">
        <v>674</v>
      </c>
      <c r="C45" s="2" t="s">
        <v>675</v>
      </c>
      <c r="D45" s="2" t="s">
        <v>676</v>
      </c>
      <c r="F45" s="3" t="s">
        <v>58</v>
      </c>
      <c r="G45" s="3" t="s">
        <v>59</v>
      </c>
      <c r="H45" s="3" t="s">
        <v>58</v>
      </c>
      <c r="I45" s="3" t="s">
        <v>58</v>
      </c>
      <c r="J45" s="3" t="s">
        <v>60</v>
      </c>
      <c r="K45" s="2" t="s">
        <v>677</v>
      </c>
      <c r="L45" s="2" t="s">
        <v>678</v>
      </c>
      <c r="M45" s="3" t="s">
        <v>97</v>
      </c>
      <c r="N45" s="2" t="s">
        <v>524</v>
      </c>
      <c r="O45" s="3" t="s">
        <v>64</v>
      </c>
      <c r="P45" s="3" t="s">
        <v>65</v>
      </c>
      <c r="R45" s="3" t="s">
        <v>665</v>
      </c>
      <c r="S45" s="4">
        <v>2</v>
      </c>
      <c r="T45" s="4">
        <v>2</v>
      </c>
      <c r="U45" s="5" t="s">
        <v>679</v>
      </c>
      <c r="V45" s="5" t="s">
        <v>679</v>
      </c>
      <c r="W45" s="5" t="s">
        <v>680</v>
      </c>
      <c r="X45" s="5" t="s">
        <v>680</v>
      </c>
      <c r="Y45" s="4">
        <v>700</v>
      </c>
      <c r="Z45" s="4">
        <v>649</v>
      </c>
      <c r="AA45" s="4">
        <v>681</v>
      </c>
      <c r="AB45" s="4">
        <v>5</v>
      </c>
      <c r="AC45" s="4">
        <v>5</v>
      </c>
      <c r="AD45" s="4">
        <v>13</v>
      </c>
      <c r="AE45" s="4">
        <v>14</v>
      </c>
      <c r="AF45" s="4">
        <v>4</v>
      </c>
      <c r="AG45" s="4">
        <v>4</v>
      </c>
      <c r="AH45" s="4">
        <v>4</v>
      </c>
      <c r="AI45" s="4">
        <v>4</v>
      </c>
      <c r="AJ45" s="4">
        <v>6</v>
      </c>
      <c r="AK45" s="4">
        <v>7</v>
      </c>
      <c r="AL45" s="4">
        <v>2</v>
      </c>
      <c r="AM45" s="4">
        <v>2</v>
      </c>
      <c r="AN45" s="4">
        <v>0</v>
      </c>
      <c r="AO45" s="4">
        <v>0</v>
      </c>
      <c r="AP45" s="3" t="s">
        <v>58</v>
      </c>
      <c r="AQ45" s="3" t="s">
        <v>58</v>
      </c>
      <c r="AS45" s="6" t="str">
        <f>HYPERLINK("https://creighton-primo.hosted.exlibrisgroup.com/primo-explore/search?tab=default_tab&amp;search_scope=EVERYTHING&amp;vid=01CRU&amp;lang=en_US&amp;offset=0&amp;query=any,contains,991003824979702656","Catalog Record")</f>
        <v>Catalog Record</v>
      </c>
      <c r="AT45" s="6" t="str">
        <f>HYPERLINK("http://www.worldcat.org/oclc/48958301","WorldCat Record")</f>
        <v>WorldCat Record</v>
      </c>
      <c r="AU45" s="3" t="s">
        <v>681</v>
      </c>
      <c r="AV45" s="3" t="s">
        <v>682</v>
      </c>
      <c r="AW45" s="3" t="s">
        <v>683</v>
      </c>
      <c r="AX45" s="3" t="s">
        <v>683</v>
      </c>
      <c r="AY45" s="3" t="s">
        <v>684</v>
      </c>
      <c r="AZ45" s="3" t="s">
        <v>73</v>
      </c>
      <c r="BB45" s="3" t="s">
        <v>685</v>
      </c>
      <c r="BC45" s="3" t="s">
        <v>686</v>
      </c>
      <c r="BD45" s="3" t="s">
        <v>687</v>
      </c>
    </row>
    <row r="46" spans="1:56" ht="38.25" customHeight="1" x14ac:dyDescent="0.25">
      <c r="A46" s="7" t="s">
        <v>58</v>
      </c>
      <c r="B46" s="2" t="s">
        <v>688</v>
      </c>
      <c r="C46" s="2" t="s">
        <v>689</v>
      </c>
      <c r="D46" s="2" t="s">
        <v>690</v>
      </c>
      <c r="F46" s="3" t="s">
        <v>58</v>
      </c>
      <c r="G46" s="3" t="s">
        <v>59</v>
      </c>
      <c r="H46" s="3" t="s">
        <v>58</v>
      </c>
      <c r="I46" s="3" t="s">
        <v>58</v>
      </c>
      <c r="J46" s="3" t="s">
        <v>60</v>
      </c>
      <c r="L46" s="2" t="s">
        <v>691</v>
      </c>
      <c r="M46" s="3" t="s">
        <v>408</v>
      </c>
      <c r="O46" s="3" t="s">
        <v>64</v>
      </c>
      <c r="P46" s="3" t="s">
        <v>130</v>
      </c>
      <c r="Q46" s="2" t="s">
        <v>692</v>
      </c>
      <c r="R46" s="3" t="s">
        <v>665</v>
      </c>
      <c r="S46" s="4">
        <v>3</v>
      </c>
      <c r="T46" s="4">
        <v>3</v>
      </c>
      <c r="U46" s="5" t="s">
        <v>693</v>
      </c>
      <c r="V46" s="5" t="s">
        <v>693</v>
      </c>
      <c r="W46" s="5" t="s">
        <v>694</v>
      </c>
      <c r="X46" s="5" t="s">
        <v>694</v>
      </c>
      <c r="Y46" s="4">
        <v>401</v>
      </c>
      <c r="Z46" s="4">
        <v>317</v>
      </c>
      <c r="AA46" s="4">
        <v>339</v>
      </c>
      <c r="AB46" s="4">
        <v>3</v>
      </c>
      <c r="AC46" s="4">
        <v>3</v>
      </c>
      <c r="AD46" s="4">
        <v>19</v>
      </c>
      <c r="AE46" s="4">
        <v>19</v>
      </c>
      <c r="AF46" s="4">
        <v>7</v>
      </c>
      <c r="AG46" s="4">
        <v>7</v>
      </c>
      <c r="AH46" s="4">
        <v>4</v>
      </c>
      <c r="AI46" s="4">
        <v>4</v>
      </c>
      <c r="AJ46" s="4">
        <v>11</v>
      </c>
      <c r="AK46" s="4">
        <v>11</v>
      </c>
      <c r="AL46" s="4">
        <v>2</v>
      </c>
      <c r="AM46" s="4">
        <v>2</v>
      </c>
      <c r="AN46" s="4">
        <v>0</v>
      </c>
      <c r="AO46" s="4">
        <v>0</v>
      </c>
      <c r="AP46" s="3" t="s">
        <v>58</v>
      </c>
      <c r="AQ46" s="3" t="s">
        <v>68</v>
      </c>
      <c r="AR46" s="6" t="str">
        <f>HYPERLINK("http://catalog.hathitrust.org/Record/001288855","HathiTrust Record")</f>
        <v>HathiTrust Record</v>
      </c>
      <c r="AS46" s="6" t="str">
        <f>HYPERLINK("https://creighton-primo.hosted.exlibrisgroup.com/primo-explore/search?tab=default_tab&amp;search_scope=EVERYTHING&amp;vid=01CRU&amp;lang=en_US&amp;offset=0&amp;query=any,contains,991001336159702656","Catalog Record")</f>
        <v>Catalog Record</v>
      </c>
      <c r="AT46" s="6" t="str">
        <f>HYPERLINK("http://www.worldcat.org/oclc/18351662","WorldCat Record")</f>
        <v>WorldCat Record</v>
      </c>
      <c r="AU46" s="3" t="s">
        <v>695</v>
      </c>
      <c r="AV46" s="3" t="s">
        <v>696</v>
      </c>
      <c r="AW46" s="3" t="s">
        <v>697</v>
      </c>
      <c r="AX46" s="3" t="s">
        <v>697</v>
      </c>
      <c r="AY46" s="3" t="s">
        <v>698</v>
      </c>
      <c r="AZ46" s="3" t="s">
        <v>73</v>
      </c>
      <c r="BB46" s="3" t="s">
        <v>699</v>
      </c>
      <c r="BC46" s="3" t="s">
        <v>700</v>
      </c>
      <c r="BD46" s="3" t="s">
        <v>701</v>
      </c>
    </row>
    <row r="47" spans="1:56" ht="38.25" customHeight="1" x14ac:dyDescent="0.25">
      <c r="A47" s="7" t="s">
        <v>58</v>
      </c>
      <c r="B47" s="2" t="s">
        <v>702</v>
      </c>
      <c r="C47" s="2" t="s">
        <v>703</v>
      </c>
      <c r="D47" s="2" t="s">
        <v>704</v>
      </c>
      <c r="F47" s="3" t="s">
        <v>58</v>
      </c>
      <c r="G47" s="3" t="s">
        <v>59</v>
      </c>
      <c r="H47" s="3" t="s">
        <v>58</v>
      </c>
      <c r="I47" s="3" t="s">
        <v>58</v>
      </c>
      <c r="J47" s="3" t="s">
        <v>60</v>
      </c>
      <c r="K47" s="2" t="s">
        <v>705</v>
      </c>
      <c r="L47" s="2" t="s">
        <v>706</v>
      </c>
      <c r="M47" s="3" t="s">
        <v>452</v>
      </c>
      <c r="O47" s="3" t="s">
        <v>64</v>
      </c>
      <c r="P47" s="3" t="s">
        <v>65</v>
      </c>
      <c r="Q47" s="2" t="s">
        <v>707</v>
      </c>
      <c r="R47" s="3" t="s">
        <v>665</v>
      </c>
      <c r="S47" s="4">
        <v>1</v>
      </c>
      <c r="T47" s="4">
        <v>1</v>
      </c>
      <c r="U47" s="5" t="s">
        <v>708</v>
      </c>
      <c r="V47" s="5" t="s">
        <v>708</v>
      </c>
      <c r="W47" s="5" t="s">
        <v>667</v>
      </c>
      <c r="X47" s="5" t="s">
        <v>667</v>
      </c>
      <c r="Y47" s="4">
        <v>410</v>
      </c>
      <c r="Z47" s="4">
        <v>348</v>
      </c>
      <c r="AA47" s="4">
        <v>804</v>
      </c>
      <c r="AB47" s="4">
        <v>4</v>
      </c>
      <c r="AC47" s="4">
        <v>4</v>
      </c>
      <c r="AD47" s="4">
        <v>21</v>
      </c>
      <c r="AE47" s="4">
        <v>47</v>
      </c>
      <c r="AF47" s="4">
        <v>6</v>
      </c>
      <c r="AG47" s="4">
        <v>13</v>
      </c>
      <c r="AH47" s="4">
        <v>3</v>
      </c>
      <c r="AI47" s="4">
        <v>6</v>
      </c>
      <c r="AJ47" s="4">
        <v>12</v>
      </c>
      <c r="AK47" s="4">
        <v>17</v>
      </c>
      <c r="AL47" s="4">
        <v>3</v>
      </c>
      <c r="AM47" s="4">
        <v>3</v>
      </c>
      <c r="AN47" s="4">
        <v>1</v>
      </c>
      <c r="AO47" s="4">
        <v>16</v>
      </c>
      <c r="AP47" s="3" t="s">
        <v>58</v>
      </c>
      <c r="AQ47" s="3" t="s">
        <v>68</v>
      </c>
      <c r="AR47" s="6" t="str">
        <f>HYPERLINK("http://catalog.hathitrust.org/Record/009911620","HathiTrust Record")</f>
        <v>HathiTrust Record</v>
      </c>
      <c r="AS47" s="6" t="str">
        <f>HYPERLINK("https://creighton-primo.hosted.exlibrisgroup.com/primo-explore/search?tab=default_tab&amp;search_scope=EVERYTHING&amp;vid=01CRU&amp;lang=en_US&amp;offset=0&amp;query=any,contains,991003429329702656","Catalog Record")</f>
        <v>Catalog Record</v>
      </c>
      <c r="AT47" s="6" t="str">
        <f>HYPERLINK("http://www.worldcat.org/oclc/965219","WorldCat Record")</f>
        <v>WorldCat Record</v>
      </c>
      <c r="AU47" s="3" t="s">
        <v>709</v>
      </c>
      <c r="AV47" s="3" t="s">
        <v>710</v>
      </c>
      <c r="AW47" s="3" t="s">
        <v>711</v>
      </c>
      <c r="AX47" s="3" t="s">
        <v>711</v>
      </c>
      <c r="AY47" s="3" t="s">
        <v>712</v>
      </c>
      <c r="AZ47" s="3" t="s">
        <v>73</v>
      </c>
      <c r="BC47" s="3" t="s">
        <v>713</v>
      </c>
      <c r="BD47" s="3" t="s">
        <v>714</v>
      </c>
    </row>
    <row r="48" spans="1:56" ht="38.25" customHeight="1" x14ac:dyDescent="0.25">
      <c r="A48" s="7" t="s">
        <v>58</v>
      </c>
      <c r="B48" s="2" t="s">
        <v>715</v>
      </c>
      <c r="C48" s="2" t="s">
        <v>716</v>
      </c>
      <c r="D48" s="2" t="s">
        <v>717</v>
      </c>
      <c r="F48" s="3" t="s">
        <v>58</v>
      </c>
      <c r="G48" s="3" t="s">
        <v>59</v>
      </c>
      <c r="H48" s="3" t="s">
        <v>58</v>
      </c>
      <c r="I48" s="3" t="s">
        <v>58</v>
      </c>
      <c r="J48" s="3" t="s">
        <v>60</v>
      </c>
      <c r="K48" s="2" t="s">
        <v>718</v>
      </c>
      <c r="L48" s="2" t="s">
        <v>719</v>
      </c>
      <c r="M48" s="3" t="s">
        <v>206</v>
      </c>
      <c r="O48" s="3" t="s">
        <v>64</v>
      </c>
      <c r="P48" s="3" t="s">
        <v>65</v>
      </c>
      <c r="Q48" s="2" t="s">
        <v>720</v>
      </c>
      <c r="R48" s="3" t="s">
        <v>665</v>
      </c>
      <c r="S48" s="4">
        <v>3</v>
      </c>
      <c r="T48" s="4">
        <v>3</v>
      </c>
      <c r="U48" s="5" t="s">
        <v>721</v>
      </c>
      <c r="V48" s="5" t="s">
        <v>721</v>
      </c>
      <c r="W48" s="5" t="s">
        <v>722</v>
      </c>
      <c r="X48" s="5" t="s">
        <v>722</v>
      </c>
      <c r="Y48" s="4">
        <v>452</v>
      </c>
      <c r="Z48" s="4">
        <v>335</v>
      </c>
      <c r="AA48" s="4">
        <v>433</v>
      </c>
      <c r="AB48" s="4">
        <v>3</v>
      </c>
      <c r="AC48" s="4">
        <v>5</v>
      </c>
      <c r="AD48" s="4">
        <v>18</v>
      </c>
      <c r="AE48" s="4">
        <v>24</v>
      </c>
      <c r="AF48" s="4">
        <v>6</v>
      </c>
      <c r="AG48" s="4">
        <v>8</v>
      </c>
      <c r="AH48" s="4">
        <v>4</v>
      </c>
      <c r="AI48" s="4">
        <v>5</v>
      </c>
      <c r="AJ48" s="4">
        <v>9</v>
      </c>
      <c r="AK48" s="4">
        <v>12</v>
      </c>
      <c r="AL48" s="4">
        <v>2</v>
      </c>
      <c r="AM48" s="4">
        <v>4</v>
      </c>
      <c r="AN48" s="4">
        <v>0</v>
      </c>
      <c r="AO48" s="4">
        <v>0</v>
      </c>
      <c r="AP48" s="3" t="s">
        <v>58</v>
      </c>
      <c r="AQ48" s="3" t="s">
        <v>58</v>
      </c>
      <c r="AS48" s="6" t="str">
        <f>HYPERLINK("https://creighton-primo.hosted.exlibrisgroup.com/primo-explore/search?tab=default_tab&amp;search_scope=EVERYTHING&amp;vid=01CRU&amp;lang=en_US&amp;offset=0&amp;query=any,contains,991002770189702656","Catalog Record")</f>
        <v>Catalog Record</v>
      </c>
      <c r="AT48" s="6" t="str">
        <f>HYPERLINK("http://www.worldcat.org/oclc/436647","WorldCat Record")</f>
        <v>WorldCat Record</v>
      </c>
      <c r="AU48" s="3" t="s">
        <v>723</v>
      </c>
      <c r="AV48" s="3" t="s">
        <v>724</v>
      </c>
      <c r="AW48" s="3" t="s">
        <v>725</v>
      </c>
      <c r="AX48" s="3" t="s">
        <v>725</v>
      </c>
      <c r="AY48" s="3" t="s">
        <v>726</v>
      </c>
      <c r="AZ48" s="3" t="s">
        <v>73</v>
      </c>
      <c r="BC48" s="3" t="s">
        <v>727</v>
      </c>
      <c r="BD48" s="3" t="s">
        <v>728</v>
      </c>
    </row>
    <row r="49" spans="1:56" ht="38.25" customHeight="1" x14ac:dyDescent="0.25">
      <c r="A49" s="7" t="s">
        <v>58</v>
      </c>
      <c r="B49" s="2" t="s">
        <v>729</v>
      </c>
      <c r="C49" s="2" t="s">
        <v>730</v>
      </c>
      <c r="D49" s="2" t="s">
        <v>731</v>
      </c>
      <c r="F49" s="3" t="s">
        <v>58</v>
      </c>
      <c r="G49" s="3" t="s">
        <v>59</v>
      </c>
      <c r="H49" s="3" t="s">
        <v>58</v>
      </c>
      <c r="I49" s="3" t="s">
        <v>58</v>
      </c>
      <c r="J49" s="3" t="s">
        <v>60</v>
      </c>
      <c r="K49" s="2" t="s">
        <v>732</v>
      </c>
      <c r="L49" s="2" t="s">
        <v>733</v>
      </c>
      <c r="M49" s="3" t="s">
        <v>452</v>
      </c>
      <c r="O49" s="3" t="s">
        <v>64</v>
      </c>
      <c r="P49" s="3" t="s">
        <v>65</v>
      </c>
      <c r="R49" s="3" t="s">
        <v>665</v>
      </c>
      <c r="S49" s="4">
        <v>1</v>
      </c>
      <c r="T49" s="4">
        <v>1</v>
      </c>
      <c r="U49" s="5" t="s">
        <v>734</v>
      </c>
      <c r="V49" s="5" t="s">
        <v>734</v>
      </c>
      <c r="W49" s="5" t="s">
        <v>735</v>
      </c>
      <c r="X49" s="5" t="s">
        <v>735</v>
      </c>
      <c r="Y49" s="4">
        <v>777</v>
      </c>
      <c r="Z49" s="4">
        <v>600</v>
      </c>
      <c r="AA49" s="4">
        <v>619</v>
      </c>
      <c r="AB49" s="4">
        <v>4</v>
      </c>
      <c r="AC49" s="4">
        <v>5</v>
      </c>
      <c r="AD49" s="4">
        <v>25</v>
      </c>
      <c r="AE49" s="4">
        <v>28</v>
      </c>
      <c r="AF49" s="4">
        <v>8</v>
      </c>
      <c r="AG49" s="4">
        <v>8</v>
      </c>
      <c r="AH49" s="4">
        <v>5</v>
      </c>
      <c r="AI49" s="4">
        <v>6</v>
      </c>
      <c r="AJ49" s="4">
        <v>15</v>
      </c>
      <c r="AK49" s="4">
        <v>17</v>
      </c>
      <c r="AL49" s="4">
        <v>3</v>
      </c>
      <c r="AM49" s="4">
        <v>4</v>
      </c>
      <c r="AN49" s="4">
        <v>0</v>
      </c>
      <c r="AO49" s="4">
        <v>0</v>
      </c>
      <c r="AP49" s="3" t="s">
        <v>58</v>
      </c>
      <c r="AQ49" s="3" t="s">
        <v>58</v>
      </c>
      <c r="AR49" s="6" t="str">
        <f>HYPERLINK("http://catalog.hathitrust.org/Record/001434512","HathiTrust Record")</f>
        <v>HathiTrust Record</v>
      </c>
      <c r="AS49" s="6" t="str">
        <f>HYPERLINK("https://creighton-primo.hosted.exlibrisgroup.com/primo-explore/search?tab=default_tab&amp;search_scope=EVERYTHING&amp;vid=01CRU&amp;lang=en_US&amp;offset=0&amp;query=any,contains,991001209229702656","Catalog Record")</f>
        <v>Catalog Record</v>
      </c>
      <c r="AT49" s="6" t="str">
        <f>HYPERLINK("http://www.worldcat.org/oclc/192848","WorldCat Record")</f>
        <v>WorldCat Record</v>
      </c>
      <c r="AU49" s="3" t="s">
        <v>736</v>
      </c>
      <c r="AV49" s="3" t="s">
        <v>737</v>
      </c>
      <c r="AW49" s="3" t="s">
        <v>738</v>
      </c>
      <c r="AX49" s="3" t="s">
        <v>738</v>
      </c>
      <c r="AY49" s="3" t="s">
        <v>739</v>
      </c>
      <c r="AZ49" s="3" t="s">
        <v>73</v>
      </c>
      <c r="BC49" s="3" t="s">
        <v>740</v>
      </c>
      <c r="BD49" s="3" t="s">
        <v>741</v>
      </c>
    </row>
    <row r="50" spans="1:56" ht="38.25" customHeight="1" x14ac:dyDescent="0.25">
      <c r="A50" s="7" t="s">
        <v>58</v>
      </c>
      <c r="B50" s="2" t="s">
        <v>742</v>
      </c>
      <c r="C50" s="2" t="s">
        <v>743</v>
      </c>
      <c r="D50" s="2" t="s">
        <v>744</v>
      </c>
      <c r="F50" s="3" t="s">
        <v>58</v>
      </c>
      <c r="G50" s="3" t="s">
        <v>59</v>
      </c>
      <c r="H50" s="3" t="s">
        <v>58</v>
      </c>
      <c r="I50" s="3" t="s">
        <v>58</v>
      </c>
      <c r="J50" s="3" t="s">
        <v>60</v>
      </c>
      <c r="K50" s="2" t="s">
        <v>745</v>
      </c>
      <c r="L50" s="2" t="s">
        <v>746</v>
      </c>
      <c r="M50" s="3" t="s">
        <v>206</v>
      </c>
      <c r="N50" s="2" t="s">
        <v>747</v>
      </c>
      <c r="O50" s="3" t="s">
        <v>64</v>
      </c>
      <c r="P50" s="3" t="s">
        <v>580</v>
      </c>
      <c r="Q50" s="2" t="s">
        <v>748</v>
      </c>
      <c r="R50" s="3" t="s">
        <v>665</v>
      </c>
      <c r="S50" s="4">
        <v>1</v>
      </c>
      <c r="T50" s="4">
        <v>1</v>
      </c>
      <c r="U50" s="5" t="s">
        <v>749</v>
      </c>
      <c r="V50" s="5" t="s">
        <v>749</v>
      </c>
      <c r="W50" s="5" t="s">
        <v>750</v>
      </c>
      <c r="X50" s="5" t="s">
        <v>750</v>
      </c>
      <c r="Y50" s="4">
        <v>574</v>
      </c>
      <c r="Z50" s="4">
        <v>477</v>
      </c>
      <c r="AA50" s="4">
        <v>956</v>
      </c>
      <c r="AB50" s="4">
        <v>3</v>
      </c>
      <c r="AC50" s="4">
        <v>6</v>
      </c>
      <c r="AD50" s="4">
        <v>24</v>
      </c>
      <c r="AE50" s="4">
        <v>50</v>
      </c>
      <c r="AF50" s="4">
        <v>7</v>
      </c>
      <c r="AG50" s="4">
        <v>20</v>
      </c>
      <c r="AH50" s="4">
        <v>5</v>
      </c>
      <c r="AI50" s="4">
        <v>8</v>
      </c>
      <c r="AJ50" s="4">
        <v>11</v>
      </c>
      <c r="AK50" s="4">
        <v>21</v>
      </c>
      <c r="AL50" s="4">
        <v>2</v>
      </c>
      <c r="AM50" s="4">
        <v>4</v>
      </c>
      <c r="AN50" s="4">
        <v>4</v>
      </c>
      <c r="AO50" s="4">
        <v>9</v>
      </c>
      <c r="AP50" s="3" t="s">
        <v>58</v>
      </c>
      <c r="AQ50" s="3" t="s">
        <v>68</v>
      </c>
      <c r="AR50" s="6" t="str">
        <f>HYPERLINK("http://catalog.hathitrust.org/Record/001434522","HathiTrust Record")</f>
        <v>HathiTrust Record</v>
      </c>
      <c r="AS50" s="6" t="str">
        <f>HYPERLINK("https://creighton-primo.hosted.exlibrisgroup.com/primo-explore/search?tab=default_tab&amp;search_scope=EVERYTHING&amp;vid=01CRU&amp;lang=en_US&amp;offset=0&amp;query=any,contains,991002768779702656","Catalog Record")</f>
        <v>Catalog Record</v>
      </c>
      <c r="AT50" s="6" t="str">
        <f>HYPERLINK("http://www.worldcat.org/oclc/436030","WorldCat Record")</f>
        <v>WorldCat Record</v>
      </c>
      <c r="AU50" s="3" t="s">
        <v>751</v>
      </c>
      <c r="AV50" s="3" t="s">
        <v>752</v>
      </c>
      <c r="AW50" s="3" t="s">
        <v>753</v>
      </c>
      <c r="AX50" s="3" t="s">
        <v>753</v>
      </c>
      <c r="AY50" s="3" t="s">
        <v>754</v>
      </c>
      <c r="AZ50" s="3" t="s">
        <v>73</v>
      </c>
      <c r="BC50" s="3" t="s">
        <v>755</v>
      </c>
      <c r="BD50" s="3" t="s">
        <v>756</v>
      </c>
    </row>
    <row r="51" spans="1:56" ht="38.25" customHeight="1" x14ac:dyDescent="0.25">
      <c r="A51" s="7" t="s">
        <v>58</v>
      </c>
      <c r="B51" s="2" t="s">
        <v>757</v>
      </c>
      <c r="C51" s="2" t="s">
        <v>758</v>
      </c>
      <c r="D51" s="2" t="s">
        <v>759</v>
      </c>
      <c r="F51" s="3" t="s">
        <v>58</v>
      </c>
      <c r="G51" s="3" t="s">
        <v>59</v>
      </c>
      <c r="H51" s="3" t="s">
        <v>58</v>
      </c>
      <c r="I51" s="3" t="s">
        <v>58</v>
      </c>
      <c r="J51" s="3" t="s">
        <v>60</v>
      </c>
      <c r="K51" s="2" t="s">
        <v>760</v>
      </c>
      <c r="L51" s="2" t="s">
        <v>761</v>
      </c>
      <c r="M51" s="3" t="s">
        <v>309</v>
      </c>
      <c r="O51" s="3" t="s">
        <v>64</v>
      </c>
      <c r="P51" s="3" t="s">
        <v>162</v>
      </c>
      <c r="R51" s="3" t="s">
        <v>665</v>
      </c>
      <c r="S51" s="4">
        <v>2</v>
      </c>
      <c r="T51" s="4">
        <v>2</v>
      </c>
      <c r="U51" s="5" t="s">
        <v>762</v>
      </c>
      <c r="V51" s="5" t="s">
        <v>762</v>
      </c>
      <c r="W51" s="5" t="s">
        <v>638</v>
      </c>
      <c r="X51" s="5" t="s">
        <v>638</v>
      </c>
      <c r="Y51" s="4">
        <v>366</v>
      </c>
      <c r="Z51" s="4">
        <v>295</v>
      </c>
      <c r="AA51" s="4">
        <v>303</v>
      </c>
      <c r="AB51" s="4">
        <v>3</v>
      </c>
      <c r="AC51" s="4">
        <v>3</v>
      </c>
      <c r="AD51" s="4">
        <v>15</v>
      </c>
      <c r="AE51" s="4">
        <v>15</v>
      </c>
      <c r="AF51" s="4">
        <v>4</v>
      </c>
      <c r="AG51" s="4">
        <v>4</v>
      </c>
      <c r="AH51" s="4">
        <v>2</v>
      </c>
      <c r="AI51" s="4">
        <v>2</v>
      </c>
      <c r="AJ51" s="4">
        <v>10</v>
      </c>
      <c r="AK51" s="4">
        <v>10</v>
      </c>
      <c r="AL51" s="4">
        <v>2</v>
      </c>
      <c r="AM51" s="4">
        <v>2</v>
      </c>
      <c r="AN51" s="4">
        <v>0</v>
      </c>
      <c r="AO51" s="4">
        <v>0</v>
      </c>
      <c r="AP51" s="3" t="s">
        <v>58</v>
      </c>
      <c r="AQ51" s="3" t="s">
        <v>68</v>
      </c>
      <c r="AR51" s="6" t="str">
        <f>HYPERLINK("http://catalog.hathitrust.org/Record/001434544","HathiTrust Record")</f>
        <v>HathiTrust Record</v>
      </c>
      <c r="AS51" s="6" t="str">
        <f>HYPERLINK("https://creighton-primo.hosted.exlibrisgroup.com/primo-explore/search?tab=default_tab&amp;search_scope=EVERYTHING&amp;vid=01CRU&amp;lang=en_US&amp;offset=0&amp;query=any,contains,991002395049702656","Catalog Record")</f>
        <v>Catalog Record</v>
      </c>
      <c r="AT51" s="6" t="str">
        <f>HYPERLINK("http://www.worldcat.org/oclc/334326","WorldCat Record")</f>
        <v>WorldCat Record</v>
      </c>
      <c r="AU51" s="3" t="s">
        <v>763</v>
      </c>
      <c r="AV51" s="3" t="s">
        <v>764</v>
      </c>
      <c r="AW51" s="3" t="s">
        <v>765</v>
      </c>
      <c r="AX51" s="3" t="s">
        <v>765</v>
      </c>
      <c r="AY51" s="3" t="s">
        <v>766</v>
      </c>
      <c r="AZ51" s="3" t="s">
        <v>73</v>
      </c>
      <c r="BC51" s="3" t="s">
        <v>767</v>
      </c>
      <c r="BD51" s="3" t="s">
        <v>768</v>
      </c>
    </row>
    <row r="52" spans="1:56" ht="38.25" customHeight="1" x14ac:dyDescent="0.25">
      <c r="A52" s="7" t="s">
        <v>58</v>
      </c>
      <c r="B52" s="2" t="s">
        <v>769</v>
      </c>
      <c r="C52" s="2" t="s">
        <v>770</v>
      </c>
      <c r="D52" s="2" t="s">
        <v>771</v>
      </c>
      <c r="F52" s="3" t="s">
        <v>58</v>
      </c>
      <c r="G52" s="3" t="s">
        <v>59</v>
      </c>
      <c r="H52" s="3" t="s">
        <v>58</v>
      </c>
      <c r="I52" s="3" t="s">
        <v>58</v>
      </c>
      <c r="J52" s="3" t="s">
        <v>60</v>
      </c>
      <c r="K52" s="2" t="s">
        <v>772</v>
      </c>
      <c r="L52" s="2" t="s">
        <v>773</v>
      </c>
      <c r="M52" s="3" t="s">
        <v>324</v>
      </c>
      <c r="O52" s="3" t="s">
        <v>64</v>
      </c>
      <c r="P52" s="3" t="s">
        <v>65</v>
      </c>
      <c r="Q52" s="2" t="s">
        <v>774</v>
      </c>
      <c r="R52" s="3" t="s">
        <v>665</v>
      </c>
      <c r="S52" s="4">
        <v>2</v>
      </c>
      <c r="T52" s="4">
        <v>2</v>
      </c>
      <c r="U52" s="5" t="s">
        <v>749</v>
      </c>
      <c r="V52" s="5" t="s">
        <v>749</v>
      </c>
      <c r="W52" s="5" t="s">
        <v>775</v>
      </c>
      <c r="X52" s="5" t="s">
        <v>775</v>
      </c>
      <c r="Y52" s="4">
        <v>395</v>
      </c>
      <c r="Z52" s="4">
        <v>266</v>
      </c>
      <c r="AA52" s="4">
        <v>355</v>
      </c>
      <c r="AB52" s="4">
        <v>3</v>
      </c>
      <c r="AC52" s="4">
        <v>4</v>
      </c>
      <c r="AD52" s="4">
        <v>12</v>
      </c>
      <c r="AE52" s="4">
        <v>15</v>
      </c>
      <c r="AF52" s="4">
        <v>2</v>
      </c>
      <c r="AG52" s="4">
        <v>3</v>
      </c>
      <c r="AH52" s="4">
        <v>3</v>
      </c>
      <c r="AI52" s="4">
        <v>3</v>
      </c>
      <c r="AJ52" s="4">
        <v>8</v>
      </c>
      <c r="AK52" s="4">
        <v>9</v>
      </c>
      <c r="AL52" s="4">
        <v>2</v>
      </c>
      <c r="AM52" s="4">
        <v>3</v>
      </c>
      <c r="AN52" s="4">
        <v>0</v>
      </c>
      <c r="AO52" s="4">
        <v>0</v>
      </c>
      <c r="AP52" s="3" t="s">
        <v>58</v>
      </c>
      <c r="AQ52" s="3" t="s">
        <v>68</v>
      </c>
      <c r="AR52" s="6" t="str">
        <f>HYPERLINK("http://catalog.hathitrust.org/Record/001434546","HathiTrust Record")</f>
        <v>HathiTrust Record</v>
      </c>
      <c r="AS52" s="6" t="str">
        <f>HYPERLINK("https://creighton-primo.hosted.exlibrisgroup.com/primo-explore/search?tab=default_tab&amp;search_scope=EVERYTHING&amp;vid=01CRU&amp;lang=en_US&amp;offset=0&amp;query=any,contains,991000501649702656","Catalog Record")</f>
        <v>Catalog Record</v>
      </c>
      <c r="AT52" s="6" t="str">
        <f>HYPERLINK("http://www.worldcat.org/oclc/81488","WorldCat Record")</f>
        <v>WorldCat Record</v>
      </c>
      <c r="AU52" s="3" t="s">
        <v>776</v>
      </c>
      <c r="AV52" s="3" t="s">
        <v>777</v>
      </c>
      <c r="AW52" s="3" t="s">
        <v>778</v>
      </c>
      <c r="AX52" s="3" t="s">
        <v>778</v>
      </c>
      <c r="AY52" s="3" t="s">
        <v>779</v>
      </c>
      <c r="AZ52" s="3" t="s">
        <v>73</v>
      </c>
      <c r="BB52" s="3" t="s">
        <v>780</v>
      </c>
      <c r="BC52" s="3" t="s">
        <v>781</v>
      </c>
      <c r="BD52" s="3" t="s">
        <v>782</v>
      </c>
    </row>
    <row r="53" spans="1:56" ht="38.25" customHeight="1" x14ac:dyDescent="0.25">
      <c r="A53" s="7" t="s">
        <v>58</v>
      </c>
      <c r="B53" s="2" t="s">
        <v>783</v>
      </c>
      <c r="C53" s="2" t="s">
        <v>784</v>
      </c>
      <c r="D53" s="2" t="s">
        <v>785</v>
      </c>
      <c r="F53" s="3" t="s">
        <v>58</v>
      </c>
      <c r="G53" s="3" t="s">
        <v>59</v>
      </c>
      <c r="H53" s="3" t="s">
        <v>58</v>
      </c>
      <c r="I53" s="3" t="s">
        <v>58</v>
      </c>
      <c r="J53" s="3" t="s">
        <v>60</v>
      </c>
      <c r="L53" s="2" t="s">
        <v>786</v>
      </c>
      <c r="M53" s="3" t="s">
        <v>787</v>
      </c>
      <c r="O53" s="3" t="s">
        <v>64</v>
      </c>
      <c r="P53" s="3" t="s">
        <v>65</v>
      </c>
      <c r="Q53" s="2" t="s">
        <v>788</v>
      </c>
      <c r="R53" s="3" t="s">
        <v>665</v>
      </c>
      <c r="S53" s="4">
        <v>3</v>
      </c>
      <c r="T53" s="4">
        <v>3</v>
      </c>
      <c r="U53" s="5" t="s">
        <v>789</v>
      </c>
      <c r="V53" s="5" t="s">
        <v>789</v>
      </c>
      <c r="W53" s="5" t="s">
        <v>790</v>
      </c>
      <c r="X53" s="5" t="s">
        <v>790</v>
      </c>
      <c r="Y53" s="4">
        <v>397</v>
      </c>
      <c r="Z53" s="4">
        <v>299</v>
      </c>
      <c r="AA53" s="4">
        <v>326</v>
      </c>
      <c r="AB53" s="4">
        <v>3</v>
      </c>
      <c r="AC53" s="4">
        <v>3</v>
      </c>
      <c r="AD53" s="4">
        <v>26</v>
      </c>
      <c r="AE53" s="4">
        <v>26</v>
      </c>
      <c r="AF53" s="4">
        <v>7</v>
      </c>
      <c r="AG53" s="4">
        <v>7</v>
      </c>
      <c r="AH53" s="4">
        <v>5</v>
      </c>
      <c r="AI53" s="4">
        <v>5</v>
      </c>
      <c r="AJ53" s="4">
        <v>11</v>
      </c>
      <c r="AK53" s="4">
        <v>11</v>
      </c>
      <c r="AL53" s="4">
        <v>2</v>
      </c>
      <c r="AM53" s="4">
        <v>2</v>
      </c>
      <c r="AN53" s="4">
        <v>8</v>
      </c>
      <c r="AO53" s="4">
        <v>8</v>
      </c>
      <c r="AP53" s="3" t="s">
        <v>58</v>
      </c>
      <c r="AQ53" s="3" t="s">
        <v>68</v>
      </c>
      <c r="AR53" s="6" t="str">
        <f>HYPERLINK("http://catalog.hathitrust.org/Record/002912440","HathiTrust Record")</f>
        <v>HathiTrust Record</v>
      </c>
      <c r="AS53" s="6" t="str">
        <f>HYPERLINK("https://creighton-primo.hosted.exlibrisgroup.com/primo-explore/search?tab=default_tab&amp;search_scope=EVERYTHING&amp;vid=01CRU&amp;lang=en_US&amp;offset=0&amp;query=any,contains,991002374179702656","Catalog Record")</f>
        <v>Catalog Record</v>
      </c>
      <c r="AT53" s="6" t="str">
        <f>HYPERLINK("http://www.worldcat.org/oclc/30892800","WorldCat Record")</f>
        <v>WorldCat Record</v>
      </c>
      <c r="AU53" s="3" t="s">
        <v>791</v>
      </c>
      <c r="AV53" s="3" t="s">
        <v>792</v>
      </c>
      <c r="AW53" s="3" t="s">
        <v>793</v>
      </c>
      <c r="AX53" s="3" t="s">
        <v>793</v>
      </c>
      <c r="AY53" s="3" t="s">
        <v>794</v>
      </c>
      <c r="AZ53" s="3" t="s">
        <v>73</v>
      </c>
      <c r="BB53" s="3" t="s">
        <v>795</v>
      </c>
      <c r="BC53" s="3" t="s">
        <v>796</v>
      </c>
      <c r="BD53" s="3" t="s">
        <v>797</v>
      </c>
    </row>
    <row r="54" spans="1:56" ht="38.25" customHeight="1" x14ac:dyDescent="0.25">
      <c r="A54" s="7" t="s">
        <v>58</v>
      </c>
      <c r="B54" s="2" t="s">
        <v>798</v>
      </c>
      <c r="C54" s="2" t="s">
        <v>799</v>
      </c>
      <c r="D54" s="2" t="s">
        <v>800</v>
      </c>
      <c r="F54" s="3" t="s">
        <v>58</v>
      </c>
      <c r="G54" s="3" t="s">
        <v>59</v>
      </c>
      <c r="H54" s="3" t="s">
        <v>58</v>
      </c>
      <c r="I54" s="3" t="s">
        <v>58</v>
      </c>
      <c r="J54" s="3" t="s">
        <v>60</v>
      </c>
      <c r="L54" s="2" t="s">
        <v>801</v>
      </c>
      <c r="M54" s="3" t="s">
        <v>351</v>
      </c>
      <c r="O54" s="3" t="s">
        <v>64</v>
      </c>
      <c r="P54" s="3" t="s">
        <v>802</v>
      </c>
      <c r="Q54" s="2" t="s">
        <v>803</v>
      </c>
      <c r="R54" s="3" t="s">
        <v>665</v>
      </c>
      <c r="S54" s="4">
        <v>7</v>
      </c>
      <c r="T54" s="4">
        <v>7</v>
      </c>
      <c r="U54" s="5" t="s">
        <v>804</v>
      </c>
      <c r="V54" s="5" t="s">
        <v>804</v>
      </c>
      <c r="W54" s="5" t="s">
        <v>638</v>
      </c>
      <c r="X54" s="5" t="s">
        <v>638</v>
      </c>
      <c r="Y54" s="4">
        <v>760</v>
      </c>
      <c r="Z54" s="4">
        <v>608</v>
      </c>
      <c r="AA54" s="4">
        <v>621</v>
      </c>
      <c r="AB54" s="4">
        <v>6</v>
      </c>
      <c r="AC54" s="4">
        <v>6</v>
      </c>
      <c r="AD54" s="4">
        <v>34</v>
      </c>
      <c r="AE54" s="4">
        <v>35</v>
      </c>
      <c r="AF54" s="4">
        <v>10</v>
      </c>
      <c r="AG54" s="4">
        <v>10</v>
      </c>
      <c r="AH54" s="4">
        <v>6</v>
      </c>
      <c r="AI54" s="4">
        <v>6</v>
      </c>
      <c r="AJ54" s="4">
        <v>17</v>
      </c>
      <c r="AK54" s="4">
        <v>17</v>
      </c>
      <c r="AL54" s="4">
        <v>5</v>
      </c>
      <c r="AM54" s="4">
        <v>5</v>
      </c>
      <c r="AN54" s="4">
        <v>5</v>
      </c>
      <c r="AO54" s="4">
        <v>6</v>
      </c>
      <c r="AP54" s="3" t="s">
        <v>58</v>
      </c>
      <c r="AQ54" s="3" t="s">
        <v>68</v>
      </c>
      <c r="AR54" s="6" t="str">
        <f>HYPERLINK("http://catalog.hathitrust.org/Record/000708253","HathiTrust Record")</f>
        <v>HathiTrust Record</v>
      </c>
      <c r="AS54" s="6" t="str">
        <f>HYPERLINK("https://creighton-primo.hosted.exlibrisgroup.com/primo-explore/search?tab=default_tab&amp;search_scope=EVERYTHING&amp;vid=01CRU&amp;lang=en_US&amp;offset=0&amp;query=any,contains,991004984639702656","Catalog Record")</f>
        <v>Catalog Record</v>
      </c>
      <c r="AT54" s="6" t="str">
        <f>HYPERLINK("http://www.worldcat.org/oclc/6446943","WorldCat Record")</f>
        <v>WorldCat Record</v>
      </c>
      <c r="AU54" s="3" t="s">
        <v>805</v>
      </c>
      <c r="AV54" s="3" t="s">
        <v>806</v>
      </c>
      <c r="AW54" s="3" t="s">
        <v>807</v>
      </c>
      <c r="AX54" s="3" t="s">
        <v>807</v>
      </c>
      <c r="AY54" s="3" t="s">
        <v>808</v>
      </c>
      <c r="AZ54" s="3" t="s">
        <v>73</v>
      </c>
      <c r="BB54" s="3" t="s">
        <v>809</v>
      </c>
      <c r="BC54" s="3" t="s">
        <v>810</v>
      </c>
      <c r="BD54" s="3" t="s">
        <v>811</v>
      </c>
    </row>
    <row r="55" spans="1:56" ht="38.25" customHeight="1" x14ac:dyDescent="0.25">
      <c r="A55" s="7" t="s">
        <v>58</v>
      </c>
      <c r="B55" s="2" t="s">
        <v>812</v>
      </c>
      <c r="C55" s="2" t="s">
        <v>813</v>
      </c>
      <c r="D55" s="2" t="s">
        <v>814</v>
      </c>
      <c r="F55" s="3" t="s">
        <v>58</v>
      </c>
      <c r="G55" s="3" t="s">
        <v>59</v>
      </c>
      <c r="H55" s="3" t="s">
        <v>58</v>
      </c>
      <c r="I55" s="3" t="s">
        <v>58</v>
      </c>
      <c r="J55" s="3" t="s">
        <v>60</v>
      </c>
      <c r="K55" s="2" t="s">
        <v>815</v>
      </c>
      <c r="L55" s="2" t="s">
        <v>816</v>
      </c>
      <c r="M55" s="3" t="s">
        <v>817</v>
      </c>
      <c r="O55" s="3" t="s">
        <v>64</v>
      </c>
      <c r="P55" s="3" t="s">
        <v>65</v>
      </c>
      <c r="R55" s="3" t="s">
        <v>665</v>
      </c>
      <c r="S55" s="4">
        <v>2</v>
      </c>
      <c r="T55" s="4">
        <v>2</v>
      </c>
      <c r="U55" s="5" t="s">
        <v>818</v>
      </c>
      <c r="V55" s="5" t="s">
        <v>818</v>
      </c>
      <c r="W55" s="5" t="s">
        <v>819</v>
      </c>
      <c r="X55" s="5" t="s">
        <v>819</v>
      </c>
      <c r="Y55" s="4">
        <v>627</v>
      </c>
      <c r="Z55" s="4">
        <v>514</v>
      </c>
      <c r="AA55" s="4">
        <v>526</v>
      </c>
      <c r="AB55" s="4">
        <v>5</v>
      </c>
      <c r="AC55" s="4">
        <v>5</v>
      </c>
      <c r="AD55" s="4">
        <v>26</v>
      </c>
      <c r="AE55" s="4">
        <v>26</v>
      </c>
      <c r="AF55" s="4">
        <v>8</v>
      </c>
      <c r="AG55" s="4">
        <v>8</v>
      </c>
      <c r="AH55" s="4">
        <v>4</v>
      </c>
      <c r="AI55" s="4">
        <v>4</v>
      </c>
      <c r="AJ55" s="4">
        <v>11</v>
      </c>
      <c r="AK55" s="4">
        <v>11</v>
      </c>
      <c r="AL55" s="4">
        <v>4</v>
      </c>
      <c r="AM55" s="4">
        <v>4</v>
      </c>
      <c r="AN55" s="4">
        <v>4</v>
      </c>
      <c r="AO55" s="4">
        <v>4</v>
      </c>
      <c r="AP55" s="3" t="s">
        <v>68</v>
      </c>
      <c r="AQ55" s="3" t="s">
        <v>58</v>
      </c>
      <c r="AR55" s="6" t="str">
        <f>HYPERLINK("http://catalog.hathitrust.org/Record/001434571","HathiTrust Record")</f>
        <v>HathiTrust Record</v>
      </c>
      <c r="AS55" s="6" t="str">
        <f>HYPERLINK("https://creighton-primo.hosted.exlibrisgroup.com/primo-explore/search?tab=default_tab&amp;search_scope=EVERYTHING&amp;vid=01CRU&amp;lang=en_US&amp;offset=0&amp;query=any,contains,991003686059702656","Catalog Record")</f>
        <v>Catalog Record</v>
      </c>
      <c r="AT55" s="6" t="str">
        <f>HYPERLINK("http://www.worldcat.org/oclc/1314566","WorldCat Record")</f>
        <v>WorldCat Record</v>
      </c>
      <c r="AU55" s="3" t="s">
        <v>820</v>
      </c>
      <c r="AV55" s="3" t="s">
        <v>821</v>
      </c>
      <c r="AW55" s="3" t="s">
        <v>822</v>
      </c>
      <c r="AX55" s="3" t="s">
        <v>822</v>
      </c>
      <c r="AY55" s="3" t="s">
        <v>823</v>
      </c>
      <c r="AZ55" s="3" t="s">
        <v>73</v>
      </c>
      <c r="BC55" s="3" t="s">
        <v>824</v>
      </c>
      <c r="BD55" s="3" t="s">
        <v>825</v>
      </c>
    </row>
    <row r="56" spans="1:56" ht="38.25" customHeight="1" x14ac:dyDescent="0.25">
      <c r="A56" s="7" t="s">
        <v>58</v>
      </c>
      <c r="B56" s="2" t="s">
        <v>826</v>
      </c>
      <c r="C56" s="2" t="s">
        <v>827</v>
      </c>
      <c r="D56" s="2" t="s">
        <v>828</v>
      </c>
      <c r="F56" s="3" t="s">
        <v>58</v>
      </c>
      <c r="G56" s="3" t="s">
        <v>59</v>
      </c>
      <c r="H56" s="3" t="s">
        <v>58</v>
      </c>
      <c r="I56" s="3" t="s">
        <v>58</v>
      </c>
      <c r="J56" s="3" t="s">
        <v>60</v>
      </c>
      <c r="K56" s="2" t="s">
        <v>829</v>
      </c>
      <c r="L56" s="2" t="s">
        <v>830</v>
      </c>
      <c r="M56" s="3" t="s">
        <v>831</v>
      </c>
      <c r="O56" s="3" t="s">
        <v>64</v>
      </c>
      <c r="P56" s="3" t="s">
        <v>65</v>
      </c>
      <c r="R56" s="3" t="s">
        <v>665</v>
      </c>
      <c r="S56" s="4">
        <v>1</v>
      </c>
      <c r="T56" s="4">
        <v>1</v>
      </c>
      <c r="U56" s="5" t="s">
        <v>832</v>
      </c>
      <c r="V56" s="5" t="s">
        <v>832</v>
      </c>
      <c r="W56" s="5" t="s">
        <v>667</v>
      </c>
      <c r="X56" s="5" t="s">
        <v>667</v>
      </c>
      <c r="Y56" s="4">
        <v>447</v>
      </c>
      <c r="Z56" s="4">
        <v>413</v>
      </c>
      <c r="AA56" s="4">
        <v>417</v>
      </c>
      <c r="AB56" s="4">
        <v>6</v>
      </c>
      <c r="AC56" s="4">
        <v>6</v>
      </c>
      <c r="AD56" s="4">
        <v>25</v>
      </c>
      <c r="AE56" s="4">
        <v>25</v>
      </c>
      <c r="AF56" s="4">
        <v>9</v>
      </c>
      <c r="AG56" s="4">
        <v>9</v>
      </c>
      <c r="AH56" s="4">
        <v>5</v>
      </c>
      <c r="AI56" s="4">
        <v>5</v>
      </c>
      <c r="AJ56" s="4">
        <v>13</v>
      </c>
      <c r="AK56" s="4">
        <v>13</v>
      </c>
      <c r="AL56" s="4">
        <v>5</v>
      </c>
      <c r="AM56" s="4">
        <v>5</v>
      </c>
      <c r="AN56" s="4">
        <v>0</v>
      </c>
      <c r="AO56" s="4">
        <v>0</v>
      </c>
      <c r="AP56" s="3" t="s">
        <v>58</v>
      </c>
      <c r="AQ56" s="3" t="s">
        <v>58</v>
      </c>
      <c r="AR56" s="6" t="str">
        <f>HYPERLINK("http://catalog.hathitrust.org/Record/000492995","HathiTrust Record")</f>
        <v>HathiTrust Record</v>
      </c>
      <c r="AS56" s="6" t="str">
        <f>HYPERLINK("https://creighton-primo.hosted.exlibrisgroup.com/primo-explore/search?tab=default_tab&amp;search_scope=EVERYTHING&amp;vid=01CRU&amp;lang=en_US&amp;offset=0&amp;query=any,contains,991002156599702656","Catalog Record")</f>
        <v>Catalog Record</v>
      </c>
      <c r="AT56" s="6" t="str">
        <f>HYPERLINK("http://www.worldcat.org/oclc/501579","WorldCat Record")</f>
        <v>WorldCat Record</v>
      </c>
      <c r="AU56" s="3" t="s">
        <v>833</v>
      </c>
      <c r="AV56" s="3" t="s">
        <v>834</v>
      </c>
      <c r="AW56" s="3" t="s">
        <v>835</v>
      </c>
      <c r="AX56" s="3" t="s">
        <v>835</v>
      </c>
      <c r="AY56" s="3" t="s">
        <v>836</v>
      </c>
      <c r="AZ56" s="3" t="s">
        <v>73</v>
      </c>
      <c r="BC56" s="3" t="s">
        <v>837</v>
      </c>
      <c r="BD56" s="3" t="s">
        <v>838</v>
      </c>
    </row>
    <row r="57" spans="1:56" ht="38.25" customHeight="1" x14ac:dyDescent="0.25">
      <c r="A57" s="7" t="s">
        <v>58</v>
      </c>
      <c r="B57" s="2" t="s">
        <v>839</v>
      </c>
      <c r="C57" s="2" t="s">
        <v>840</v>
      </c>
      <c r="D57" s="2" t="s">
        <v>841</v>
      </c>
      <c r="F57" s="3" t="s">
        <v>58</v>
      </c>
      <c r="G57" s="3" t="s">
        <v>59</v>
      </c>
      <c r="H57" s="3" t="s">
        <v>58</v>
      </c>
      <c r="I57" s="3" t="s">
        <v>58</v>
      </c>
      <c r="J57" s="3" t="s">
        <v>60</v>
      </c>
      <c r="L57" s="2" t="s">
        <v>842</v>
      </c>
      <c r="M57" s="3" t="s">
        <v>309</v>
      </c>
      <c r="O57" s="3" t="s">
        <v>64</v>
      </c>
      <c r="P57" s="3" t="s">
        <v>580</v>
      </c>
      <c r="R57" s="3" t="s">
        <v>665</v>
      </c>
      <c r="S57" s="4">
        <v>2</v>
      </c>
      <c r="T57" s="4">
        <v>2</v>
      </c>
      <c r="U57" s="5" t="s">
        <v>843</v>
      </c>
      <c r="V57" s="5" t="s">
        <v>843</v>
      </c>
      <c r="W57" s="5" t="s">
        <v>667</v>
      </c>
      <c r="X57" s="5" t="s">
        <v>667</v>
      </c>
      <c r="Y57" s="4">
        <v>256</v>
      </c>
      <c r="Z57" s="4">
        <v>188</v>
      </c>
      <c r="AA57" s="4">
        <v>195</v>
      </c>
      <c r="AB57" s="4">
        <v>3</v>
      </c>
      <c r="AC57" s="4">
        <v>3</v>
      </c>
      <c r="AD57" s="4">
        <v>9</v>
      </c>
      <c r="AE57" s="4">
        <v>9</v>
      </c>
      <c r="AF57" s="4">
        <v>1</v>
      </c>
      <c r="AG57" s="4">
        <v>1</v>
      </c>
      <c r="AH57" s="4">
        <v>1</v>
      </c>
      <c r="AI57" s="4">
        <v>1</v>
      </c>
      <c r="AJ57" s="4">
        <v>4</v>
      </c>
      <c r="AK57" s="4">
        <v>4</v>
      </c>
      <c r="AL57" s="4">
        <v>2</v>
      </c>
      <c r="AM57" s="4">
        <v>2</v>
      </c>
      <c r="AN57" s="4">
        <v>1</v>
      </c>
      <c r="AO57" s="4">
        <v>1</v>
      </c>
      <c r="AP57" s="3" t="s">
        <v>58</v>
      </c>
      <c r="AQ57" s="3" t="s">
        <v>68</v>
      </c>
      <c r="AR57" s="6" t="str">
        <f>HYPERLINK("http://catalog.hathitrust.org/Record/001434599","HathiTrust Record")</f>
        <v>HathiTrust Record</v>
      </c>
      <c r="AS57" s="6" t="str">
        <f>HYPERLINK("https://creighton-primo.hosted.exlibrisgroup.com/primo-explore/search?tab=default_tab&amp;search_scope=EVERYTHING&amp;vid=01CRU&amp;lang=en_US&amp;offset=0&amp;query=any,contains,991002760639702656","Catalog Record")</f>
        <v>Catalog Record</v>
      </c>
      <c r="AT57" s="6" t="str">
        <f>HYPERLINK("http://www.worldcat.org/oclc/428534","WorldCat Record")</f>
        <v>WorldCat Record</v>
      </c>
      <c r="AU57" s="3" t="s">
        <v>844</v>
      </c>
      <c r="AV57" s="3" t="s">
        <v>845</v>
      </c>
      <c r="AW57" s="3" t="s">
        <v>846</v>
      </c>
      <c r="AX57" s="3" t="s">
        <v>846</v>
      </c>
      <c r="AY57" s="3" t="s">
        <v>847</v>
      </c>
      <c r="AZ57" s="3" t="s">
        <v>73</v>
      </c>
      <c r="BB57" s="3" t="s">
        <v>848</v>
      </c>
      <c r="BC57" s="3" t="s">
        <v>849</v>
      </c>
      <c r="BD57" s="3" t="s">
        <v>850</v>
      </c>
    </row>
    <row r="58" spans="1:56" ht="38.25" customHeight="1" x14ac:dyDescent="0.25">
      <c r="A58" s="7" t="s">
        <v>58</v>
      </c>
      <c r="B58" s="2" t="s">
        <v>851</v>
      </c>
      <c r="C58" s="2" t="s">
        <v>852</v>
      </c>
      <c r="D58" s="2" t="s">
        <v>853</v>
      </c>
      <c r="F58" s="3" t="s">
        <v>58</v>
      </c>
      <c r="G58" s="3" t="s">
        <v>59</v>
      </c>
      <c r="H58" s="3" t="s">
        <v>58</v>
      </c>
      <c r="I58" s="3" t="s">
        <v>58</v>
      </c>
      <c r="J58" s="3" t="s">
        <v>60</v>
      </c>
      <c r="K58" s="2" t="s">
        <v>854</v>
      </c>
      <c r="L58" s="2" t="s">
        <v>855</v>
      </c>
      <c r="M58" s="3" t="s">
        <v>856</v>
      </c>
      <c r="O58" s="3" t="s">
        <v>64</v>
      </c>
      <c r="P58" s="3" t="s">
        <v>580</v>
      </c>
      <c r="R58" s="3" t="s">
        <v>665</v>
      </c>
      <c r="S58" s="4">
        <v>2</v>
      </c>
      <c r="T58" s="4">
        <v>2</v>
      </c>
      <c r="U58" s="5" t="s">
        <v>857</v>
      </c>
      <c r="V58" s="5" t="s">
        <v>857</v>
      </c>
      <c r="W58" s="5" t="s">
        <v>667</v>
      </c>
      <c r="X58" s="5" t="s">
        <v>667</v>
      </c>
      <c r="Y58" s="4">
        <v>501</v>
      </c>
      <c r="Z58" s="4">
        <v>400</v>
      </c>
      <c r="AA58" s="4">
        <v>486</v>
      </c>
      <c r="AB58" s="4">
        <v>6</v>
      </c>
      <c r="AC58" s="4">
        <v>6</v>
      </c>
      <c r="AD58" s="4">
        <v>22</v>
      </c>
      <c r="AE58" s="4">
        <v>24</v>
      </c>
      <c r="AF58" s="4">
        <v>8</v>
      </c>
      <c r="AG58" s="4">
        <v>10</v>
      </c>
      <c r="AH58" s="4">
        <v>4</v>
      </c>
      <c r="AI58" s="4">
        <v>4</v>
      </c>
      <c r="AJ58" s="4">
        <v>10</v>
      </c>
      <c r="AK58" s="4">
        <v>11</v>
      </c>
      <c r="AL58" s="4">
        <v>5</v>
      </c>
      <c r="AM58" s="4">
        <v>5</v>
      </c>
      <c r="AN58" s="4">
        <v>0</v>
      </c>
      <c r="AO58" s="4">
        <v>0</v>
      </c>
      <c r="AP58" s="3" t="s">
        <v>58</v>
      </c>
      <c r="AQ58" s="3" t="s">
        <v>68</v>
      </c>
      <c r="AR58" s="6" t="str">
        <f>HYPERLINK("http://catalog.hathitrust.org/Record/000708462","HathiTrust Record")</f>
        <v>HathiTrust Record</v>
      </c>
      <c r="AS58" s="6" t="str">
        <f>HYPERLINK("https://creighton-primo.hosted.exlibrisgroup.com/primo-explore/search?tab=default_tab&amp;search_scope=EVERYTHING&amp;vid=01CRU&amp;lang=en_US&amp;offset=0&amp;query=any,contains,991003951549702656","Catalog Record")</f>
        <v>Catalog Record</v>
      </c>
      <c r="AT58" s="6" t="str">
        <f>HYPERLINK("http://www.worldcat.org/oclc/1958269","WorldCat Record")</f>
        <v>WorldCat Record</v>
      </c>
      <c r="AU58" s="3" t="s">
        <v>858</v>
      </c>
      <c r="AV58" s="3" t="s">
        <v>859</v>
      </c>
      <c r="AW58" s="3" t="s">
        <v>860</v>
      </c>
      <c r="AX58" s="3" t="s">
        <v>860</v>
      </c>
      <c r="AY58" s="3" t="s">
        <v>861</v>
      </c>
      <c r="AZ58" s="3" t="s">
        <v>73</v>
      </c>
      <c r="BB58" s="3" t="s">
        <v>862</v>
      </c>
      <c r="BC58" s="3" t="s">
        <v>863</v>
      </c>
      <c r="BD58" s="3" t="s">
        <v>864</v>
      </c>
    </row>
    <row r="59" spans="1:56" ht="38.25" customHeight="1" x14ac:dyDescent="0.25">
      <c r="A59" s="7" t="s">
        <v>58</v>
      </c>
      <c r="B59" s="2" t="s">
        <v>865</v>
      </c>
      <c r="C59" s="2" t="s">
        <v>866</v>
      </c>
      <c r="D59" s="2" t="s">
        <v>867</v>
      </c>
      <c r="F59" s="3" t="s">
        <v>58</v>
      </c>
      <c r="G59" s="3" t="s">
        <v>59</v>
      </c>
      <c r="H59" s="3" t="s">
        <v>58</v>
      </c>
      <c r="I59" s="3" t="s">
        <v>58</v>
      </c>
      <c r="J59" s="3" t="s">
        <v>60</v>
      </c>
      <c r="K59" s="2" t="s">
        <v>868</v>
      </c>
      <c r="L59" s="2" t="s">
        <v>869</v>
      </c>
      <c r="M59" s="3" t="s">
        <v>870</v>
      </c>
      <c r="O59" s="3" t="s">
        <v>64</v>
      </c>
      <c r="P59" s="3" t="s">
        <v>130</v>
      </c>
      <c r="R59" s="3" t="s">
        <v>665</v>
      </c>
      <c r="S59" s="4">
        <v>2</v>
      </c>
      <c r="T59" s="4">
        <v>2</v>
      </c>
      <c r="U59" s="5" t="s">
        <v>871</v>
      </c>
      <c r="V59" s="5" t="s">
        <v>871</v>
      </c>
      <c r="W59" s="5" t="s">
        <v>872</v>
      </c>
      <c r="X59" s="5" t="s">
        <v>872</v>
      </c>
      <c r="Y59" s="4">
        <v>339</v>
      </c>
      <c r="Z59" s="4">
        <v>221</v>
      </c>
      <c r="AA59" s="4">
        <v>325</v>
      </c>
      <c r="AB59" s="4">
        <v>3</v>
      </c>
      <c r="AC59" s="4">
        <v>3</v>
      </c>
      <c r="AD59" s="4">
        <v>11</v>
      </c>
      <c r="AE59" s="4">
        <v>14</v>
      </c>
      <c r="AF59" s="4">
        <v>4</v>
      </c>
      <c r="AG59" s="4">
        <v>6</v>
      </c>
      <c r="AH59" s="4">
        <v>3</v>
      </c>
      <c r="AI59" s="4">
        <v>3</v>
      </c>
      <c r="AJ59" s="4">
        <v>5</v>
      </c>
      <c r="AK59" s="4">
        <v>6</v>
      </c>
      <c r="AL59" s="4">
        <v>2</v>
      </c>
      <c r="AM59" s="4">
        <v>2</v>
      </c>
      <c r="AN59" s="4">
        <v>0</v>
      </c>
      <c r="AO59" s="4">
        <v>0</v>
      </c>
      <c r="AP59" s="3" t="s">
        <v>58</v>
      </c>
      <c r="AQ59" s="3" t="s">
        <v>58</v>
      </c>
      <c r="AS59" s="6" t="str">
        <f>HYPERLINK("https://creighton-primo.hosted.exlibrisgroup.com/primo-explore/search?tab=default_tab&amp;search_scope=EVERYTHING&amp;vid=01CRU&amp;lang=en_US&amp;offset=0&amp;query=any,contains,991004157909702656","Catalog Record")</f>
        <v>Catalog Record</v>
      </c>
      <c r="AT59" s="6" t="str">
        <f>HYPERLINK("http://www.worldcat.org/oclc/50913538","WorldCat Record")</f>
        <v>WorldCat Record</v>
      </c>
      <c r="AU59" s="3" t="s">
        <v>873</v>
      </c>
      <c r="AV59" s="3" t="s">
        <v>874</v>
      </c>
      <c r="AW59" s="3" t="s">
        <v>875</v>
      </c>
      <c r="AX59" s="3" t="s">
        <v>875</v>
      </c>
      <c r="AY59" s="3" t="s">
        <v>876</v>
      </c>
      <c r="AZ59" s="3" t="s">
        <v>73</v>
      </c>
      <c r="BB59" s="3" t="s">
        <v>877</v>
      </c>
      <c r="BC59" s="3" t="s">
        <v>878</v>
      </c>
      <c r="BD59" s="3" t="s">
        <v>879</v>
      </c>
    </row>
    <row r="60" spans="1:56" ht="38.25" customHeight="1" x14ac:dyDescent="0.25">
      <c r="A60" s="7" t="s">
        <v>58</v>
      </c>
      <c r="B60" s="2" t="s">
        <v>880</v>
      </c>
      <c r="C60" s="2" t="s">
        <v>881</v>
      </c>
      <c r="D60" s="2" t="s">
        <v>882</v>
      </c>
      <c r="F60" s="3" t="s">
        <v>58</v>
      </c>
      <c r="G60" s="3" t="s">
        <v>59</v>
      </c>
      <c r="H60" s="3" t="s">
        <v>58</v>
      </c>
      <c r="I60" s="3" t="s">
        <v>58</v>
      </c>
      <c r="J60" s="3" t="s">
        <v>60</v>
      </c>
      <c r="K60" s="2" t="s">
        <v>883</v>
      </c>
      <c r="L60" s="2" t="s">
        <v>884</v>
      </c>
      <c r="M60" s="3" t="s">
        <v>436</v>
      </c>
      <c r="O60" s="3" t="s">
        <v>64</v>
      </c>
      <c r="P60" s="3" t="s">
        <v>65</v>
      </c>
      <c r="R60" s="3" t="s">
        <v>665</v>
      </c>
      <c r="S60" s="4">
        <v>2</v>
      </c>
      <c r="T60" s="4">
        <v>2</v>
      </c>
      <c r="U60" s="5" t="s">
        <v>885</v>
      </c>
      <c r="V60" s="5" t="s">
        <v>885</v>
      </c>
      <c r="W60" s="5" t="s">
        <v>667</v>
      </c>
      <c r="X60" s="5" t="s">
        <v>667</v>
      </c>
      <c r="Y60" s="4">
        <v>566</v>
      </c>
      <c r="Z60" s="4">
        <v>485</v>
      </c>
      <c r="AA60" s="4">
        <v>502</v>
      </c>
      <c r="AB60" s="4">
        <v>4</v>
      </c>
      <c r="AC60" s="4">
        <v>4</v>
      </c>
      <c r="AD60" s="4">
        <v>19</v>
      </c>
      <c r="AE60" s="4">
        <v>21</v>
      </c>
      <c r="AF60" s="4">
        <v>5</v>
      </c>
      <c r="AG60" s="4">
        <v>6</v>
      </c>
      <c r="AH60" s="4">
        <v>3</v>
      </c>
      <c r="AI60" s="4">
        <v>3</v>
      </c>
      <c r="AJ60" s="4">
        <v>11</v>
      </c>
      <c r="AK60" s="4">
        <v>12</v>
      </c>
      <c r="AL60" s="4">
        <v>3</v>
      </c>
      <c r="AM60" s="4">
        <v>3</v>
      </c>
      <c r="AN60" s="4">
        <v>0</v>
      </c>
      <c r="AO60" s="4">
        <v>0</v>
      </c>
      <c r="AP60" s="3" t="s">
        <v>58</v>
      </c>
      <c r="AQ60" s="3" t="s">
        <v>58</v>
      </c>
      <c r="AS60" s="6" t="str">
        <f>HYPERLINK("https://creighton-primo.hosted.exlibrisgroup.com/primo-explore/search?tab=default_tab&amp;search_scope=EVERYTHING&amp;vid=01CRU&amp;lang=en_US&amp;offset=0&amp;query=any,contains,991003392249702656","Catalog Record")</f>
        <v>Catalog Record</v>
      </c>
      <c r="AT60" s="6" t="str">
        <f>HYPERLINK("http://www.worldcat.org/oclc/930667","WorldCat Record")</f>
        <v>WorldCat Record</v>
      </c>
      <c r="AU60" s="3" t="s">
        <v>886</v>
      </c>
      <c r="AV60" s="3" t="s">
        <v>887</v>
      </c>
      <c r="AW60" s="3" t="s">
        <v>888</v>
      </c>
      <c r="AX60" s="3" t="s">
        <v>888</v>
      </c>
      <c r="AY60" s="3" t="s">
        <v>889</v>
      </c>
      <c r="AZ60" s="3" t="s">
        <v>73</v>
      </c>
      <c r="BC60" s="3" t="s">
        <v>890</v>
      </c>
      <c r="BD60" s="3" t="s">
        <v>891</v>
      </c>
    </row>
    <row r="61" spans="1:56" ht="38.25" customHeight="1" x14ac:dyDescent="0.25">
      <c r="A61" s="7" t="s">
        <v>58</v>
      </c>
      <c r="B61" s="2" t="s">
        <v>892</v>
      </c>
      <c r="C61" s="2" t="s">
        <v>893</v>
      </c>
      <c r="D61" s="2" t="s">
        <v>894</v>
      </c>
      <c r="F61" s="3" t="s">
        <v>58</v>
      </c>
      <c r="G61" s="3" t="s">
        <v>59</v>
      </c>
      <c r="H61" s="3" t="s">
        <v>58</v>
      </c>
      <c r="I61" s="3" t="s">
        <v>58</v>
      </c>
      <c r="J61" s="3" t="s">
        <v>60</v>
      </c>
      <c r="K61" s="2" t="s">
        <v>895</v>
      </c>
      <c r="L61" s="2" t="s">
        <v>896</v>
      </c>
      <c r="M61" s="3" t="s">
        <v>787</v>
      </c>
      <c r="O61" s="3" t="s">
        <v>64</v>
      </c>
      <c r="P61" s="3" t="s">
        <v>130</v>
      </c>
      <c r="R61" s="3" t="s">
        <v>665</v>
      </c>
      <c r="S61" s="4">
        <v>14</v>
      </c>
      <c r="T61" s="4">
        <v>14</v>
      </c>
      <c r="U61" s="5" t="s">
        <v>897</v>
      </c>
      <c r="V61" s="5" t="s">
        <v>897</v>
      </c>
      <c r="W61" s="5" t="s">
        <v>898</v>
      </c>
      <c r="X61" s="5" t="s">
        <v>898</v>
      </c>
      <c r="Y61" s="4">
        <v>447</v>
      </c>
      <c r="Z61" s="4">
        <v>329</v>
      </c>
      <c r="AA61" s="4">
        <v>334</v>
      </c>
      <c r="AB61" s="4">
        <v>3</v>
      </c>
      <c r="AC61" s="4">
        <v>3</v>
      </c>
      <c r="AD61" s="4">
        <v>18</v>
      </c>
      <c r="AE61" s="4">
        <v>18</v>
      </c>
      <c r="AF61" s="4">
        <v>4</v>
      </c>
      <c r="AG61" s="4">
        <v>4</v>
      </c>
      <c r="AH61" s="4">
        <v>6</v>
      </c>
      <c r="AI61" s="4">
        <v>6</v>
      </c>
      <c r="AJ61" s="4">
        <v>8</v>
      </c>
      <c r="AK61" s="4">
        <v>8</v>
      </c>
      <c r="AL61" s="4">
        <v>2</v>
      </c>
      <c r="AM61" s="4">
        <v>2</v>
      </c>
      <c r="AN61" s="4">
        <v>2</v>
      </c>
      <c r="AO61" s="4">
        <v>2</v>
      </c>
      <c r="AP61" s="3" t="s">
        <v>58</v>
      </c>
      <c r="AQ61" s="3" t="s">
        <v>58</v>
      </c>
      <c r="AS61" s="6" t="str">
        <f>HYPERLINK("https://creighton-primo.hosted.exlibrisgroup.com/primo-explore/search?tab=default_tab&amp;search_scope=EVERYTHING&amp;vid=01CRU&amp;lang=en_US&amp;offset=0&amp;query=any,contains,991002389119702656","Catalog Record")</f>
        <v>Catalog Record</v>
      </c>
      <c r="AT61" s="6" t="str">
        <f>HYPERLINK("http://www.worldcat.org/oclc/31045044","WorldCat Record")</f>
        <v>WorldCat Record</v>
      </c>
      <c r="AU61" s="3" t="s">
        <v>899</v>
      </c>
      <c r="AV61" s="3" t="s">
        <v>900</v>
      </c>
      <c r="AW61" s="3" t="s">
        <v>901</v>
      </c>
      <c r="AX61" s="3" t="s">
        <v>901</v>
      </c>
      <c r="AY61" s="3" t="s">
        <v>902</v>
      </c>
      <c r="AZ61" s="3" t="s">
        <v>73</v>
      </c>
      <c r="BB61" s="3" t="s">
        <v>903</v>
      </c>
      <c r="BC61" s="3" t="s">
        <v>904</v>
      </c>
      <c r="BD61" s="3" t="s">
        <v>905</v>
      </c>
    </row>
    <row r="62" spans="1:56" ht="38.25" customHeight="1" x14ac:dyDescent="0.25">
      <c r="A62" s="7" t="s">
        <v>58</v>
      </c>
      <c r="B62" s="2" t="s">
        <v>906</v>
      </c>
      <c r="C62" s="2" t="s">
        <v>907</v>
      </c>
      <c r="D62" s="2" t="s">
        <v>908</v>
      </c>
      <c r="F62" s="3" t="s">
        <v>58</v>
      </c>
      <c r="G62" s="3" t="s">
        <v>59</v>
      </c>
      <c r="H62" s="3" t="s">
        <v>58</v>
      </c>
      <c r="I62" s="3" t="s">
        <v>58</v>
      </c>
      <c r="J62" s="3" t="s">
        <v>60</v>
      </c>
      <c r="L62" s="2" t="s">
        <v>909</v>
      </c>
      <c r="M62" s="3" t="s">
        <v>351</v>
      </c>
      <c r="O62" s="3" t="s">
        <v>64</v>
      </c>
      <c r="P62" s="3" t="s">
        <v>83</v>
      </c>
      <c r="R62" s="3" t="s">
        <v>665</v>
      </c>
      <c r="S62" s="4">
        <v>4</v>
      </c>
      <c r="T62" s="4">
        <v>4</v>
      </c>
      <c r="U62" s="5" t="s">
        <v>910</v>
      </c>
      <c r="V62" s="5" t="s">
        <v>910</v>
      </c>
      <c r="W62" s="5" t="s">
        <v>638</v>
      </c>
      <c r="X62" s="5" t="s">
        <v>638</v>
      </c>
      <c r="Y62" s="4">
        <v>480</v>
      </c>
      <c r="Z62" s="4">
        <v>317</v>
      </c>
      <c r="AA62" s="4">
        <v>507</v>
      </c>
      <c r="AB62" s="4">
        <v>4</v>
      </c>
      <c r="AC62" s="4">
        <v>4</v>
      </c>
      <c r="AD62" s="4">
        <v>17</v>
      </c>
      <c r="AE62" s="4">
        <v>27</v>
      </c>
      <c r="AF62" s="4">
        <v>7</v>
      </c>
      <c r="AG62" s="4">
        <v>13</v>
      </c>
      <c r="AH62" s="4">
        <v>3</v>
      </c>
      <c r="AI62" s="4">
        <v>6</v>
      </c>
      <c r="AJ62" s="4">
        <v>8</v>
      </c>
      <c r="AK62" s="4">
        <v>13</v>
      </c>
      <c r="AL62" s="4">
        <v>3</v>
      </c>
      <c r="AM62" s="4">
        <v>3</v>
      </c>
      <c r="AN62" s="4">
        <v>1</v>
      </c>
      <c r="AO62" s="4">
        <v>1</v>
      </c>
      <c r="AP62" s="3" t="s">
        <v>58</v>
      </c>
      <c r="AQ62" s="3" t="s">
        <v>58</v>
      </c>
      <c r="AS62" s="6" t="str">
        <f>HYPERLINK("https://creighton-primo.hosted.exlibrisgroup.com/primo-explore/search?tab=default_tab&amp;search_scope=EVERYTHING&amp;vid=01CRU&amp;lang=en_US&amp;offset=0&amp;query=any,contains,991004882999702656","Catalog Record")</f>
        <v>Catalog Record</v>
      </c>
      <c r="AT62" s="6" t="str">
        <f>HYPERLINK("http://www.worldcat.org/oclc/5829996","WorldCat Record")</f>
        <v>WorldCat Record</v>
      </c>
      <c r="AU62" s="3" t="s">
        <v>911</v>
      </c>
      <c r="AV62" s="3" t="s">
        <v>912</v>
      </c>
      <c r="AW62" s="3" t="s">
        <v>913</v>
      </c>
      <c r="AX62" s="3" t="s">
        <v>913</v>
      </c>
      <c r="AY62" s="3" t="s">
        <v>914</v>
      </c>
      <c r="AZ62" s="3" t="s">
        <v>73</v>
      </c>
      <c r="BB62" s="3" t="s">
        <v>915</v>
      </c>
      <c r="BC62" s="3" t="s">
        <v>916</v>
      </c>
      <c r="BD62" s="3" t="s">
        <v>917</v>
      </c>
    </row>
    <row r="63" spans="1:56" ht="38.25" customHeight="1" x14ac:dyDescent="0.25">
      <c r="A63" s="7" t="s">
        <v>58</v>
      </c>
      <c r="B63" s="2" t="s">
        <v>918</v>
      </c>
      <c r="C63" s="2" t="s">
        <v>919</v>
      </c>
      <c r="D63" s="2" t="s">
        <v>920</v>
      </c>
      <c r="F63" s="3" t="s">
        <v>58</v>
      </c>
      <c r="G63" s="3" t="s">
        <v>59</v>
      </c>
      <c r="H63" s="3" t="s">
        <v>58</v>
      </c>
      <c r="I63" s="3" t="s">
        <v>58</v>
      </c>
      <c r="J63" s="3" t="s">
        <v>60</v>
      </c>
      <c r="K63" s="2" t="s">
        <v>921</v>
      </c>
      <c r="L63" s="2" t="s">
        <v>922</v>
      </c>
      <c r="M63" s="3" t="s">
        <v>161</v>
      </c>
      <c r="O63" s="3" t="s">
        <v>64</v>
      </c>
      <c r="P63" s="3" t="s">
        <v>65</v>
      </c>
      <c r="R63" s="3" t="s">
        <v>665</v>
      </c>
      <c r="S63" s="4">
        <v>1</v>
      </c>
      <c r="T63" s="4">
        <v>1</v>
      </c>
      <c r="U63" s="5" t="s">
        <v>885</v>
      </c>
      <c r="V63" s="5" t="s">
        <v>885</v>
      </c>
      <c r="W63" s="5" t="s">
        <v>638</v>
      </c>
      <c r="X63" s="5" t="s">
        <v>638</v>
      </c>
      <c r="Y63" s="4">
        <v>321</v>
      </c>
      <c r="Z63" s="4">
        <v>277</v>
      </c>
      <c r="AA63" s="4">
        <v>318</v>
      </c>
      <c r="AB63" s="4">
        <v>2</v>
      </c>
      <c r="AC63" s="4">
        <v>3</v>
      </c>
      <c r="AD63" s="4">
        <v>10</v>
      </c>
      <c r="AE63" s="4">
        <v>12</v>
      </c>
      <c r="AF63" s="4">
        <v>3</v>
      </c>
      <c r="AG63" s="4">
        <v>3</v>
      </c>
      <c r="AH63" s="4">
        <v>3</v>
      </c>
      <c r="AI63" s="4">
        <v>3</v>
      </c>
      <c r="AJ63" s="4">
        <v>5</v>
      </c>
      <c r="AK63" s="4">
        <v>6</v>
      </c>
      <c r="AL63" s="4">
        <v>1</v>
      </c>
      <c r="AM63" s="4">
        <v>2</v>
      </c>
      <c r="AN63" s="4">
        <v>0</v>
      </c>
      <c r="AO63" s="4">
        <v>0</v>
      </c>
      <c r="AP63" s="3" t="s">
        <v>58</v>
      </c>
      <c r="AQ63" s="3" t="s">
        <v>58</v>
      </c>
      <c r="AS63" s="6" t="str">
        <f>HYPERLINK("https://creighton-primo.hosted.exlibrisgroup.com/primo-explore/search?tab=default_tab&amp;search_scope=EVERYTHING&amp;vid=01CRU&amp;lang=en_US&amp;offset=0&amp;query=any,contains,991000051589702656","Catalog Record")</f>
        <v>Catalog Record</v>
      </c>
      <c r="AT63" s="6" t="str">
        <f>HYPERLINK("http://www.worldcat.org/oclc/8688754","WorldCat Record")</f>
        <v>WorldCat Record</v>
      </c>
      <c r="AU63" s="3" t="s">
        <v>923</v>
      </c>
      <c r="AV63" s="3" t="s">
        <v>924</v>
      </c>
      <c r="AW63" s="3" t="s">
        <v>925</v>
      </c>
      <c r="AX63" s="3" t="s">
        <v>925</v>
      </c>
      <c r="AY63" s="3" t="s">
        <v>926</v>
      </c>
      <c r="AZ63" s="3" t="s">
        <v>73</v>
      </c>
      <c r="BB63" s="3" t="s">
        <v>927</v>
      </c>
      <c r="BC63" s="3" t="s">
        <v>928</v>
      </c>
      <c r="BD63" s="3" t="s">
        <v>929</v>
      </c>
    </row>
    <row r="64" spans="1:56" ht="38.25" customHeight="1" x14ac:dyDescent="0.25">
      <c r="A64" s="7" t="s">
        <v>58</v>
      </c>
      <c r="B64" s="2" t="s">
        <v>930</v>
      </c>
      <c r="C64" s="2" t="s">
        <v>931</v>
      </c>
      <c r="D64" s="2" t="s">
        <v>932</v>
      </c>
      <c r="F64" s="3" t="s">
        <v>58</v>
      </c>
      <c r="G64" s="3" t="s">
        <v>59</v>
      </c>
      <c r="H64" s="3" t="s">
        <v>58</v>
      </c>
      <c r="I64" s="3" t="s">
        <v>58</v>
      </c>
      <c r="J64" s="3" t="s">
        <v>60</v>
      </c>
      <c r="K64" s="2" t="s">
        <v>933</v>
      </c>
      <c r="L64" s="2" t="s">
        <v>934</v>
      </c>
      <c r="M64" s="3" t="s">
        <v>309</v>
      </c>
      <c r="O64" s="3" t="s">
        <v>64</v>
      </c>
      <c r="P64" s="3" t="s">
        <v>65</v>
      </c>
      <c r="R64" s="3" t="s">
        <v>665</v>
      </c>
      <c r="S64" s="4">
        <v>1</v>
      </c>
      <c r="T64" s="4">
        <v>1</v>
      </c>
      <c r="U64" s="5" t="s">
        <v>885</v>
      </c>
      <c r="V64" s="5" t="s">
        <v>885</v>
      </c>
      <c r="W64" s="5" t="s">
        <v>667</v>
      </c>
      <c r="X64" s="5" t="s">
        <v>667</v>
      </c>
      <c r="Y64" s="4">
        <v>422</v>
      </c>
      <c r="Z64" s="4">
        <v>343</v>
      </c>
      <c r="AA64" s="4">
        <v>363</v>
      </c>
      <c r="AB64" s="4">
        <v>6</v>
      </c>
      <c r="AC64" s="4">
        <v>6</v>
      </c>
      <c r="AD64" s="4">
        <v>17</v>
      </c>
      <c r="AE64" s="4">
        <v>18</v>
      </c>
      <c r="AF64" s="4">
        <v>4</v>
      </c>
      <c r="AG64" s="4">
        <v>4</v>
      </c>
      <c r="AH64" s="4">
        <v>2</v>
      </c>
      <c r="AI64" s="4">
        <v>3</v>
      </c>
      <c r="AJ64" s="4">
        <v>9</v>
      </c>
      <c r="AK64" s="4">
        <v>10</v>
      </c>
      <c r="AL64" s="4">
        <v>5</v>
      </c>
      <c r="AM64" s="4">
        <v>5</v>
      </c>
      <c r="AN64" s="4">
        <v>0</v>
      </c>
      <c r="AO64" s="4">
        <v>0</v>
      </c>
      <c r="AP64" s="3" t="s">
        <v>58</v>
      </c>
      <c r="AQ64" s="3" t="s">
        <v>58</v>
      </c>
      <c r="AS64" s="6" t="str">
        <f>HYPERLINK("https://creighton-primo.hosted.exlibrisgroup.com/primo-explore/search?tab=default_tab&amp;search_scope=EVERYTHING&amp;vid=01CRU&amp;lang=en_US&amp;offset=0&amp;query=any,contains,991002244749702656","Catalog Record")</f>
        <v>Catalog Record</v>
      </c>
      <c r="AT64" s="6" t="str">
        <f>HYPERLINK("http://www.worldcat.org/oclc/297610","WorldCat Record")</f>
        <v>WorldCat Record</v>
      </c>
      <c r="AU64" s="3" t="s">
        <v>935</v>
      </c>
      <c r="AV64" s="3" t="s">
        <v>936</v>
      </c>
      <c r="AW64" s="3" t="s">
        <v>937</v>
      </c>
      <c r="AX64" s="3" t="s">
        <v>937</v>
      </c>
      <c r="AY64" s="3" t="s">
        <v>938</v>
      </c>
      <c r="AZ64" s="3" t="s">
        <v>73</v>
      </c>
      <c r="BB64" s="3" t="s">
        <v>939</v>
      </c>
      <c r="BC64" s="3" t="s">
        <v>940</v>
      </c>
      <c r="BD64" s="3" t="s">
        <v>941</v>
      </c>
    </row>
    <row r="65" spans="1:56" ht="38.25" customHeight="1" x14ac:dyDescent="0.25">
      <c r="A65" s="7" t="s">
        <v>58</v>
      </c>
      <c r="B65" s="2" t="s">
        <v>942</v>
      </c>
      <c r="C65" s="2" t="s">
        <v>943</v>
      </c>
      <c r="D65" s="2" t="s">
        <v>944</v>
      </c>
      <c r="F65" s="3" t="s">
        <v>58</v>
      </c>
      <c r="G65" s="3" t="s">
        <v>59</v>
      </c>
      <c r="H65" s="3" t="s">
        <v>58</v>
      </c>
      <c r="I65" s="3" t="s">
        <v>58</v>
      </c>
      <c r="J65" s="3" t="s">
        <v>60</v>
      </c>
      <c r="K65" s="2" t="s">
        <v>945</v>
      </c>
      <c r="L65" s="2" t="s">
        <v>946</v>
      </c>
      <c r="M65" s="3" t="s">
        <v>856</v>
      </c>
      <c r="O65" s="3" t="s">
        <v>64</v>
      </c>
      <c r="P65" s="3" t="s">
        <v>947</v>
      </c>
      <c r="R65" s="3" t="s">
        <v>665</v>
      </c>
      <c r="S65" s="4">
        <v>10</v>
      </c>
      <c r="T65" s="4">
        <v>10</v>
      </c>
      <c r="U65" s="5" t="s">
        <v>948</v>
      </c>
      <c r="V65" s="5" t="s">
        <v>948</v>
      </c>
      <c r="W65" s="5" t="s">
        <v>667</v>
      </c>
      <c r="X65" s="5" t="s">
        <v>667</v>
      </c>
      <c r="Y65" s="4">
        <v>783</v>
      </c>
      <c r="Z65" s="4">
        <v>634</v>
      </c>
      <c r="AA65" s="4">
        <v>763</v>
      </c>
      <c r="AB65" s="4">
        <v>6</v>
      </c>
      <c r="AC65" s="4">
        <v>6</v>
      </c>
      <c r="AD65" s="4">
        <v>30</v>
      </c>
      <c r="AE65" s="4">
        <v>36</v>
      </c>
      <c r="AF65" s="4">
        <v>10</v>
      </c>
      <c r="AG65" s="4">
        <v>14</v>
      </c>
      <c r="AH65" s="4">
        <v>6</v>
      </c>
      <c r="AI65" s="4">
        <v>9</v>
      </c>
      <c r="AJ65" s="4">
        <v>17</v>
      </c>
      <c r="AK65" s="4">
        <v>18</v>
      </c>
      <c r="AL65" s="4">
        <v>5</v>
      </c>
      <c r="AM65" s="4">
        <v>5</v>
      </c>
      <c r="AN65" s="4">
        <v>0</v>
      </c>
      <c r="AO65" s="4">
        <v>0</v>
      </c>
      <c r="AP65" s="3" t="s">
        <v>58</v>
      </c>
      <c r="AQ65" s="3" t="s">
        <v>58</v>
      </c>
      <c r="AS65" s="6" t="str">
        <f>HYPERLINK("https://creighton-primo.hosted.exlibrisgroup.com/primo-explore/search?tab=default_tab&amp;search_scope=EVERYTHING&amp;vid=01CRU&amp;lang=en_US&amp;offset=0&amp;query=any,contains,991003836029702656","Catalog Record")</f>
        <v>Catalog Record</v>
      </c>
      <c r="AT65" s="6" t="str">
        <f>HYPERLINK("http://www.worldcat.org/oclc/1601838","WorldCat Record")</f>
        <v>WorldCat Record</v>
      </c>
      <c r="AU65" s="3" t="s">
        <v>949</v>
      </c>
      <c r="AV65" s="3" t="s">
        <v>950</v>
      </c>
      <c r="AW65" s="3" t="s">
        <v>951</v>
      </c>
      <c r="AX65" s="3" t="s">
        <v>951</v>
      </c>
      <c r="AY65" s="3" t="s">
        <v>952</v>
      </c>
      <c r="AZ65" s="3" t="s">
        <v>73</v>
      </c>
      <c r="BB65" s="3" t="s">
        <v>953</v>
      </c>
      <c r="BC65" s="3" t="s">
        <v>954</v>
      </c>
      <c r="BD65" s="3" t="s">
        <v>955</v>
      </c>
    </row>
    <row r="66" spans="1:56" ht="38.25" customHeight="1" x14ac:dyDescent="0.25">
      <c r="A66" s="7" t="s">
        <v>58</v>
      </c>
      <c r="B66" s="2" t="s">
        <v>956</v>
      </c>
      <c r="C66" s="2" t="s">
        <v>957</v>
      </c>
      <c r="D66" s="2" t="s">
        <v>958</v>
      </c>
      <c r="F66" s="3" t="s">
        <v>58</v>
      </c>
      <c r="G66" s="3" t="s">
        <v>59</v>
      </c>
      <c r="H66" s="3" t="s">
        <v>58</v>
      </c>
      <c r="I66" s="3" t="s">
        <v>58</v>
      </c>
      <c r="J66" s="3" t="s">
        <v>60</v>
      </c>
      <c r="K66" s="2" t="s">
        <v>959</v>
      </c>
      <c r="L66" s="2" t="s">
        <v>960</v>
      </c>
      <c r="M66" s="3" t="s">
        <v>961</v>
      </c>
      <c r="N66" s="2" t="s">
        <v>325</v>
      </c>
      <c r="O66" s="3" t="s">
        <v>64</v>
      </c>
      <c r="P66" s="3" t="s">
        <v>65</v>
      </c>
      <c r="Q66" s="2" t="s">
        <v>748</v>
      </c>
      <c r="R66" s="3" t="s">
        <v>962</v>
      </c>
      <c r="S66" s="4">
        <v>2</v>
      </c>
      <c r="T66" s="4">
        <v>2</v>
      </c>
      <c r="U66" s="5" t="s">
        <v>963</v>
      </c>
      <c r="V66" s="5" t="s">
        <v>963</v>
      </c>
      <c r="W66" s="5" t="s">
        <v>667</v>
      </c>
      <c r="X66" s="5" t="s">
        <v>667</v>
      </c>
      <c r="Y66" s="4">
        <v>701</v>
      </c>
      <c r="Z66" s="4">
        <v>624</v>
      </c>
      <c r="AA66" s="4">
        <v>634</v>
      </c>
      <c r="AB66" s="4">
        <v>6</v>
      </c>
      <c r="AC66" s="4">
        <v>6</v>
      </c>
      <c r="AD66" s="4">
        <v>44</v>
      </c>
      <c r="AE66" s="4">
        <v>44</v>
      </c>
      <c r="AF66" s="4">
        <v>10</v>
      </c>
      <c r="AG66" s="4">
        <v>10</v>
      </c>
      <c r="AH66" s="4">
        <v>6</v>
      </c>
      <c r="AI66" s="4">
        <v>6</v>
      </c>
      <c r="AJ66" s="4">
        <v>16</v>
      </c>
      <c r="AK66" s="4">
        <v>16</v>
      </c>
      <c r="AL66" s="4">
        <v>4</v>
      </c>
      <c r="AM66" s="4">
        <v>4</v>
      </c>
      <c r="AN66" s="4">
        <v>15</v>
      </c>
      <c r="AO66" s="4">
        <v>15</v>
      </c>
      <c r="AP66" s="3" t="s">
        <v>58</v>
      </c>
      <c r="AQ66" s="3" t="s">
        <v>68</v>
      </c>
      <c r="AR66" s="6" t="str">
        <f>HYPERLINK("http://catalog.hathitrust.org/Record/001140903","HathiTrust Record")</f>
        <v>HathiTrust Record</v>
      </c>
      <c r="AS66" s="6" t="str">
        <f>HYPERLINK("https://creighton-primo.hosted.exlibrisgroup.com/primo-explore/search?tab=default_tab&amp;search_scope=EVERYTHING&amp;vid=01CRU&amp;lang=en_US&amp;offset=0&amp;query=any,contains,991002870749702656","Catalog Record")</f>
        <v>Catalog Record</v>
      </c>
      <c r="AT66" s="6" t="str">
        <f>HYPERLINK("http://www.worldcat.org/oclc/498988","WorldCat Record")</f>
        <v>WorldCat Record</v>
      </c>
      <c r="AU66" s="3" t="s">
        <v>964</v>
      </c>
      <c r="AV66" s="3" t="s">
        <v>965</v>
      </c>
      <c r="AW66" s="3" t="s">
        <v>966</v>
      </c>
      <c r="AX66" s="3" t="s">
        <v>966</v>
      </c>
      <c r="AY66" s="3" t="s">
        <v>967</v>
      </c>
      <c r="AZ66" s="3" t="s">
        <v>73</v>
      </c>
      <c r="BC66" s="3" t="s">
        <v>968</v>
      </c>
      <c r="BD66" s="3" t="s">
        <v>969</v>
      </c>
    </row>
    <row r="67" spans="1:56" ht="38.25" customHeight="1" x14ac:dyDescent="0.25">
      <c r="A67" s="7" t="s">
        <v>58</v>
      </c>
      <c r="B67" s="2" t="s">
        <v>970</v>
      </c>
      <c r="C67" s="2" t="s">
        <v>971</v>
      </c>
      <c r="D67" s="2" t="s">
        <v>972</v>
      </c>
      <c r="F67" s="3" t="s">
        <v>58</v>
      </c>
      <c r="G67" s="3" t="s">
        <v>59</v>
      </c>
      <c r="H67" s="3" t="s">
        <v>58</v>
      </c>
      <c r="I67" s="3" t="s">
        <v>58</v>
      </c>
      <c r="J67" s="3" t="s">
        <v>60</v>
      </c>
      <c r="K67" s="2" t="s">
        <v>973</v>
      </c>
      <c r="L67" s="2" t="s">
        <v>974</v>
      </c>
      <c r="M67" s="3" t="s">
        <v>975</v>
      </c>
      <c r="O67" s="3" t="s">
        <v>64</v>
      </c>
      <c r="P67" s="3" t="s">
        <v>147</v>
      </c>
      <c r="R67" s="3" t="s">
        <v>976</v>
      </c>
      <c r="S67" s="4">
        <v>4</v>
      </c>
      <c r="T67" s="4">
        <v>4</v>
      </c>
      <c r="U67" s="5" t="s">
        <v>977</v>
      </c>
      <c r="V67" s="5" t="s">
        <v>977</v>
      </c>
      <c r="W67" s="5" t="s">
        <v>978</v>
      </c>
      <c r="X67" s="5" t="s">
        <v>978</v>
      </c>
      <c r="Y67" s="4">
        <v>501</v>
      </c>
      <c r="Z67" s="4">
        <v>406</v>
      </c>
      <c r="AA67" s="4">
        <v>419</v>
      </c>
      <c r="AB67" s="4">
        <v>4</v>
      </c>
      <c r="AC67" s="4">
        <v>4</v>
      </c>
      <c r="AD67" s="4">
        <v>22</v>
      </c>
      <c r="AE67" s="4">
        <v>22</v>
      </c>
      <c r="AF67" s="4">
        <v>7</v>
      </c>
      <c r="AG67" s="4">
        <v>7</v>
      </c>
      <c r="AH67" s="4">
        <v>5</v>
      </c>
      <c r="AI67" s="4">
        <v>5</v>
      </c>
      <c r="AJ67" s="4">
        <v>13</v>
      </c>
      <c r="AK67" s="4">
        <v>13</v>
      </c>
      <c r="AL67" s="4">
        <v>3</v>
      </c>
      <c r="AM67" s="4">
        <v>3</v>
      </c>
      <c r="AN67" s="4">
        <v>0</v>
      </c>
      <c r="AO67" s="4">
        <v>0</v>
      </c>
      <c r="AP67" s="3" t="s">
        <v>58</v>
      </c>
      <c r="AQ67" s="3" t="s">
        <v>68</v>
      </c>
      <c r="AR67" s="6" t="str">
        <f>HYPERLINK("http://catalog.hathitrust.org/Record/000252114","HathiTrust Record")</f>
        <v>HathiTrust Record</v>
      </c>
      <c r="AS67" s="6" t="str">
        <f>HYPERLINK("https://creighton-primo.hosted.exlibrisgroup.com/primo-explore/search?tab=default_tab&amp;search_scope=EVERYTHING&amp;vid=01CRU&amp;lang=en_US&amp;offset=0&amp;query=any,contains,991004322749702656","Catalog Record")</f>
        <v>Catalog Record</v>
      </c>
      <c r="AT67" s="6" t="str">
        <f>HYPERLINK("http://www.worldcat.org/oclc/3022920","WorldCat Record")</f>
        <v>WorldCat Record</v>
      </c>
      <c r="AU67" s="3" t="s">
        <v>979</v>
      </c>
      <c r="AV67" s="3" t="s">
        <v>980</v>
      </c>
      <c r="AW67" s="3" t="s">
        <v>981</v>
      </c>
      <c r="AX67" s="3" t="s">
        <v>981</v>
      </c>
      <c r="AY67" s="3" t="s">
        <v>982</v>
      </c>
      <c r="AZ67" s="3" t="s">
        <v>73</v>
      </c>
      <c r="BB67" s="3" t="s">
        <v>983</v>
      </c>
      <c r="BC67" s="3" t="s">
        <v>984</v>
      </c>
      <c r="BD67" s="3" t="s">
        <v>985</v>
      </c>
    </row>
    <row r="68" spans="1:56" ht="38.25" customHeight="1" x14ac:dyDescent="0.25">
      <c r="A68" s="7" t="s">
        <v>58</v>
      </c>
      <c r="B68" s="2" t="s">
        <v>986</v>
      </c>
      <c r="C68" s="2" t="s">
        <v>987</v>
      </c>
      <c r="D68" s="2" t="s">
        <v>988</v>
      </c>
      <c r="F68" s="3" t="s">
        <v>58</v>
      </c>
      <c r="G68" s="3" t="s">
        <v>59</v>
      </c>
      <c r="H68" s="3" t="s">
        <v>58</v>
      </c>
      <c r="I68" s="3" t="s">
        <v>58</v>
      </c>
      <c r="J68" s="3" t="s">
        <v>60</v>
      </c>
      <c r="K68" s="2" t="s">
        <v>989</v>
      </c>
      <c r="L68" s="2" t="s">
        <v>990</v>
      </c>
      <c r="M68" s="3" t="s">
        <v>991</v>
      </c>
      <c r="N68" s="2" t="s">
        <v>992</v>
      </c>
      <c r="O68" s="3" t="s">
        <v>64</v>
      </c>
      <c r="P68" s="3" t="s">
        <v>162</v>
      </c>
      <c r="Q68" s="2" t="s">
        <v>993</v>
      </c>
      <c r="R68" s="3" t="s">
        <v>976</v>
      </c>
      <c r="S68" s="4">
        <v>6</v>
      </c>
      <c r="T68" s="4">
        <v>6</v>
      </c>
      <c r="U68" s="5" t="s">
        <v>994</v>
      </c>
      <c r="V68" s="5" t="s">
        <v>994</v>
      </c>
      <c r="W68" s="5" t="s">
        <v>995</v>
      </c>
      <c r="X68" s="5" t="s">
        <v>995</v>
      </c>
      <c r="Y68" s="4">
        <v>550</v>
      </c>
      <c r="Z68" s="4">
        <v>463</v>
      </c>
      <c r="AA68" s="4">
        <v>734</v>
      </c>
      <c r="AB68" s="4">
        <v>6</v>
      </c>
      <c r="AC68" s="4">
        <v>7</v>
      </c>
      <c r="AD68" s="4">
        <v>27</v>
      </c>
      <c r="AE68" s="4">
        <v>39</v>
      </c>
      <c r="AF68" s="4">
        <v>10</v>
      </c>
      <c r="AG68" s="4">
        <v>14</v>
      </c>
      <c r="AH68" s="4">
        <v>3</v>
      </c>
      <c r="AI68" s="4">
        <v>7</v>
      </c>
      <c r="AJ68" s="4">
        <v>14</v>
      </c>
      <c r="AK68" s="4">
        <v>22</v>
      </c>
      <c r="AL68" s="4">
        <v>5</v>
      </c>
      <c r="AM68" s="4">
        <v>6</v>
      </c>
      <c r="AN68" s="4">
        <v>1</v>
      </c>
      <c r="AO68" s="4">
        <v>1</v>
      </c>
      <c r="AP68" s="3" t="s">
        <v>58</v>
      </c>
      <c r="AQ68" s="3" t="s">
        <v>68</v>
      </c>
      <c r="AR68" s="6" t="str">
        <f>HYPERLINK("http://catalog.hathitrust.org/Record/001144546","HathiTrust Record")</f>
        <v>HathiTrust Record</v>
      </c>
      <c r="AS68" s="6" t="str">
        <f>HYPERLINK("https://creighton-primo.hosted.exlibrisgroup.com/primo-explore/search?tab=default_tab&amp;search_scope=EVERYTHING&amp;vid=01CRU&amp;lang=en_US&amp;offset=0&amp;query=any,contains,991002872579702656","Catalog Record")</f>
        <v>Catalog Record</v>
      </c>
      <c r="AT68" s="6" t="str">
        <f>HYPERLINK("http://www.worldcat.org/oclc/500573","WorldCat Record")</f>
        <v>WorldCat Record</v>
      </c>
      <c r="AU68" s="3" t="s">
        <v>996</v>
      </c>
      <c r="AV68" s="3" t="s">
        <v>997</v>
      </c>
      <c r="AW68" s="3" t="s">
        <v>998</v>
      </c>
      <c r="AX68" s="3" t="s">
        <v>998</v>
      </c>
      <c r="AY68" s="3" t="s">
        <v>999</v>
      </c>
      <c r="AZ68" s="3" t="s">
        <v>73</v>
      </c>
      <c r="BC68" s="3" t="s">
        <v>1000</v>
      </c>
      <c r="BD68" s="3" t="s">
        <v>1001</v>
      </c>
    </row>
    <row r="69" spans="1:56" ht="38.25" customHeight="1" x14ac:dyDescent="0.25">
      <c r="A69" s="7" t="s">
        <v>58</v>
      </c>
      <c r="B69" s="2" t="s">
        <v>1002</v>
      </c>
      <c r="C69" s="2" t="s">
        <v>1003</v>
      </c>
      <c r="D69" s="2" t="s">
        <v>1004</v>
      </c>
      <c r="F69" s="3" t="s">
        <v>58</v>
      </c>
      <c r="G69" s="3" t="s">
        <v>59</v>
      </c>
      <c r="H69" s="3" t="s">
        <v>68</v>
      </c>
      <c r="I69" s="3" t="s">
        <v>58</v>
      </c>
      <c r="J69" s="3" t="s">
        <v>60</v>
      </c>
      <c r="K69" s="2" t="s">
        <v>1005</v>
      </c>
      <c r="L69" s="2" t="s">
        <v>1006</v>
      </c>
      <c r="M69" s="3" t="s">
        <v>324</v>
      </c>
      <c r="N69" s="2" t="s">
        <v>1007</v>
      </c>
      <c r="O69" s="3" t="s">
        <v>64</v>
      </c>
      <c r="P69" s="3" t="s">
        <v>1008</v>
      </c>
      <c r="Q69" s="2" t="s">
        <v>1009</v>
      </c>
      <c r="R69" s="3" t="s">
        <v>976</v>
      </c>
      <c r="S69" s="4">
        <v>0</v>
      </c>
      <c r="T69" s="4">
        <v>2</v>
      </c>
      <c r="V69" s="5" t="s">
        <v>1010</v>
      </c>
      <c r="W69" s="5" t="s">
        <v>1011</v>
      </c>
      <c r="X69" s="5" t="s">
        <v>1011</v>
      </c>
      <c r="Y69" s="4">
        <v>499</v>
      </c>
      <c r="Z69" s="4">
        <v>397</v>
      </c>
      <c r="AA69" s="4">
        <v>812</v>
      </c>
      <c r="AB69" s="4">
        <v>7</v>
      </c>
      <c r="AC69" s="4">
        <v>8</v>
      </c>
      <c r="AD69" s="4">
        <v>16</v>
      </c>
      <c r="AE69" s="4">
        <v>43</v>
      </c>
      <c r="AF69" s="4">
        <v>4</v>
      </c>
      <c r="AG69" s="4">
        <v>17</v>
      </c>
      <c r="AH69" s="4">
        <v>1</v>
      </c>
      <c r="AI69" s="4">
        <v>4</v>
      </c>
      <c r="AJ69" s="4">
        <v>7</v>
      </c>
      <c r="AK69" s="4">
        <v>15</v>
      </c>
      <c r="AL69" s="4">
        <v>5</v>
      </c>
      <c r="AM69" s="4">
        <v>5</v>
      </c>
      <c r="AN69" s="4">
        <v>0</v>
      </c>
      <c r="AO69" s="4">
        <v>9</v>
      </c>
      <c r="AP69" s="3" t="s">
        <v>58</v>
      </c>
      <c r="AQ69" s="3" t="s">
        <v>68</v>
      </c>
      <c r="AR69" s="6" t="str">
        <f>HYPERLINK("http://catalog.hathitrust.org/Record/001144354","HathiTrust Record")</f>
        <v>HathiTrust Record</v>
      </c>
      <c r="AS69" s="6" t="str">
        <f>HYPERLINK("https://creighton-primo.hosted.exlibrisgroup.com/primo-explore/search?tab=default_tab&amp;search_scope=EVERYTHING&amp;vid=01CRU&amp;lang=en_US&amp;offset=0&amp;query=any,contains,991001703379702656","Catalog Record")</f>
        <v>Catalog Record</v>
      </c>
      <c r="AT69" s="6" t="str">
        <f>HYPERLINK("http://www.worldcat.org/oclc/99606","WorldCat Record")</f>
        <v>WorldCat Record</v>
      </c>
      <c r="AU69" s="3" t="s">
        <v>1012</v>
      </c>
      <c r="AV69" s="3" t="s">
        <v>1013</v>
      </c>
      <c r="AW69" s="3" t="s">
        <v>1014</v>
      </c>
      <c r="AX69" s="3" t="s">
        <v>1014</v>
      </c>
      <c r="AY69" s="3" t="s">
        <v>1015</v>
      </c>
      <c r="AZ69" s="3" t="s">
        <v>73</v>
      </c>
      <c r="BC69" s="3" t="s">
        <v>1016</v>
      </c>
      <c r="BD69" s="3" t="s">
        <v>1017</v>
      </c>
    </row>
    <row r="70" spans="1:56" ht="38.25" customHeight="1" x14ac:dyDescent="0.25">
      <c r="A70" s="7" t="s">
        <v>58</v>
      </c>
      <c r="B70" s="2" t="s">
        <v>1018</v>
      </c>
      <c r="C70" s="2" t="s">
        <v>1019</v>
      </c>
      <c r="D70" s="2" t="s">
        <v>1020</v>
      </c>
      <c r="F70" s="3" t="s">
        <v>58</v>
      </c>
      <c r="G70" s="3" t="s">
        <v>59</v>
      </c>
      <c r="H70" s="3" t="s">
        <v>58</v>
      </c>
      <c r="I70" s="3" t="s">
        <v>58</v>
      </c>
      <c r="J70" s="3" t="s">
        <v>60</v>
      </c>
      <c r="K70" s="2" t="s">
        <v>1021</v>
      </c>
      <c r="L70" s="2" t="s">
        <v>1022</v>
      </c>
      <c r="M70" s="3" t="s">
        <v>1023</v>
      </c>
      <c r="O70" s="3" t="s">
        <v>64</v>
      </c>
      <c r="P70" s="3" t="s">
        <v>277</v>
      </c>
      <c r="R70" s="3" t="s">
        <v>976</v>
      </c>
      <c r="S70" s="4">
        <v>3</v>
      </c>
      <c r="T70" s="4">
        <v>3</v>
      </c>
      <c r="U70" s="5" t="s">
        <v>693</v>
      </c>
      <c r="V70" s="5" t="s">
        <v>693</v>
      </c>
      <c r="W70" s="5" t="s">
        <v>1011</v>
      </c>
      <c r="X70" s="5" t="s">
        <v>1011</v>
      </c>
      <c r="Y70" s="4">
        <v>290</v>
      </c>
      <c r="Z70" s="4">
        <v>251</v>
      </c>
      <c r="AA70" s="4">
        <v>282</v>
      </c>
      <c r="AB70" s="4">
        <v>5</v>
      </c>
      <c r="AC70" s="4">
        <v>5</v>
      </c>
      <c r="AD70" s="4">
        <v>11</v>
      </c>
      <c r="AE70" s="4">
        <v>13</v>
      </c>
      <c r="AF70" s="4">
        <v>3</v>
      </c>
      <c r="AG70" s="4">
        <v>3</v>
      </c>
      <c r="AH70" s="4">
        <v>2</v>
      </c>
      <c r="AI70" s="4">
        <v>3</v>
      </c>
      <c r="AJ70" s="4">
        <v>3</v>
      </c>
      <c r="AK70" s="4">
        <v>4</v>
      </c>
      <c r="AL70" s="4">
        <v>4</v>
      </c>
      <c r="AM70" s="4">
        <v>4</v>
      </c>
      <c r="AN70" s="4">
        <v>0</v>
      </c>
      <c r="AO70" s="4">
        <v>1</v>
      </c>
      <c r="AP70" s="3" t="s">
        <v>58</v>
      </c>
      <c r="AQ70" s="3" t="s">
        <v>68</v>
      </c>
      <c r="AR70" s="6" t="str">
        <f>HYPERLINK("http://catalog.hathitrust.org/Record/001144412","HathiTrust Record")</f>
        <v>HathiTrust Record</v>
      </c>
      <c r="AS70" s="6" t="str">
        <f>HYPERLINK("https://creighton-primo.hosted.exlibrisgroup.com/primo-explore/search?tab=default_tab&amp;search_scope=EVERYTHING&amp;vid=01CRU&amp;lang=en_US&amp;offset=0&amp;query=any,contains,991003060509702656","Catalog Record")</f>
        <v>Catalog Record</v>
      </c>
      <c r="AT70" s="6" t="str">
        <f>HYPERLINK("http://www.worldcat.org/oclc/617924","WorldCat Record")</f>
        <v>WorldCat Record</v>
      </c>
      <c r="AU70" s="3" t="s">
        <v>1024</v>
      </c>
      <c r="AV70" s="3" t="s">
        <v>1025</v>
      </c>
      <c r="AW70" s="3" t="s">
        <v>1026</v>
      </c>
      <c r="AX70" s="3" t="s">
        <v>1026</v>
      </c>
      <c r="AY70" s="3" t="s">
        <v>1027</v>
      </c>
      <c r="AZ70" s="3" t="s">
        <v>73</v>
      </c>
      <c r="BB70" s="3" t="s">
        <v>1028</v>
      </c>
      <c r="BC70" s="3" t="s">
        <v>1029</v>
      </c>
      <c r="BD70" s="3" t="s">
        <v>1030</v>
      </c>
    </row>
    <row r="71" spans="1:56" ht="38.25" customHeight="1" x14ac:dyDescent="0.25">
      <c r="A71" s="7" t="s">
        <v>58</v>
      </c>
      <c r="B71" s="2" t="s">
        <v>1031</v>
      </c>
      <c r="C71" s="2" t="s">
        <v>1032</v>
      </c>
      <c r="D71" s="2" t="s">
        <v>1033</v>
      </c>
      <c r="F71" s="3" t="s">
        <v>58</v>
      </c>
      <c r="G71" s="3" t="s">
        <v>59</v>
      </c>
      <c r="H71" s="3" t="s">
        <v>58</v>
      </c>
      <c r="I71" s="3" t="s">
        <v>58</v>
      </c>
      <c r="J71" s="3" t="s">
        <v>60</v>
      </c>
      <c r="K71" s="2" t="s">
        <v>1034</v>
      </c>
      <c r="L71" s="2" t="s">
        <v>1035</v>
      </c>
      <c r="M71" s="3" t="s">
        <v>1036</v>
      </c>
      <c r="O71" s="3" t="s">
        <v>64</v>
      </c>
      <c r="P71" s="3" t="s">
        <v>1008</v>
      </c>
      <c r="R71" s="3" t="s">
        <v>976</v>
      </c>
      <c r="S71" s="4">
        <v>1</v>
      </c>
      <c r="T71" s="4">
        <v>1</v>
      </c>
      <c r="U71" s="5" t="s">
        <v>1037</v>
      </c>
      <c r="V71" s="5" t="s">
        <v>1037</v>
      </c>
      <c r="W71" s="5" t="s">
        <v>1011</v>
      </c>
      <c r="X71" s="5" t="s">
        <v>1011</v>
      </c>
      <c r="Y71" s="4">
        <v>316</v>
      </c>
      <c r="Z71" s="4">
        <v>210</v>
      </c>
      <c r="AA71" s="4">
        <v>268</v>
      </c>
      <c r="AB71" s="4">
        <v>3</v>
      </c>
      <c r="AC71" s="4">
        <v>3</v>
      </c>
      <c r="AD71" s="4">
        <v>8</v>
      </c>
      <c r="AE71" s="4">
        <v>13</v>
      </c>
      <c r="AF71" s="4">
        <v>3</v>
      </c>
      <c r="AG71" s="4">
        <v>7</v>
      </c>
      <c r="AH71" s="4">
        <v>2</v>
      </c>
      <c r="AI71" s="4">
        <v>3</v>
      </c>
      <c r="AJ71" s="4">
        <v>3</v>
      </c>
      <c r="AK71" s="4">
        <v>4</v>
      </c>
      <c r="AL71" s="4">
        <v>2</v>
      </c>
      <c r="AM71" s="4">
        <v>2</v>
      </c>
      <c r="AN71" s="4">
        <v>0</v>
      </c>
      <c r="AO71" s="4">
        <v>0</v>
      </c>
      <c r="AP71" s="3" t="s">
        <v>58</v>
      </c>
      <c r="AQ71" s="3" t="s">
        <v>68</v>
      </c>
      <c r="AR71" s="6" t="str">
        <f>HYPERLINK("http://catalog.hathitrust.org/Record/001144424","HathiTrust Record")</f>
        <v>HathiTrust Record</v>
      </c>
      <c r="AS71" s="6" t="str">
        <f>HYPERLINK("https://creighton-primo.hosted.exlibrisgroup.com/primo-explore/search?tab=default_tab&amp;search_scope=EVERYTHING&amp;vid=01CRU&amp;lang=en_US&amp;offset=0&amp;query=any,contains,991000905359702656","Catalog Record")</f>
        <v>Catalog Record</v>
      </c>
      <c r="AT71" s="6" t="str">
        <f>HYPERLINK("http://www.worldcat.org/oclc/156799","WorldCat Record")</f>
        <v>WorldCat Record</v>
      </c>
      <c r="AU71" s="3" t="s">
        <v>1038</v>
      </c>
      <c r="AV71" s="3" t="s">
        <v>1039</v>
      </c>
      <c r="AW71" s="3" t="s">
        <v>1040</v>
      </c>
      <c r="AX71" s="3" t="s">
        <v>1040</v>
      </c>
      <c r="AY71" s="3" t="s">
        <v>1041</v>
      </c>
      <c r="AZ71" s="3" t="s">
        <v>73</v>
      </c>
      <c r="BB71" s="3" t="s">
        <v>1042</v>
      </c>
      <c r="BC71" s="3" t="s">
        <v>1043</v>
      </c>
      <c r="BD71" s="3" t="s">
        <v>1044</v>
      </c>
    </row>
    <row r="72" spans="1:56" ht="38.25" customHeight="1" x14ac:dyDescent="0.25">
      <c r="A72" s="7" t="s">
        <v>58</v>
      </c>
      <c r="B72" s="2" t="s">
        <v>1045</v>
      </c>
      <c r="C72" s="2" t="s">
        <v>1046</v>
      </c>
      <c r="D72" s="2" t="s">
        <v>1047</v>
      </c>
      <c r="F72" s="3" t="s">
        <v>58</v>
      </c>
      <c r="G72" s="3" t="s">
        <v>59</v>
      </c>
      <c r="H72" s="3" t="s">
        <v>58</v>
      </c>
      <c r="I72" s="3" t="s">
        <v>58</v>
      </c>
      <c r="J72" s="3" t="s">
        <v>60</v>
      </c>
      <c r="L72" s="2" t="s">
        <v>1048</v>
      </c>
      <c r="M72" s="3" t="s">
        <v>523</v>
      </c>
      <c r="O72" s="3" t="s">
        <v>64</v>
      </c>
      <c r="P72" s="3" t="s">
        <v>802</v>
      </c>
      <c r="R72" s="3" t="s">
        <v>976</v>
      </c>
      <c r="S72" s="4">
        <v>2</v>
      </c>
      <c r="T72" s="4">
        <v>2</v>
      </c>
      <c r="U72" s="5" t="s">
        <v>1049</v>
      </c>
      <c r="V72" s="5" t="s">
        <v>1049</v>
      </c>
      <c r="W72" s="5" t="s">
        <v>1050</v>
      </c>
      <c r="X72" s="5" t="s">
        <v>1050</v>
      </c>
      <c r="Y72" s="4">
        <v>737</v>
      </c>
      <c r="Z72" s="4">
        <v>600</v>
      </c>
      <c r="AA72" s="4">
        <v>606</v>
      </c>
      <c r="AB72" s="4">
        <v>4</v>
      </c>
      <c r="AC72" s="4">
        <v>4</v>
      </c>
      <c r="AD72" s="4">
        <v>28</v>
      </c>
      <c r="AE72" s="4">
        <v>28</v>
      </c>
      <c r="AF72" s="4">
        <v>10</v>
      </c>
      <c r="AG72" s="4">
        <v>10</v>
      </c>
      <c r="AH72" s="4">
        <v>8</v>
      </c>
      <c r="AI72" s="4">
        <v>8</v>
      </c>
      <c r="AJ72" s="4">
        <v>13</v>
      </c>
      <c r="AK72" s="4">
        <v>13</v>
      </c>
      <c r="AL72" s="4">
        <v>3</v>
      </c>
      <c r="AM72" s="4">
        <v>3</v>
      </c>
      <c r="AN72" s="4">
        <v>3</v>
      </c>
      <c r="AO72" s="4">
        <v>3</v>
      </c>
      <c r="AP72" s="3" t="s">
        <v>58</v>
      </c>
      <c r="AQ72" s="3" t="s">
        <v>68</v>
      </c>
      <c r="AR72" s="6" t="str">
        <f>HYPERLINK("http://catalog.hathitrust.org/Record/002525712","HathiTrust Record")</f>
        <v>HathiTrust Record</v>
      </c>
      <c r="AS72" s="6" t="str">
        <f>HYPERLINK("https://creighton-primo.hosted.exlibrisgroup.com/primo-explore/search?tab=default_tab&amp;search_scope=EVERYTHING&amp;vid=01CRU&amp;lang=en_US&amp;offset=0&amp;query=any,contains,991001981729702656","Catalog Record")</f>
        <v>Catalog Record</v>
      </c>
      <c r="AT72" s="6" t="str">
        <f>HYPERLINK("http://www.worldcat.org/oclc/25163570","WorldCat Record")</f>
        <v>WorldCat Record</v>
      </c>
      <c r="AU72" s="3" t="s">
        <v>1051</v>
      </c>
      <c r="AV72" s="3" t="s">
        <v>1052</v>
      </c>
      <c r="AW72" s="3" t="s">
        <v>1053</v>
      </c>
      <c r="AX72" s="3" t="s">
        <v>1053</v>
      </c>
      <c r="AY72" s="3" t="s">
        <v>1054</v>
      </c>
      <c r="AZ72" s="3" t="s">
        <v>73</v>
      </c>
      <c r="BB72" s="3" t="s">
        <v>1055</v>
      </c>
      <c r="BC72" s="3" t="s">
        <v>1056</v>
      </c>
      <c r="BD72" s="3" t="s">
        <v>1057</v>
      </c>
    </row>
    <row r="73" spans="1:56" ht="38.25" customHeight="1" x14ac:dyDescent="0.25">
      <c r="A73" s="7" t="s">
        <v>58</v>
      </c>
      <c r="B73" s="2" t="s">
        <v>1058</v>
      </c>
      <c r="C73" s="2" t="s">
        <v>1059</v>
      </c>
      <c r="D73" s="2" t="s">
        <v>1060</v>
      </c>
      <c r="F73" s="3" t="s">
        <v>58</v>
      </c>
      <c r="G73" s="3" t="s">
        <v>59</v>
      </c>
      <c r="H73" s="3" t="s">
        <v>58</v>
      </c>
      <c r="I73" s="3" t="s">
        <v>58</v>
      </c>
      <c r="J73" s="3" t="s">
        <v>60</v>
      </c>
      <c r="K73" s="2" t="s">
        <v>1061</v>
      </c>
      <c r="L73" s="2" t="s">
        <v>1062</v>
      </c>
      <c r="M73" s="3" t="s">
        <v>508</v>
      </c>
      <c r="O73" s="3" t="s">
        <v>64</v>
      </c>
      <c r="P73" s="3" t="s">
        <v>1063</v>
      </c>
      <c r="R73" s="3" t="s">
        <v>976</v>
      </c>
      <c r="S73" s="4">
        <v>1</v>
      </c>
      <c r="T73" s="4">
        <v>1</v>
      </c>
      <c r="U73" s="5" t="s">
        <v>1064</v>
      </c>
      <c r="V73" s="5" t="s">
        <v>1064</v>
      </c>
      <c r="W73" s="5" t="s">
        <v>1065</v>
      </c>
      <c r="X73" s="5" t="s">
        <v>1065</v>
      </c>
      <c r="Y73" s="4">
        <v>459</v>
      </c>
      <c r="Z73" s="4">
        <v>281</v>
      </c>
      <c r="AA73" s="4">
        <v>677</v>
      </c>
      <c r="AB73" s="4">
        <v>2</v>
      </c>
      <c r="AC73" s="4">
        <v>5</v>
      </c>
      <c r="AD73" s="4">
        <v>15</v>
      </c>
      <c r="AE73" s="4">
        <v>22</v>
      </c>
      <c r="AF73" s="4">
        <v>4</v>
      </c>
      <c r="AG73" s="4">
        <v>6</v>
      </c>
      <c r="AH73" s="4">
        <v>4</v>
      </c>
      <c r="AI73" s="4">
        <v>7</v>
      </c>
      <c r="AJ73" s="4">
        <v>10</v>
      </c>
      <c r="AK73" s="4">
        <v>12</v>
      </c>
      <c r="AL73" s="4">
        <v>1</v>
      </c>
      <c r="AM73" s="4">
        <v>3</v>
      </c>
      <c r="AN73" s="4">
        <v>1</v>
      </c>
      <c r="AO73" s="4">
        <v>1</v>
      </c>
      <c r="AP73" s="3" t="s">
        <v>58</v>
      </c>
      <c r="AQ73" s="3" t="s">
        <v>58</v>
      </c>
      <c r="AS73" s="6" t="str">
        <f>HYPERLINK("https://creighton-primo.hosted.exlibrisgroup.com/primo-explore/search?tab=default_tab&amp;search_scope=EVERYTHING&amp;vid=01CRU&amp;lang=en_US&amp;offset=0&amp;query=any,contains,991002177019702656","Catalog Record")</f>
        <v>Catalog Record</v>
      </c>
      <c r="AT73" s="6" t="str">
        <f>HYPERLINK("http://www.worldcat.org/oclc/30811737","WorldCat Record")</f>
        <v>WorldCat Record</v>
      </c>
      <c r="AU73" s="3" t="s">
        <v>1066</v>
      </c>
      <c r="AV73" s="3" t="s">
        <v>1067</v>
      </c>
      <c r="AW73" s="3" t="s">
        <v>1068</v>
      </c>
      <c r="AX73" s="3" t="s">
        <v>1068</v>
      </c>
      <c r="AY73" s="3" t="s">
        <v>1069</v>
      </c>
      <c r="AZ73" s="3" t="s">
        <v>73</v>
      </c>
      <c r="BB73" s="3" t="s">
        <v>1070</v>
      </c>
      <c r="BC73" s="3" t="s">
        <v>1071</v>
      </c>
      <c r="BD73" s="3" t="s">
        <v>1072</v>
      </c>
    </row>
    <row r="74" spans="1:56" ht="38.25" customHeight="1" x14ac:dyDescent="0.25">
      <c r="A74" s="7" t="s">
        <v>58</v>
      </c>
      <c r="B74" s="2" t="s">
        <v>1073</v>
      </c>
      <c r="C74" s="2" t="s">
        <v>1074</v>
      </c>
      <c r="D74" s="2" t="s">
        <v>1075</v>
      </c>
      <c r="F74" s="3" t="s">
        <v>58</v>
      </c>
      <c r="G74" s="3" t="s">
        <v>59</v>
      </c>
      <c r="H74" s="3" t="s">
        <v>58</v>
      </c>
      <c r="I74" s="3" t="s">
        <v>58</v>
      </c>
      <c r="J74" s="3" t="s">
        <v>60</v>
      </c>
      <c r="L74" s="2" t="s">
        <v>1076</v>
      </c>
      <c r="M74" s="3" t="s">
        <v>365</v>
      </c>
      <c r="O74" s="3" t="s">
        <v>64</v>
      </c>
      <c r="P74" s="3" t="s">
        <v>1077</v>
      </c>
      <c r="R74" s="3" t="s">
        <v>976</v>
      </c>
      <c r="S74" s="4">
        <v>3</v>
      </c>
      <c r="T74" s="4">
        <v>3</v>
      </c>
      <c r="U74" s="5" t="s">
        <v>1078</v>
      </c>
      <c r="V74" s="5" t="s">
        <v>1078</v>
      </c>
      <c r="W74" s="5" t="s">
        <v>1079</v>
      </c>
      <c r="X74" s="5" t="s">
        <v>1079</v>
      </c>
      <c r="Y74" s="4">
        <v>93</v>
      </c>
      <c r="Z74" s="4">
        <v>36</v>
      </c>
      <c r="AA74" s="4">
        <v>42</v>
      </c>
      <c r="AB74" s="4">
        <v>1</v>
      </c>
      <c r="AC74" s="4">
        <v>1</v>
      </c>
      <c r="AD74" s="4">
        <v>2</v>
      </c>
      <c r="AE74" s="4">
        <v>2</v>
      </c>
      <c r="AF74" s="4">
        <v>0</v>
      </c>
      <c r="AG74" s="4">
        <v>0</v>
      </c>
      <c r="AH74" s="4">
        <v>2</v>
      </c>
      <c r="AI74" s="4">
        <v>2</v>
      </c>
      <c r="AJ74" s="4">
        <v>2</v>
      </c>
      <c r="AK74" s="4">
        <v>2</v>
      </c>
      <c r="AL74" s="4">
        <v>0</v>
      </c>
      <c r="AM74" s="4">
        <v>0</v>
      </c>
      <c r="AN74" s="4">
        <v>0</v>
      </c>
      <c r="AO74" s="4">
        <v>0</v>
      </c>
      <c r="AP74" s="3" t="s">
        <v>58</v>
      </c>
      <c r="AQ74" s="3" t="s">
        <v>68</v>
      </c>
      <c r="AR74" s="6" t="str">
        <f>HYPERLINK("http://catalog.hathitrust.org/Record/009922155","HathiTrust Record")</f>
        <v>HathiTrust Record</v>
      </c>
      <c r="AS74" s="6" t="str">
        <f>HYPERLINK("https://creighton-primo.hosted.exlibrisgroup.com/primo-explore/search?tab=default_tab&amp;search_scope=EVERYTHING&amp;vid=01CRU&amp;lang=en_US&amp;offset=0&amp;query=any,contains,991000556359702656","Catalog Record")</f>
        <v>Catalog Record</v>
      </c>
      <c r="AT74" s="6" t="str">
        <f>HYPERLINK("http://www.worldcat.org/oclc/11562000","WorldCat Record")</f>
        <v>WorldCat Record</v>
      </c>
      <c r="AU74" s="3" t="s">
        <v>1080</v>
      </c>
      <c r="AV74" s="3" t="s">
        <v>1081</v>
      </c>
      <c r="AW74" s="3" t="s">
        <v>1082</v>
      </c>
      <c r="AX74" s="3" t="s">
        <v>1082</v>
      </c>
      <c r="AY74" s="3" t="s">
        <v>1083</v>
      </c>
      <c r="AZ74" s="3" t="s">
        <v>73</v>
      </c>
      <c r="BB74" s="3" t="s">
        <v>1084</v>
      </c>
      <c r="BC74" s="3" t="s">
        <v>1085</v>
      </c>
      <c r="BD74" s="3" t="s">
        <v>1086</v>
      </c>
    </row>
    <row r="75" spans="1:56" ht="38.25" customHeight="1" x14ac:dyDescent="0.25">
      <c r="A75" s="7" t="s">
        <v>58</v>
      </c>
      <c r="B75" s="2" t="s">
        <v>1087</v>
      </c>
      <c r="C75" s="2" t="s">
        <v>1088</v>
      </c>
      <c r="D75" s="2" t="s">
        <v>1089</v>
      </c>
      <c r="E75" s="3" t="s">
        <v>1090</v>
      </c>
      <c r="F75" s="3" t="s">
        <v>68</v>
      </c>
      <c r="G75" s="3" t="s">
        <v>59</v>
      </c>
      <c r="H75" s="3" t="s">
        <v>58</v>
      </c>
      <c r="I75" s="3" t="s">
        <v>58</v>
      </c>
      <c r="J75" s="3" t="s">
        <v>60</v>
      </c>
      <c r="K75" s="2" t="s">
        <v>1091</v>
      </c>
      <c r="L75" s="2" t="s">
        <v>1092</v>
      </c>
      <c r="M75" s="3" t="s">
        <v>436</v>
      </c>
      <c r="O75" s="3" t="s">
        <v>64</v>
      </c>
      <c r="P75" s="3" t="s">
        <v>114</v>
      </c>
      <c r="R75" s="3" t="s">
        <v>1093</v>
      </c>
      <c r="S75" s="4">
        <v>0</v>
      </c>
      <c r="T75" s="4">
        <v>1</v>
      </c>
      <c r="V75" s="5" t="s">
        <v>1094</v>
      </c>
      <c r="W75" s="5" t="s">
        <v>995</v>
      </c>
      <c r="X75" s="5" t="s">
        <v>995</v>
      </c>
      <c r="Y75" s="4">
        <v>774</v>
      </c>
      <c r="Z75" s="4">
        <v>634</v>
      </c>
      <c r="AA75" s="4">
        <v>635</v>
      </c>
      <c r="AB75" s="4">
        <v>3</v>
      </c>
      <c r="AC75" s="4">
        <v>3</v>
      </c>
      <c r="AD75" s="4">
        <v>33</v>
      </c>
      <c r="AE75" s="4">
        <v>33</v>
      </c>
      <c r="AF75" s="4">
        <v>12</v>
      </c>
      <c r="AG75" s="4">
        <v>12</v>
      </c>
      <c r="AH75" s="4">
        <v>9</v>
      </c>
      <c r="AI75" s="4">
        <v>9</v>
      </c>
      <c r="AJ75" s="4">
        <v>18</v>
      </c>
      <c r="AK75" s="4">
        <v>18</v>
      </c>
      <c r="AL75" s="4">
        <v>2</v>
      </c>
      <c r="AM75" s="4">
        <v>2</v>
      </c>
      <c r="AN75" s="4">
        <v>1</v>
      </c>
      <c r="AO75" s="4">
        <v>1</v>
      </c>
      <c r="AP75" s="3" t="s">
        <v>58</v>
      </c>
      <c r="AQ75" s="3" t="s">
        <v>68</v>
      </c>
      <c r="AR75" s="6" t="str">
        <f>HYPERLINK("http://catalog.hathitrust.org/Record/000117100","HathiTrust Record")</f>
        <v>HathiTrust Record</v>
      </c>
      <c r="AS75" s="6" t="str">
        <f>HYPERLINK("https://creighton-primo.hosted.exlibrisgroup.com/primo-explore/search?tab=default_tab&amp;search_scope=EVERYTHING&amp;vid=01CRU&amp;lang=en_US&amp;offset=0&amp;query=any,contains,991003336869702656","Catalog Record")</f>
        <v>Catalog Record</v>
      </c>
      <c r="AT75" s="6" t="str">
        <f>HYPERLINK("http://www.worldcat.org/oclc/867523","WorldCat Record")</f>
        <v>WorldCat Record</v>
      </c>
      <c r="AU75" s="3" t="s">
        <v>1095</v>
      </c>
      <c r="AV75" s="3" t="s">
        <v>1096</v>
      </c>
      <c r="AW75" s="3" t="s">
        <v>1097</v>
      </c>
      <c r="AX75" s="3" t="s">
        <v>1097</v>
      </c>
      <c r="AY75" s="3" t="s">
        <v>1098</v>
      </c>
      <c r="AZ75" s="3" t="s">
        <v>73</v>
      </c>
      <c r="BB75" s="3" t="s">
        <v>1099</v>
      </c>
      <c r="BC75" s="3" t="s">
        <v>1100</v>
      </c>
      <c r="BD75" s="3" t="s">
        <v>1101</v>
      </c>
    </row>
    <row r="76" spans="1:56" ht="38.25" customHeight="1" x14ac:dyDescent="0.25">
      <c r="A76" s="7" t="s">
        <v>58</v>
      </c>
      <c r="B76" s="2" t="s">
        <v>1102</v>
      </c>
      <c r="C76" s="2" t="s">
        <v>1103</v>
      </c>
      <c r="D76" s="2" t="s">
        <v>1104</v>
      </c>
      <c r="E76" s="3" t="s">
        <v>1105</v>
      </c>
      <c r="F76" s="3" t="s">
        <v>68</v>
      </c>
      <c r="G76" s="3" t="s">
        <v>59</v>
      </c>
      <c r="H76" s="3" t="s">
        <v>58</v>
      </c>
      <c r="I76" s="3" t="s">
        <v>58</v>
      </c>
      <c r="J76" s="3" t="s">
        <v>60</v>
      </c>
      <c r="K76" s="2" t="s">
        <v>1106</v>
      </c>
      <c r="L76" s="2" t="s">
        <v>1107</v>
      </c>
      <c r="M76" s="3" t="s">
        <v>1108</v>
      </c>
      <c r="O76" s="3" t="s">
        <v>64</v>
      </c>
      <c r="P76" s="3" t="s">
        <v>594</v>
      </c>
      <c r="Q76" s="2" t="s">
        <v>1109</v>
      </c>
      <c r="R76" s="3" t="s">
        <v>1093</v>
      </c>
      <c r="S76" s="4">
        <v>0</v>
      </c>
      <c r="T76" s="4">
        <v>0</v>
      </c>
      <c r="U76" s="5" t="s">
        <v>1110</v>
      </c>
      <c r="V76" s="5" t="s">
        <v>1110</v>
      </c>
      <c r="W76" s="5" t="s">
        <v>1111</v>
      </c>
      <c r="X76" s="5" t="s">
        <v>1111</v>
      </c>
      <c r="Y76" s="4">
        <v>175</v>
      </c>
      <c r="Z76" s="4">
        <v>146</v>
      </c>
      <c r="AA76" s="4">
        <v>431</v>
      </c>
      <c r="AB76" s="4">
        <v>3</v>
      </c>
      <c r="AC76" s="4">
        <v>4</v>
      </c>
      <c r="AD76" s="4">
        <v>6</v>
      </c>
      <c r="AE76" s="4">
        <v>24</v>
      </c>
      <c r="AF76" s="4">
        <v>2</v>
      </c>
      <c r="AG76" s="4">
        <v>7</v>
      </c>
      <c r="AH76" s="4">
        <v>1</v>
      </c>
      <c r="AI76" s="4">
        <v>4</v>
      </c>
      <c r="AJ76" s="4">
        <v>2</v>
      </c>
      <c r="AK76" s="4">
        <v>4</v>
      </c>
      <c r="AL76" s="4">
        <v>1</v>
      </c>
      <c r="AM76" s="4">
        <v>2</v>
      </c>
      <c r="AN76" s="4">
        <v>1</v>
      </c>
      <c r="AO76" s="4">
        <v>9</v>
      </c>
      <c r="AP76" s="3" t="s">
        <v>68</v>
      </c>
      <c r="AQ76" s="3" t="s">
        <v>58</v>
      </c>
      <c r="AR76" s="6" t="str">
        <f>HYPERLINK("http://catalog.hathitrust.org/Record/007929402","HathiTrust Record")</f>
        <v>HathiTrust Record</v>
      </c>
      <c r="AS76" s="6" t="str">
        <f>HYPERLINK("https://creighton-primo.hosted.exlibrisgroup.com/primo-explore/search?tab=default_tab&amp;search_scope=EVERYTHING&amp;vid=01CRU&amp;lang=en_US&amp;offset=0&amp;query=any,contains,991004940639702656","Catalog Record")</f>
        <v>Catalog Record</v>
      </c>
      <c r="AT76" s="6" t="str">
        <f>HYPERLINK("http://www.worldcat.org/oclc/6185053","WorldCat Record")</f>
        <v>WorldCat Record</v>
      </c>
      <c r="AU76" s="3" t="s">
        <v>1112</v>
      </c>
      <c r="AV76" s="3" t="s">
        <v>1113</v>
      </c>
      <c r="AW76" s="3" t="s">
        <v>1114</v>
      </c>
      <c r="AX76" s="3" t="s">
        <v>1114</v>
      </c>
      <c r="AY76" s="3" t="s">
        <v>1115</v>
      </c>
      <c r="AZ76" s="3" t="s">
        <v>73</v>
      </c>
      <c r="BC76" s="3" t="s">
        <v>1116</v>
      </c>
      <c r="BD76" s="3" t="s">
        <v>1117</v>
      </c>
    </row>
    <row r="77" spans="1:56" ht="38.25" customHeight="1" x14ac:dyDescent="0.25">
      <c r="A77" s="7" t="s">
        <v>58</v>
      </c>
      <c r="B77" s="2" t="s">
        <v>1118</v>
      </c>
      <c r="C77" s="2" t="s">
        <v>1119</v>
      </c>
      <c r="D77" s="2" t="s">
        <v>1120</v>
      </c>
      <c r="F77" s="3" t="s">
        <v>58</v>
      </c>
      <c r="G77" s="3" t="s">
        <v>59</v>
      </c>
      <c r="H77" s="3" t="s">
        <v>68</v>
      </c>
      <c r="I77" s="3" t="s">
        <v>58</v>
      </c>
      <c r="J77" s="3" t="s">
        <v>60</v>
      </c>
      <c r="K77" s="2" t="s">
        <v>1121</v>
      </c>
      <c r="L77" s="2" t="s">
        <v>1122</v>
      </c>
      <c r="M77" s="3" t="s">
        <v>961</v>
      </c>
      <c r="O77" s="3" t="s">
        <v>64</v>
      </c>
      <c r="P77" s="3" t="s">
        <v>65</v>
      </c>
      <c r="Q77" s="2" t="s">
        <v>1123</v>
      </c>
      <c r="R77" s="3" t="s">
        <v>1093</v>
      </c>
      <c r="S77" s="4">
        <v>0</v>
      </c>
      <c r="T77" s="4">
        <v>1</v>
      </c>
      <c r="V77" s="5" t="s">
        <v>1124</v>
      </c>
      <c r="W77" s="5" t="s">
        <v>1111</v>
      </c>
      <c r="X77" s="5" t="s">
        <v>1111</v>
      </c>
      <c r="Y77" s="4">
        <v>360</v>
      </c>
      <c r="Z77" s="4">
        <v>304</v>
      </c>
      <c r="AA77" s="4">
        <v>555</v>
      </c>
      <c r="AB77" s="4"/>
      <c r="AC77" s="4">
        <v>6</v>
      </c>
      <c r="AD77" s="4">
        <v>33</v>
      </c>
      <c r="AE77" s="4">
        <v>43</v>
      </c>
      <c r="AF77" s="4">
        <v>8</v>
      </c>
      <c r="AG77" s="4">
        <v>12</v>
      </c>
      <c r="AH77" s="4">
        <v>7</v>
      </c>
      <c r="AI77" s="4">
        <v>9</v>
      </c>
      <c r="AJ77" s="4">
        <v>11</v>
      </c>
      <c r="AK77" s="4">
        <v>11</v>
      </c>
      <c r="AL77" s="4">
        <v>2</v>
      </c>
      <c r="AM77" s="4">
        <v>3</v>
      </c>
      <c r="AN77" s="4">
        <v>11</v>
      </c>
      <c r="AO77" s="4">
        <v>16</v>
      </c>
      <c r="AP77" s="3" t="s">
        <v>58</v>
      </c>
      <c r="AQ77" s="3" t="s">
        <v>68</v>
      </c>
      <c r="AR77" s="6" t="str">
        <f>HYPERLINK("http://catalog.hathitrust.org/Record/009510476","HathiTrust Record")</f>
        <v>HathiTrust Record</v>
      </c>
      <c r="AS77" s="6" t="str">
        <f>HYPERLINK("https://creighton-primo.hosted.exlibrisgroup.com/primo-explore/search?tab=default_tab&amp;search_scope=EVERYTHING&amp;vid=01CRU&amp;lang=en_US&amp;offset=0&amp;query=any,contains,991001735529702656","Catalog Record")</f>
        <v>Catalog Record</v>
      </c>
      <c r="AT77" s="6" t="str">
        <f>HYPERLINK("http://www.worldcat.org/oclc/1805257","WorldCat Record")</f>
        <v>WorldCat Record</v>
      </c>
      <c r="AU77" s="3" t="s">
        <v>1125</v>
      </c>
      <c r="AV77" s="3" t="s">
        <v>1126</v>
      </c>
      <c r="AW77" s="3" t="s">
        <v>1127</v>
      </c>
      <c r="AX77" s="3" t="s">
        <v>1127</v>
      </c>
      <c r="AY77" s="3" t="s">
        <v>1128</v>
      </c>
      <c r="AZ77" s="3" t="s">
        <v>73</v>
      </c>
      <c r="BC77" s="3" t="s">
        <v>1129</v>
      </c>
      <c r="BD77" s="3" t="s">
        <v>1130</v>
      </c>
    </row>
    <row r="78" spans="1:56" ht="38.25" customHeight="1" x14ac:dyDescent="0.25">
      <c r="A78" s="7" t="s">
        <v>58</v>
      </c>
      <c r="B78" s="2" t="s">
        <v>1131</v>
      </c>
      <c r="C78" s="2" t="s">
        <v>1132</v>
      </c>
      <c r="D78" s="2" t="s">
        <v>1133</v>
      </c>
      <c r="F78" s="3" t="s">
        <v>58</v>
      </c>
      <c r="G78" s="3" t="s">
        <v>59</v>
      </c>
      <c r="H78" s="3" t="s">
        <v>58</v>
      </c>
      <c r="I78" s="3" t="s">
        <v>58</v>
      </c>
      <c r="J78" s="3" t="s">
        <v>60</v>
      </c>
      <c r="K78" s="2" t="s">
        <v>1134</v>
      </c>
      <c r="L78" s="2" t="s">
        <v>1135</v>
      </c>
      <c r="M78" s="3" t="s">
        <v>206</v>
      </c>
      <c r="O78" s="3" t="s">
        <v>64</v>
      </c>
      <c r="P78" s="3" t="s">
        <v>580</v>
      </c>
      <c r="R78" s="3" t="s">
        <v>1136</v>
      </c>
      <c r="S78" s="4">
        <v>1</v>
      </c>
      <c r="T78" s="4">
        <v>1</v>
      </c>
      <c r="U78" s="5" t="s">
        <v>1137</v>
      </c>
      <c r="V78" s="5" t="s">
        <v>1137</v>
      </c>
      <c r="W78" s="5" t="s">
        <v>1138</v>
      </c>
      <c r="X78" s="5" t="s">
        <v>1138</v>
      </c>
      <c r="Y78" s="4">
        <v>770</v>
      </c>
      <c r="Z78" s="4">
        <v>628</v>
      </c>
      <c r="AA78" s="4">
        <v>635</v>
      </c>
      <c r="AB78" s="4">
        <v>5</v>
      </c>
      <c r="AC78" s="4">
        <v>5</v>
      </c>
      <c r="AD78" s="4">
        <v>34</v>
      </c>
      <c r="AE78" s="4">
        <v>34</v>
      </c>
      <c r="AF78" s="4">
        <v>13</v>
      </c>
      <c r="AG78" s="4">
        <v>13</v>
      </c>
      <c r="AH78" s="4">
        <v>8</v>
      </c>
      <c r="AI78" s="4">
        <v>8</v>
      </c>
      <c r="AJ78" s="4">
        <v>18</v>
      </c>
      <c r="AK78" s="4">
        <v>18</v>
      </c>
      <c r="AL78" s="4">
        <v>4</v>
      </c>
      <c r="AM78" s="4">
        <v>4</v>
      </c>
      <c r="AN78" s="4">
        <v>0</v>
      </c>
      <c r="AO78" s="4">
        <v>0</v>
      </c>
      <c r="AP78" s="3" t="s">
        <v>58</v>
      </c>
      <c r="AQ78" s="3" t="s">
        <v>68</v>
      </c>
      <c r="AR78" s="6" t="str">
        <f>HYPERLINK("http://catalog.hathitrust.org/Record/001149493","HathiTrust Record")</f>
        <v>HathiTrust Record</v>
      </c>
      <c r="AS78" s="6" t="str">
        <f>HYPERLINK("https://creighton-primo.hosted.exlibrisgroup.com/primo-explore/search?tab=default_tab&amp;search_scope=EVERYTHING&amp;vid=01CRU&amp;lang=en_US&amp;offset=0&amp;query=any,contains,991001915229702656","Catalog Record")</f>
        <v>Catalog Record</v>
      </c>
      <c r="AT78" s="6" t="str">
        <f>HYPERLINK("http://www.worldcat.org/oclc/243426","WorldCat Record")</f>
        <v>WorldCat Record</v>
      </c>
      <c r="AU78" s="3" t="s">
        <v>1139</v>
      </c>
      <c r="AV78" s="3" t="s">
        <v>1140</v>
      </c>
      <c r="AW78" s="3" t="s">
        <v>1141</v>
      </c>
      <c r="AX78" s="3" t="s">
        <v>1141</v>
      </c>
      <c r="AY78" s="3" t="s">
        <v>1142</v>
      </c>
      <c r="AZ78" s="3" t="s">
        <v>73</v>
      </c>
      <c r="BC78" s="3" t="s">
        <v>1143</v>
      </c>
      <c r="BD78" s="3" t="s">
        <v>1144</v>
      </c>
    </row>
    <row r="79" spans="1:56" ht="38.25" customHeight="1" x14ac:dyDescent="0.25">
      <c r="A79" s="7" t="s">
        <v>58</v>
      </c>
      <c r="B79" s="2" t="s">
        <v>1145</v>
      </c>
      <c r="C79" s="2" t="s">
        <v>1146</v>
      </c>
      <c r="D79" s="2" t="s">
        <v>1147</v>
      </c>
      <c r="E79" s="3" t="s">
        <v>1105</v>
      </c>
      <c r="F79" s="3" t="s">
        <v>68</v>
      </c>
      <c r="G79" s="3" t="s">
        <v>59</v>
      </c>
      <c r="H79" s="3" t="s">
        <v>58</v>
      </c>
      <c r="I79" s="3" t="s">
        <v>58</v>
      </c>
      <c r="J79" s="3" t="s">
        <v>60</v>
      </c>
      <c r="K79" s="2" t="s">
        <v>1148</v>
      </c>
      <c r="L79" s="2" t="s">
        <v>1149</v>
      </c>
      <c r="M79" s="3" t="s">
        <v>1036</v>
      </c>
      <c r="O79" s="3" t="s">
        <v>64</v>
      </c>
      <c r="P79" s="3" t="s">
        <v>1150</v>
      </c>
      <c r="R79" s="3" t="s">
        <v>1136</v>
      </c>
      <c r="S79" s="4">
        <v>0</v>
      </c>
      <c r="T79" s="4">
        <v>1</v>
      </c>
      <c r="V79" s="5" t="s">
        <v>1137</v>
      </c>
      <c r="W79" s="5" t="s">
        <v>1138</v>
      </c>
      <c r="X79" s="5" t="s">
        <v>1138</v>
      </c>
      <c r="Y79" s="4">
        <v>708</v>
      </c>
      <c r="Z79" s="4">
        <v>631</v>
      </c>
      <c r="AA79" s="4">
        <v>649</v>
      </c>
      <c r="AB79" s="4">
        <v>5</v>
      </c>
      <c r="AC79" s="4">
        <v>6</v>
      </c>
      <c r="AD79" s="4">
        <v>33</v>
      </c>
      <c r="AE79" s="4">
        <v>33</v>
      </c>
      <c r="AF79" s="4">
        <v>14</v>
      </c>
      <c r="AG79" s="4">
        <v>14</v>
      </c>
      <c r="AH79" s="4">
        <v>7</v>
      </c>
      <c r="AI79" s="4">
        <v>7</v>
      </c>
      <c r="AJ79" s="4">
        <v>13</v>
      </c>
      <c r="AK79" s="4">
        <v>13</v>
      </c>
      <c r="AL79" s="4">
        <v>4</v>
      </c>
      <c r="AM79" s="4">
        <v>4</v>
      </c>
      <c r="AN79" s="4">
        <v>0</v>
      </c>
      <c r="AO79" s="4">
        <v>0</v>
      </c>
      <c r="AP79" s="3" t="s">
        <v>58</v>
      </c>
      <c r="AQ79" s="3" t="s">
        <v>68</v>
      </c>
      <c r="AR79" s="6" t="str">
        <f>HYPERLINK("http://catalog.hathitrust.org/Record/001157564","HathiTrust Record")</f>
        <v>HathiTrust Record</v>
      </c>
      <c r="AS79" s="6" t="str">
        <f>HYPERLINK("https://creighton-primo.hosted.exlibrisgroup.com/primo-explore/search?tab=default_tab&amp;search_scope=EVERYTHING&amp;vid=01CRU&amp;lang=en_US&amp;offset=0&amp;query=any,contains,991001288049702656","Catalog Record")</f>
        <v>Catalog Record</v>
      </c>
      <c r="AT79" s="6" t="str">
        <f>HYPERLINK("http://www.worldcat.org/oclc/217133","WorldCat Record")</f>
        <v>WorldCat Record</v>
      </c>
      <c r="AU79" s="3" t="s">
        <v>1151</v>
      </c>
      <c r="AV79" s="3" t="s">
        <v>1152</v>
      </c>
      <c r="AW79" s="3" t="s">
        <v>1153</v>
      </c>
      <c r="AX79" s="3" t="s">
        <v>1153</v>
      </c>
      <c r="AY79" s="3" t="s">
        <v>1154</v>
      </c>
      <c r="AZ79" s="3" t="s">
        <v>73</v>
      </c>
      <c r="BB79" s="3" t="s">
        <v>1155</v>
      </c>
      <c r="BC79" s="3" t="s">
        <v>1156</v>
      </c>
      <c r="BD79" s="3" t="s">
        <v>1157</v>
      </c>
    </row>
    <row r="80" spans="1:56" ht="38.25" customHeight="1" x14ac:dyDescent="0.25">
      <c r="A80" s="7" t="s">
        <v>58</v>
      </c>
      <c r="B80" s="2" t="s">
        <v>1158</v>
      </c>
      <c r="C80" s="2" t="s">
        <v>1159</v>
      </c>
      <c r="D80" s="2" t="s">
        <v>1160</v>
      </c>
      <c r="F80" s="3" t="s">
        <v>58</v>
      </c>
      <c r="G80" s="3" t="s">
        <v>59</v>
      </c>
      <c r="H80" s="3" t="s">
        <v>58</v>
      </c>
      <c r="I80" s="3" t="s">
        <v>58</v>
      </c>
      <c r="J80" s="3" t="s">
        <v>60</v>
      </c>
      <c r="K80" s="2" t="s">
        <v>1161</v>
      </c>
      <c r="L80" s="2" t="s">
        <v>1162</v>
      </c>
      <c r="M80" s="3" t="s">
        <v>436</v>
      </c>
      <c r="O80" s="3" t="s">
        <v>64</v>
      </c>
      <c r="P80" s="3" t="s">
        <v>65</v>
      </c>
      <c r="R80" s="3" t="s">
        <v>1136</v>
      </c>
      <c r="S80" s="4">
        <v>1</v>
      </c>
      <c r="T80" s="4">
        <v>1</v>
      </c>
      <c r="U80" s="5" t="s">
        <v>1163</v>
      </c>
      <c r="V80" s="5" t="s">
        <v>1163</v>
      </c>
      <c r="W80" s="5" t="s">
        <v>1138</v>
      </c>
      <c r="X80" s="5" t="s">
        <v>1138</v>
      </c>
      <c r="Y80" s="4">
        <v>431</v>
      </c>
      <c r="Z80" s="4">
        <v>374</v>
      </c>
      <c r="AA80" s="4">
        <v>515</v>
      </c>
      <c r="AB80" s="4">
        <v>3</v>
      </c>
      <c r="AC80" s="4">
        <v>4</v>
      </c>
      <c r="AD80" s="4">
        <v>17</v>
      </c>
      <c r="AE80" s="4">
        <v>21</v>
      </c>
      <c r="AF80" s="4">
        <v>5</v>
      </c>
      <c r="AG80" s="4">
        <v>8</v>
      </c>
      <c r="AH80" s="4">
        <v>3</v>
      </c>
      <c r="AI80" s="4">
        <v>4</v>
      </c>
      <c r="AJ80" s="4">
        <v>9</v>
      </c>
      <c r="AK80" s="4">
        <v>11</v>
      </c>
      <c r="AL80" s="4">
        <v>2</v>
      </c>
      <c r="AM80" s="4">
        <v>3</v>
      </c>
      <c r="AN80" s="4">
        <v>0</v>
      </c>
      <c r="AO80" s="4">
        <v>0</v>
      </c>
      <c r="AP80" s="3" t="s">
        <v>58</v>
      </c>
      <c r="AQ80" s="3" t="s">
        <v>68</v>
      </c>
      <c r="AR80" s="6" t="str">
        <f>HYPERLINK("http://catalog.hathitrust.org/Record/001149745","HathiTrust Record")</f>
        <v>HathiTrust Record</v>
      </c>
      <c r="AS80" s="6" t="str">
        <f>HYPERLINK("https://creighton-primo.hosted.exlibrisgroup.com/primo-explore/search?tab=default_tab&amp;search_scope=EVERYTHING&amp;vid=01CRU&amp;lang=en_US&amp;offset=0&amp;query=any,contains,991003293859702656","Catalog Record")</f>
        <v>Catalog Record</v>
      </c>
      <c r="AT80" s="6" t="str">
        <f>HYPERLINK("http://www.worldcat.org/oclc/815878","WorldCat Record")</f>
        <v>WorldCat Record</v>
      </c>
      <c r="AU80" s="3" t="s">
        <v>1164</v>
      </c>
      <c r="AV80" s="3" t="s">
        <v>1165</v>
      </c>
      <c r="AW80" s="3" t="s">
        <v>1166</v>
      </c>
      <c r="AX80" s="3" t="s">
        <v>1166</v>
      </c>
      <c r="AY80" s="3" t="s">
        <v>1167</v>
      </c>
      <c r="AZ80" s="3" t="s">
        <v>73</v>
      </c>
      <c r="BB80" s="3" t="s">
        <v>1168</v>
      </c>
      <c r="BC80" s="3" t="s">
        <v>1169</v>
      </c>
      <c r="BD80" s="3" t="s">
        <v>1170</v>
      </c>
    </row>
    <row r="81" spans="1:56" ht="38.25" customHeight="1" x14ac:dyDescent="0.25">
      <c r="A81" s="7" t="s">
        <v>58</v>
      </c>
      <c r="B81" s="2" t="s">
        <v>1171</v>
      </c>
      <c r="C81" s="2" t="s">
        <v>1172</v>
      </c>
      <c r="D81" s="2" t="s">
        <v>1173</v>
      </c>
      <c r="F81" s="3" t="s">
        <v>58</v>
      </c>
      <c r="G81" s="3" t="s">
        <v>59</v>
      </c>
      <c r="H81" s="3" t="s">
        <v>58</v>
      </c>
      <c r="I81" s="3" t="s">
        <v>58</v>
      </c>
      <c r="J81" s="3" t="s">
        <v>60</v>
      </c>
      <c r="L81" s="2" t="s">
        <v>1174</v>
      </c>
      <c r="M81" s="3" t="s">
        <v>129</v>
      </c>
      <c r="O81" s="3" t="s">
        <v>64</v>
      </c>
      <c r="P81" s="3" t="s">
        <v>802</v>
      </c>
      <c r="R81" s="3" t="s">
        <v>1136</v>
      </c>
      <c r="S81" s="4">
        <v>1</v>
      </c>
      <c r="T81" s="4">
        <v>1</v>
      </c>
      <c r="U81" s="5" t="s">
        <v>1175</v>
      </c>
      <c r="V81" s="5" t="s">
        <v>1175</v>
      </c>
      <c r="W81" s="5" t="s">
        <v>1176</v>
      </c>
      <c r="X81" s="5" t="s">
        <v>1176</v>
      </c>
      <c r="Y81" s="4">
        <v>429</v>
      </c>
      <c r="Z81" s="4">
        <v>364</v>
      </c>
      <c r="AA81" s="4">
        <v>1035</v>
      </c>
      <c r="AB81" s="4">
        <v>4</v>
      </c>
      <c r="AC81" s="4">
        <v>5</v>
      </c>
      <c r="AD81" s="4">
        <v>20</v>
      </c>
      <c r="AE81" s="4">
        <v>23</v>
      </c>
      <c r="AF81" s="4">
        <v>5</v>
      </c>
      <c r="AG81" s="4">
        <v>7</v>
      </c>
      <c r="AH81" s="4">
        <v>6</v>
      </c>
      <c r="AI81" s="4">
        <v>6</v>
      </c>
      <c r="AJ81" s="4">
        <v>11</v>
      </c>
      <c r="AK81" s="4">
        <v>11</v>
      </c>
      <c r="AL81" s="4">
        <v>2</v>
      </c>
      <c r="AM81" s="4">
        <v>3</v>
      </c>
      <c r="AN81" s="4">
        <v>1</v>
      </c>
      <c r="AO81" s="4">
        <v>1</v>
      </c>
      <c r="AP81" s="3" t="s">
        <v>58</v>
      </c>
      <c r="AQ81" s="3" t="s">
        <v>58</v>
      </c>
      <c r="AS81" s="6" t="str">
        <f>HYPERLINK("https://creighton-primo.hosted.exlibrisgroup.com/primo-explore/search?tab=default_tab&amp;search_scope=EVERYTHING&amp;vid=01CRU&amp;lang=en_US&amp;offset=0&amp;query=any,contains,991002951389702656","Catalog Record")</f>
        <v>Catalog Record</v>
      </c>
      <c r="AT81" s="6" t="str">
        <f>HYPERLINK("http://www.worldcat.org/oclc/39334779","WorldCat Record")</f>
        <v>WorldCat Record</v>
      </c>
      <c r="AU81" s="3" t="s">
        <v>1177</v>
      </c>
      <c r="AV81" s="3" t="s">
        <v>1178</v>
      </c>
      <c r="AW81" s="3" t="s">
        <v>1179</v>
      </c>
      <c r="AX81" s="3" t="s">
        <v>1179</v>
      </c>
      <c r="AY81" s="3" t="s">
        <v>1180</v>
      </c>
      <c r="AZ81" s="3" t="s">
        <v>73</v>
      </c>
      <c r="BB81" s="3" t="s">
        <v>1181</v>
      </c>
      <c r="BC81" s="3" t="s">
        <v>1182</v>
      </c>
      <c r="BD81" s="3" t="s">
        <v>1183</v>
      </c>
    </row>
    <row r="82" spans="1:56" ht="38.25" customHeight="1" x14ac:dyDescent="0.25">
      <c r="A82" s="7" t="s">
        <v>58</v>
      </c>
      <c r="B82" s="2" t="s">
        <v>1184</v>
      </c>
      <c r="C82" s="2" t="s">
        <v>1185</v>
      </c>
      <c r="D82" s="2" t="s">
        <v>1186</v>
      </c>
      <c r="F82" s="3" t="s">
        <v>58</v>
      </c>
      <c r="G82" s="3" t="s">
        <v>59</v>
      </c>
      <c r="H82" s="3" t="s">
        <v>58</v>
      </c>
      <c r="I82" s="3" t="s">
        <v>58</v>
      </c>
      <c r="J82" s="3" t="s">
        <v>60</v>
      </c>
      <c r="K82" s="2" t="s">
        <v>1187</v>
      </c>
      <c r="L82" s="2" t="s">
        <v>1188</v>
      </c>
      <c r="M82" s="3" t="s">
        <v>436</v>
      </c>
      <c r="O82" s="3" t="s">
        <v>64</v>
      </c>
      <c r="P82" s="3" t="s">
        <v>65</v>
      </c>
      <c r="R82" s="3" t="s">
        <v>1136</v>
      </c>
      <c r="S82" s="4">
        <v>1</v>
      </c>
      <c r="T82" s="4">
        <v>1</v>
      </c>
      <c r="U82" s="5" t="s">
        <v>1189</v>
      </c>
      <c r="V82" s="5" t="s">
        <v>1189</v>
      </c>
      <c r="W82" s="5" t="s">
        <v>1138</v>
      </c>
      <c r="X82" s="5" t="s">
        <v>1138</v>
      </c>
      <c r="Y82" s="4">
        <v>572</v>
      </c>
      <c r="Z82" s="4">
        <v>417</v>
      </c>
      <c r="AA82" s="4">
        <v>429</v>
      </c>
      <c r="AB82" s="4">
        <v>3</v>
      </c>
      <c r="AC82" s="4">
        <v>3</v>
      </c>
      <c r="AD82" s="4">
        <v>20</v>
      </c>
      <c r="AE82" s="4">
        <v>20</v>
      </c>
      <c r="AF82" s="4">
        <v>8</v>
      </c>
      <c r="AG82" s="4">
        <v>8</v>
      </c>
      <c r="AH82" s="4">
        <v>5</v>
      </c>
      <c r="AI82" s="4">
        <v>5</v>
      </c>
      <c r="AJ82" s="4">
        <v>9</v>
      </c>
      <c r="AK82" s="4">
        <v>9</v>
      </c>
      <c r="AL82" s="4">
        <v>2</v>
      </c>
      <c r="AM82" s="4">
        <v>2</v>
      </c>
      <c r="AN82" s="4">
        <v>0</v>
      </c>
      <c r="AO82" s="4">
        <v>0</v>
      </c>
      <c r="AP82" s="3" t="s">
        <v>58</v>
      </c>
      <c r="AQ82" s="3" t="s">
        <v>68</v>
      </c>
      <c r="AR82" s="6" t="str">
        <f>HYPERLINK("http://catalog.hathitrust.org/Record/001149344","HathiTrust Record")</f>
        <v>HathiTrust Record</v>
      </c>
      <c r="AS82" s="6" t="str">
        <f>HYPERLINK("https://creighton-primo.hosted.exlibrisgroup.com/primo-explore/search?tab=default_tab&amp;search_scope=EVERYTHING&amp;vid=01CRU&amp;lang=en_US&amp;offset=0&amp;query=any,contains,991003434289702656","Catalog Record")</f>
        <v>Catalog Record</v>
      </c>
      <c r="AT82" s="6" t="str">
        <f>HYPERLINK("http://www.worldcat.org/oclc/969459","WorldCat Record")</f>
        <v>WorldCat Record</v>
      </c>
      <c r="AU82" s="3" t="s">
        <v>1190</v>
      </c>
      <c r="AV82" s="3" t="s">
        <v>1191</v>
      </c>
      <c r="AW82" s="3" t="s">
        <v>1192</v>
      </c>
      <c r="AX82" s="3" t="s">
        <v>1192</v>
      </c>
      <c r="AY82" s="3" t="s">
        <v>1193</v>
      </c>
      <c r="AZ82" s="3" t="s">
        <v>73</v>
      </c>
      <c r="BB82" s="3" t="s">
        <v>1194</v>
      </c>
      <c r="BC82" s="3" t="s">
        <v>1195</v>
      </c>
      <c r="BD82" s="3" t="s">
        <v>1196</v>
      </c>
    </row>
    <row r="83" spans="1:56" ht="38.25" customHeight="1" x14ac:dyDescent="0.25">
      <c r="A83" s="7" t="s">
        <v>58</v>
      </c>
      <c r="B83" s="2" t="s">
        <v>1197</v>
      </c>
      <c r="C83" s="2" t="s">
        <v>1198</v>
      </c>
      <c r="D83" s="2" t="s">
        <v>1199</v>
      </c>
      <c r="F83" s="3" t="s">
        <v>58</v>
      </c>
      <c r="G83" s="3" t="s">
        <v>59</v>
      </c>
      <c r="H83" s="3" t="s">
        <v>58</v>
      </c>
      <c r="I83" s="3" t="s">
        <v>68</v>
      </c>
      <c r="J83" s="3" t="s">
        <v>60</v>
      </c>
      <c r="K83" s="2" t="s">
        <v>1200</v>
      </c>
      <c r="L83" s="2" t="s">
        <v>1201</v>
      </c>
      <c r="M83" s="3" t="s">
        <v>452</v>
      </c>
      <c r="O83" s="3" t="s">
        <v>64</v>
      </c>
      <c r="P83" s="3" t="s">
        <v>277</v>
      </c>
      <c r="Q83" s="2" t="s">
        <v>1202</v>
      </c>
      <c r="R83" s="3" t="s">
        <v>1203</v>
      </c>
      <c r="S83" s="4">
        <v>2</v>
      </c>
      <c r="T83" s="4">
        <v>2</v>
      </c>
      <c r="U83" s="5" t="s">
        <v>1204</v>
      </c>
      <c r="V83" s="5" t="s">
        <v>1204</v>
      </c>
      <c r="W83" s="5" t="s">
        <v>1205</v>
      </c>
      <c r="X83" s="5" t="s">
        <v>1205</v>
      </c>
      <c r="Y83" s="4">
        <v>899</v>
      </c>
      <c r="Z83" s="4">
        <v>730</v>
      </c>
      <c r="AA83" s="4">
        <v>939</v>
      </c>
      <c r="AB83" s="4">
        <v>4</v>
      </c>
      <c r="AC83" s="4">
        <v>7</v>
      </c>
      <c r="AD83" s="4">
        <v>34</v>
      </c>
      <c r="AE83" s="4">
        <v>44</v>
      </c>
      <c r="AF83" s="4">
        <v>14</v>
      </c>
      <c r="AG83" s="4">
        <v>17</v>
      </c>
      <c r="AH83" s="4">
        <v>6</v>
      </c>
      <c r="AI83" s="4">
        <v>9</v>
      </c>
      <c r="AJ83" s="4">
        <v>17</v>
      </c>
      <c r="AK83" s="4">
        <v>20</v>
      </c>
      <c r="AL83" s="4">
        <v>3</v>
      </c>
      <c r="AM83" s="4">
        <v>6</v>
      </c>
      <c r="AN83" s="4">
        <v>1</v>
      </c>
      <c r="AO83" s="4">
        <v>2</v>
      </c>
      <c r="AP83" s="3" t="s">
        <v>58</v>
      </c>
      <c r="AQ83" s="3" t="s">
        <v>58</v>
      </c>
      <c r="AS83" s="6" t="str">
        <f>HYPERLINK("https://creighton-primo.hosted.exlibrisgroup.com/primo-explore/search?tab=default_tab&amp;search_scope=EVERYTHING&amp;vid=01CRU&amp;lang=en_US&amp;offset=0&amp;query=any,contains,991002361989702656","Catalog Record")</f>
        <v>Catalog Record</v>
      </c>
      <c r="AT83" s="6" t="str">
        <f>HYPERLINK("http://www.worldcat.org/oclc/326142","WorldCat Record")</f>
        <v>WorldCat Record</v>
      </c>
      <c r="AU83" s="3" t="s">
        <v>1206</v>
      </c>
      <c r="AV83" s="3" t="s">
        <v>1207</v>
      </c>
      <c r="AW83" s="3" t="s">
        <v>1208</v>
      </c>
      <c r="AX83" s="3" t="s">
        <v>1208</v>
      </c>
      <c r="AY83" s="3" t="s">
        <v>1209</v>
      </c>
      <c r="AZ83" s="3" t="s">
        <v>73</v>
      </c>
      <c r="BC83" s="3" t="s">
        <v>1210</v>
      </c>
      <c r="BD83" s="3" t="s">
        <v>1211</v>
      </c>
    </row>
    <row r="84" spans="1:56" ht="38.25" customHeight="1" x14ac:dyDescent="0.25">
      <c r="A84" s="7" t="s">
        <v>58</v>
      </c>
      <c r="B84" s="2" t="s">
        <v>1212</v>
      </c>
      <c r="C84" s="2" t="s">
        <v>1213</v>
      </c>
      <c r="D84" s="2" t="s">
        <v>1214</v>
      </c>
      <c r="F84" s="3" t="s">
        <v>58</v>
      </c>
      <c r="G84" s="3" t="s">
        <v>59</v>
      </c>
      <c r="H84" s="3" t="s">
        <v>58</v>
      </c>
      <c r="I84" s="3" t="s">
        <v>58</v>
      </c>
      <c r="J84" s="3" t="s">
        <v>60</v>
      </c>
      <c r="L84" s="2" t="s">
        <v>1215</v>
      </c>
      <c r="M84" s="3" t="s">
        <v>975</v>
      </c>
      <c r="O84" s="3" t="s">
        <v>64</v>
      </c>
      <c r="P84" s="3" t="s">
        <v>580</v>
      </c>
      <c r="R84" s="3" t="s">
        <v>1203</v>
      </c>
      <c r="S84" s="4">
        <v>1</v>
      </c>
      <c r="T84" s="4">
        <v>1</v>
      </c>
      <c r="U84" s="5" t="s">
        <v>1216</v>
      </c>
      <c r="V84" s="5" t="s">
        <v>1216</v>
      </c>
      <c r="W84" s="5" t="s">
        <v>1217</v>
      </c>
      <c r="X84" s="5" t="s">
        <v>1217</v>
      </c>
      <c r="Y84" s="4">
        <v>389</v>
      </c>
      <c r="Z84" s="4">
        <v>343</v>
      </c>
      <c r="AA84" s="4">
        <v>345</v>
      </c>
      <c r="AB84" s="4">
        <v>3</v>
      </c>
      <c r="AC84" s="4">
        <v>3</v>
      </c>
      <c r="AD84" s="4">
        <v>17</v>
      </c>
      <c r="AE84" s="4">
        <v>17</v>
      </c>
      <c r="AF84" s="4">
        <v>5</v>
      </c>
      <c r="AG84" s="4">
        <v>5</v>
      </c>
      <c r="AH84" s="4">
        <v>4</v>
      </c>
      <c r="AI84" s="4">
        <v>4</v>
      </c>
      <c r="AJ84" s="4">
        <v>11</v>
      </c>
      <c r="AK84" s="4">
        <v>11</v>
      </c>
      <c r="AL84" s="4">
        <v>2</v>
      </c>
      <c r="AM84" s="4">
        <v>2</v>
      </c>
      <c r="AN84" s="4">
        <v>0</v>
      </c>
      <c r="AO84" s="4">
        <v>0</v>
      </c>
      <c r="AP84" s="3" t="s">
        <v>58</v>
      </c>
      <c r="AQ84" s="3" t="s">
        <v>68</v>
      </c>
      <c r="AR84" s="6" t="str">
        <f>HYPERLINK("http://catalog.hathitrust.org/Record/004436074","HathiTrust Record")</f>
        <v>HathiTrust Record</v>
      </c>
      <c r="AS84" s="6" t="str">
        <f>HYPERLINK("https://creighton-primo.hosted.exlibrisgroup.com/primo-explore/search?tab=default_tab&amp;search_scope=EVERYTHING&amp;vid=01CRU&amp;lang=en_US&amp;offset=0&amp;query=any,contains,991004158179702656","Catalog Record")</f>
        <v>Catalog Record</v>
      </c>
      <c r="AT84" s="6" t="str">
        <f>HYPERLINK("http://www.worldcat.org/oclc/2542619","WorldCat Record")</f>
        <v>WorldCat Record</v>
      </c>
      <c r="AU84" s="3" t="s">
        <v>1218</v>
      </c>
      <c r="AV84" s="3" t="s">
        <v>1219</v>
      </c>
      <c r="AW84" s="3" t="s">
        <v>1220</v>
      </c>
      <c r="AX84" s="3" t="s">
        <v>1220</v>
      </c>
      <c r="AY84" s="3" t="s">
        <v>1221</v>
      </c>
      <c r="AZ84" s="3" t="s">
        <v>73</v>
      </c>
      <c r="BB84" s="3" t="s">
        <v>1222</v>
      </c>
      <c r="BC84" s="3" t="s">
        <v>1223</v>
      </c>
      <c r="BD84" s="3" t="s">
        <v>1224</v>
      </c>
    </row>
    <row r="85" spans="1:56" ht="38.25" customHeight="1" x14ac:dyDescent="0.25">
      <c r="A85" s="7" t="s">
        <v>58</v>
      </c>
      <c r="B85" s="2" t="s">
        <v>1225</v>
      </c>
      <c r="C85" s="2" t="s">
        <v>1226</v>
      </c>
      <c r="D85" s="2" t="s">
        <v>1227</v>
      </c>
      <c r="F85" s="3" t="s">
        <v>58</v>
      </c>
      <c r="G85" s="3" t="s">
        <v>59</v>
      </c>
      <c r="H85" s="3" t="s">
        <v>58</v>
      </c>
      <c r="I85" s="3" t="s">
        <v>58</v>
      </c>
      <c r="J85" s="3" t="s">
        <v>60</v>
      </c>
      <c r="K85" s="2" t="s">
        <v>1228</v>
      </c>
      <c r="L85" s="2" t="s">
        <v>1229</v>
      </c>
      <c r="M85" s="3" t="s">
        <v>436</v>
      </c>
      <c r="O85" s="3" t="s">
        <v>64</v>
      </c>
      <c r="P85" s="3" t="s">
        <v>65</v>
      </c>
      <c r="Q85" s="2" t="s">
        <v>1230</v>
      </c>
      <c r="R85" s="3" t="s">
        <v>1203</v>
      </c>
      <c r="S85" s="4">
        <v>5</v>
      </c>
      <c r="T85" s="4">
        <v>5</v>
      </c>
      <c r="U85" s="5" t="s">
        <v>1231</v>
      </c>
      <c r="V85" s="5" t="s">
        <v>1231</v>
      </c>
      <c r="W85" s="5" t="s">
        <v>1232</v>
      </c>
      <c r="X85" s="5" t="s">
        <v>1232</v>
      </c>
      <c r="Y85" s="4">
        <v>569</v>
      </c>
      <c r="Z85" s="4">
        <v>490</v>
      </c>
      <c r="AA85" s="4">
        <v>499</v>
      </c>
      <c r="AB85" s="4">
        <v>3</v>
      </c>
      <c r="AC85" s="4">
        <v>3</v>
      </c>
      <c r="AD85" s="4">
        <v>22</v>
      </c>
      <c r="AE85" s="4">
        <v>22</v>
      </c>
      <c r="AF85" s="4">
        <v>6</v>
      </c>
      <c r="AG85" s="4">
        <v>6</v>
      </c>
      <c r="AH85" s="4">
        <v>6</v>
      </c>
      <c r="AI85" s="4">
        <v>6</v>
      </c>
      <c r="AJ85" s="4">
        <v>11</v>
      </c>
      <c r="AK85" s="4">
        <v>11</v>
      </c>
      <c r="AL85" s="4">
        <v>2</v>
      </c>
      <c r="AM85" s="4">
        <v>2</v>
      </c>
      <c r="AN85" s="4">
        <v>1</v>
      </c>
      <c r="AO85" s="4">
        <v>1</v>
      </c>
      <c r="AP85" s="3" t="s">
        <v>58</v>
      </c>
      <c r="AQ85" s="3" t="s">
        <v>68</v>
      </c>
      <c r="AR85" s="6" t="str">
        <f>HYPERLINK("http://catalog.hathitrust.org/Record/000023350","HathiTrust Record")</f>
        <v>HathiTrust Record</v>
      </c>
      <c r="AS85" s="6" t="str">
        <f>HYPERLINK("https://creighton-primo.hosted.exlibrisgroup.com/primo-explore/search?tab=default_tab&amp;search_scope=EVERYTHING&amp;vid=01CRU&amp;lang=en_US&amp;offset=0&amp;query=any,contains,991003401579702656","Catalog Record")</f>
        <v>Catalog Record</v>
      </c>
      <c r="AT85" s="6" t="str">
        <f>HYPERLINK("http://www.worldcat.org/oclc/940673","WorldCat Record")</f>
        <v>WorldCat Record</v>
      </c>
      <c r="AU85" s="3" t="s">
        <v>1233</v>
      </c>
      <c r="AV85" s="3" t="s">
        <v>1234</v>
      </c>
      <c r="AW85" s="3" t="s">
        <v>1235</v>
      </c>
      <c r="AX85" s="3" t="s">
        <v>1235</v>
      </c>
      <c r="AY85" s="3" t="s">
        <v>1236</v>
      </c>
      <c r="AZ85" s="3" t="s">
        <v>73</v>
      </c>
      <c r="BB85" s="3" t="s">
        <v>1237</v>
      </c>
      <c r="BC85" s="3" t="s">
        <v>1238</v>
      </c>
      <c r="BD85" s="3" t="s">
        <v>1239</v>
      </c>
    </row>
    <row r="86" spans="1:56" ht="38.25" customHeight="1" x14ac:dyDescent="0.25">
      <c r="A86" s="7" t="s">
        <v>58</v>
      </c>
      <c r="B86" s="2" t="s">
        <v>1240</v>
      </c>
      <c r="C86" s="2" t="s">
        <v>1241</v>
      </c>
      <c r="D86" s="2" t="s">
        <v>1242</v>
      </c>
      <c r="F86" s="3" t="s">
        <v>58</v>
      </c>
      <c r="G86" s="3" t="s">
        <v>59</v>
      </c>
      <c r="H86" s="3" t="s">
        <v>58</v>
      </c>
      <c r="I86" s="3" t="s">
        <v>58</v>
      </c>
      <c r="J86" s="3" t="s">
        <v>60</v>
      </c>
      <c r="K86" s="2" t="s">
        <v>1243</v>
      </c>
      <c r="L86" s="2" t="s">
        <v>1244</v>
      </c>
      <c r="M86" s="3" t="s">
        <v>609</v>
      </c>
      <c r="O86" s="3" t="s">
        <v>64</v>
      </c>
      <c r="P86" s="3" t="s">
        <v>147</v>
      </c>
      <c r="R86" s="3" t="s">
        <v>1203</v>
      </c>
      <c r="S86" s="4">
        <v>3</v>
      </c>
      <c r="T86" s="4">
        <v>3</v>
      </c>
      <c r="U86" s="5" t="s">
        <v>1245</v>
      </c>
      <c r="V86" s="5" t="s">
        <v>1245</v>
      </c>
      <c r="W86" s="5" t="s">
        <v>1217</v>
      </c>
      <c r="X86" s="5" t="s">
        <v>1217</v>
      </c>
      <c r="Y86" s="4">
        <v>533</v>
      </c>
      <c r="Z86" s="4">
        <v>424</v>
      </c>
      <c r="AA86" s="4">
        <v>429</v>
      </c>
      <c r="AB86" s="4">
        <v>3</v>
      </c>
      <c r="AC86" s="4">
        <v>3</v>
      </c>
      <c r="AD86" s="4">
        <v>23</v>
      </c>
      <c r="AE86" s="4">
        <v>23</v>
      </c>
      <c r="AF86" s="4">
        <v>6</v>
      </c>
      <c r="AG86" s="4">
        <v>6</v>
      </c>
      <c r="AH86" s="4">
        <v>7</v>
      </c>
      <c r="AI86" s="4">
        <v>7</v>
      </c>
      <c r="AJ86" s="4">
        <v>14</v>
      </c>
      <c r="AK86" s="4">
        <v>14</v>
      </c>
      <c r="AL86" s="4">
        <v>2</v>
      </c>
      <c r="AM86" s="4">
        <v>2</v>
      </c>
      <c r="AN86" s="4">
        <v>0</v>
      </c>
      <c r="AO86" s="4">
        <v>0</v>
      </c>
      <c r="AP86" s="3" t="s">
        <v>58</v>
      </c>
      <c r="AQ86" s="3" t="s">
        <v>58</v>
      </c>
      <c r="AS86" s="6" t="str">
        <f>HYPERLINK("https://creighton-primo.hosted.exlibrisgroup.com/primo-explore/search?tab=default_tab&amp;search_scope=EVERYTHING&amp;vid=01CRU&amp;lang=en_US&amp;offset=0&amp;query=any,contains,991003975099702656","Catalog Record")</f>
        <v>Catalog Record</v>
      </c>
      <c r="AT86" s="6" t="str">
        <f>HYPERLINK("http://www.worldcat.org/oclc/2001460","WorldCat Record")</f>
        <v>WorldCat Record</v>
      </c>
      <c r="AU86" s="3" t="s">
        <v>1246</v>
      </c>
      <c r="AV86" s="3" t="s">
        <v>1247</v>
      </c>
      <c r="AW86" s="3" t="s">
        <v>1248</v>
      </c>
      <c r="AX86" s="3" t="s">
        <v>1248</v>
      </c>
      <c r="AY86" s="3" t="s">
        <v>1249</v>
      </c>
      <c r="AZ86" s="3" t="s">
        <v>73</v>
      </c>
      <c r="BB86" s="3" t="s">
        <v>1250</v>
      </c>
      <c r="BC86" s="3" t="s">
        <v>1251</v>
      </c>
      <c r="BD86" s="3" t="s">
        <v>1252</v>
      </c>
    </row>
    <row r="87" spans="1:56" ht="38.25" customHeight="1" x14ac:dyDescent="0.25">
      <c r="A87" s="7" t="s">
        <v>58</v>
      </c>
      <c r="B87" s="2" t="s">
        <v>1253</v>
      </c>
      <c r="C87" s="2" t="s">
        <v>1254</v>
      </c>
      <c r="D87" s="2" t="s">
        <v>1255</v>
      </c>
      <c r="F87" s="3" t="s">
        <v>58</v>
      </c>
      <c r="G87" s="3" t="s">
        <v>59</v>
      </c>
      <c r="H87" s="3" t="s">
        <v>58</v>
      </c>
      <c r="I87" s="3" t="s">
        <v>58</v>
      </c>
      <c r="J87" s="3" t="s">
        <v>60</v>
      </c>
      <c r="K87" s="2" t="s">
        <v>1256</v>
      </c>
      <c r="L87" s="2" t="s">
        <v>1257</v>
      </c>
      <c r="M87" s="3" t="s">
        <v>146</v>
      </c>
      <c r="O87" s="3" t="s">
        <v>64</v>
      </c>
      <c r="P87" s="3" t="s">
        <v>65</v>
      </c>
      <c r="R87" s="3" t="s">
        <v>1203</v>
      </c>
      <c r="S87" s="4">
        <v>2</v>
      </c>
      <c r="T87" s="4">
        <v>2</v>
      </c>
      <c r="U87" s="5" t="s">
        <v>1258</v>
      </c>
      <c r="V87" s="5" t="s">
        <v>1258</v>
      </c>
      <c r="W87" s="5" t="s">
        <v>1259</v>
      </c>
      <c r="X87" s="5" t="s">
        <v>1259</v>
      </c>
      <c r="Y87" s="4">
        <v>297</v>
      </c>
      <c r="Z87" s="4">
        <v>278</v>
      </c>
      <c r="AA87" s="4">
        <v>278</v>
      </c>
      <c r="AB87" s="4">
        <v>2</v>
      </c>
      <c r="AC87" s="4">
        <v>2</v>
      </c>
      <c r="AD87" s="4">
        <v>12</v>
      </c>
      <c r="AE87" s="4">
        <v>12</v>
      </c>
      <c r="AF87" s="4">
        <v>6</v>
      </c>
      <c r="AG87" s="4">
        <v>6</v>
      </c>
      <c r="AH87" s="4">
        <v>3</v>
      </c>
      <c r="AI87" s="4">
        <v>3</v>
      </c>
      <c r="AJ87" s="4">
        <v>8</v>
      </c>
      <c r="AK87" s="4">
        <v>8</v>
      </c>
      <c r="AL87" s="4">
        <v>1</v>
      </c>
      <c r="AM87" s="4">
        <v>1</v>
      </c>
      <c r="AN87" s="4">
        <v>0</v>
      </c>
      <c r="AO87" s="4">
        <v>0</v>
      </c>
      <c r="AP87" s="3" t="s">
        <v>58</v>
      </c>
      <c r="AQ87" s="3" t="s">
        <v>58</v>
      </c>
      <c r="AS87" s="6" t="str">
        <f>HYPERLINK("https://creighton-primo.hosted.exlibrisgroup.com/primo-explore/search?tab=default_tab&amp;search_scope=EVERYTHING&amp;vid=01CRU&amp;lang=en_US&amp;offset=0&amp;query=any,contains,991005156599702656","Catalog Record")</f>
        <v>Catalog Record</v>
      </c>
      <c r="AT87" s="6" t="str">
        <f>HYPERLINK("http://www.worldcat.org/oclc/7740713","WorldCat Record")</f>
        <v>WorldCat Record</v>
      </c>
      <c r="AU87" s="3" t="s">
        <v>1260</v>
      </c>
      <c r="AV87" s="3" t="s">
        <v>1261</v>
      </c>
      <c r="AW87" s="3" t="s">
        <v>1262</v>
      </c>
      <c r="AX87" s="3" t="s">
        <v>1262</v>
      </c>
      <c r="AY87" s="3" t="s">
        <v>1263</v>
      </c>
      <c r="AZ87" s="3" t="s">
        <v>73</v>
      </c>
      <c r="BB87" s="3" t="s">
        <v>1264</v>
      </c>
      <c r="BC87" s="3" t="s">
        <v>1265</v>
      </c>
      <c r="BD87" s="3" t="s">
        <v>1266</v>
      </c>
    </row>
    <row r="88" spans="1:56" ht="38.25" customHeight="1" x14ac:dyDescent="0.25">
      <c r="A88" s="7" t="s">
        <v>58</v>
      </c>
      <c r="B88" s="2" t="s">
        <v>1267</v>
      </c>
      <c r="C88" s="2" t="s">
        <v>1268</v>
      </c>
      <c r="D88" s="2" t="s">
        <v>1269</v>
      </c>
      <c r="F88" s="3" t="s">
        <v>58</v>
      </c>
      <c r="G88" s="3" t="s">
        <v>59</v>
      </c>
      <c r="H88" s="3" t="s">
        <v>58</v>
      </c>
      <c r="I88" s="3" t="s">
        <v>58</v>
      </c>
      <c r="J88" s="3" t="s">
        <v>60</v>
      </c>
      <c r="L88" s="2" t="s">
        <v>1270</v>
      </c>
      <c r="M88" s="3" t="s">
        <v>787</v>
      </c>
      <c r="N88" s="2" t="s">
        <v>1271</v>
      </c>
      <c r="O88" s="3" t="s">
        <v>64</v>
      </c>
      <c r="P88" s="3" t="s">
        <v>802</v>
      </c>
      <c r="R88" s="3" t="s">
        <v>1203</v>
      </c>
      <c r="S88" s="4">
        <v>2</v>
      </c>
      <c r="T88" s="4">
        <v>2</v>
      </c>
      <c r="U88" s="5" t="s">
        <v>1272</v>
      </c>
      <c r="V88" s="5" t="s">
        <v>1272</v>
      </c>
      <c r="W88" s="5" t="s">
        <v>1273</v>
      </c>
      <c r="X88" s="5" t="s">
        <v>1273</v>
      </c>
      <c r="Y88" s="4">
        <v>113</v>
      </c>
      <c r="Z88" s="4">
        <v>108</v>
      </c>
      <c r="AA88" s="4">
        <v>203</v>
      </c>
      <c r="AB88" s="4">
        <v>3</v>
      </c>
      <c r="AC88" s="4">
        <v>3</v>
      </c>
      <c r="AD88" s="4">
        <v>7</v>
      </c>
      <c r="AE88" s="4">
        <v>7</v>
      </c>
      <c r="AF88" s="4">
        <v>1</v>
      </c>
      <c r="AG88" s="4">
        <v>1</v>
      </c>
      <c r="AH88" s="4">
        <v>2</v>
      </c>
      <c r="AI88" s="4">
        <v>2</v>
      </c>
      <c r="AJ88" s="4">
        <v>3</v>
      </c>
      <c r="AK88" s="4">
        <v>3</v>
      </c>
      <c r="AL88" s="4">
        <v>2</v>
      </c>
      <c r="AM88" s="4">
        <v>2</v>
      </c>
      <c r="AN88" s="4">
        <v>0</v>
      </c>
      <c r="AO88" s="4">
        <v>0</v>
      </c>
      <c r="AP88" s="3" t="s">
        <v>58</v>
      </c>
      <c r="AQ88" s="3" t="s">
        <v>58</v>
      </c>
      <c r="AS88" s="6" t="str">
        <f>HYPERLINK("https://creighton-primo.hosted.exlibrisgroup.com/primo-explore/search?tab=default_tab&amp;search_scope=EVERYTHING&amp;vid=01CRU&amp;lang=en_US&amp;offset=0&amp;query=any,contains,991002438469702656","Catalog Record")</f>
        <v>Catalog Record</v>
      </c>
      <c r="AT88" s="6" t="str">
        <f>HYPERLINK("http://www.worldcat.org/oclc/31782370","WorldCat Record")</f>
        <v>WorldCat Record</v>
      </c>
      <c r="AU88" s="3" t="s">
        <v>1274</v>
      </c>
      <c r="AV88" s="3" t="s">
        <v>1275</v>
      </c>
      <c r="AW88" s="3" t="s">
        <v>1276</v>
      </c>
      <c r="AX88" s="3" t="s">
        <v>1276</v>
      </c>
      <c r="AY88" s="3" t="s">
        <v>1277</v>
      </c>
      <c r="AZ88" s="3" t="s">
        <v>73</v>
      </c>
      <c r="BB88" s="3" t="s">
        <v>1278</v>
      </c>
      <c r="BC88" s="3" t="s">
        <v>1279</v>
      </c>
      <c r="BD88" s="3" t="s">
        <v>1280</v>
      </c>
    </row>
    <row r="89" spans="1:56" ht="38.25" customHeight="1" x14ac:dyDescent="0.25">
      <c r="A89" s="7" t="s">
        <v>58</v>
      </c>
      <c r="B89" s="2" t="s">
        <v>1281</v>
      </c>
      <c r="C89" s="2" t="s">
        <v>1282</v>
      </c>
      <c r="D89" s="2" t="s">
        <v>1283</v>
      </c>
      <c r="F89" s="3" t="s">
        <v>58</v>
      </c>
      <c r="G89" s="3" t="s">
        <v>59</v>
      </c>
      <c r="H89" s="3" t="s">
        <v>58</v>
      </c>
      <c r="I89" s="3" t="s">
        <v>58</v>
      </c>
      <c r="J89" s="3" t="s">
        <v>60</v>
      </c>
      <c r="K89" s="2" t="s">
        <v>1284</v>
      </c>
      <c r="L89" s="2" t="s">
        <v>1285</v>
      </c>
      <c r="M89" s="3" t="s">
        <v>1036</v>
      </c>
      <c r="O89" s="3" t="s">
        <v>64</v>
      </c>
      <c r="P89" s="3" t="s">
        <v>625</v>
      </c>
      <c r="Q89" s="2" t="s">
        <v>1286</v>
      </c>
      <c r="R89" s="3" t="s">
        <v>1203</v>
      </c>
      <c r="S89" s="4">
        <v>3</v>
      </c>
      <c r="T89" s="4">
        <v>3</v>
      </c>
      <c r="U89" s="5" t="s">
        <v>1287</v>
      </c>
      <c r="V89" s="5" t="s">
        <v>1287</v>
      </c>
      <c r="W89" s="5" t="s">
        <v>1138</v>
      </c>
      <c r="X89" s="5" t="s">
        <v>1138</v>
      </c>
      <c r="Y89" s="4">
        <v>453</v>
      </c>
      <c r="Z89" s="4">
        <v>409</v>
      </c>
      <c r="AA89" s="4">
        <v>411</v>
      </c>
      <c r="AB89" s="4">
        <v>4</v>
      </c>
      <c r="AC89" s="4">
        <v>4</v>
      </c>
      <c r="AD89" s="4">
        <v>21</v>
      </c>
      <c r="AE89" s="4">
        <v>21</v>
      </c>
      <c r="AF89" s="4">
        <v>7</v>
      </c>
      <c r="AG89" s="4">
        <v>7</v>
      </c>
      <c r="AH89" s="4">
        <v>6</v>
      </c>
      <c r="AI89" s="4">
        <v>6</v>
      </c>
      <c r="AJ89" s="4">
        <v>9</v>
      </c>
      <c r="AK89" s="4">
        <v>9</v>
      </c>
      <c r="AL89" s="4">
        <v>2</v>
      </c>
      <c r="AM89" s="4">
        <v>2</v>
      </c>
      <c r="AN89" s="4">
        <v>1</v>
      </c>
      <c r="AO89" s="4">
        <v>1</v>
      </c>
      <c r="AP89" s="3" t="s">
        <v>58</v>
      </c>
      <c r="AQ89" s="3" t="s">
        <v>68</v>
      </c>
      <c r="AR89" s="6" t="str">
        <f>HYPERLINK("http://catalog.hathitrust.org/Record/001150317","HathiTrust Record")</f>
        <v>HathiTrust Record</v>
      </c>
      <c r="AS89" s="6" t="str">
        <f>HYPERLINK("https://creighton-primo.hosted.exlibrisgroup.com/primo-explore/search?tab=default_tab&amp;search_scope=EVERYTHING&amp;vid=01CRU&amp;lang=en_US&amp;offset=0&amp;query=any,contains,991000895109702656","Catalog Record")</f>
        <v>Catalog Record</v>
      </c>
      <c r="AT89" s="6" t="str">
        <f>HYPERLINK("http://www.worldcat.org/oclc/155736","WorldCat Record")</f>
        <v>WorldCat Record</v>
      </c>
      <c r="AU89" s="3" t="s">
        <v>1288</v>
      </c>
      <c r="AV89" s="3" t="s">
        <v>1289</v>
      </c>
      <c r="AW89" s="3" t="s">
        <v>1290</v>
      </c>
      <c r="AX89" s="3" t="s">
        <v>1290</v>
      </c>
      <c r="AY89" s="3" t="s">
        <v>1291</v>
      </c>
      <c r="AZ89" s="3" t="s">
        <v>73</v>
      </c>
      <c r="BC89" s="3" t="s">
        <v>1292</v>
      </c>
      <c r="BD89" s="3" t="s">
        <v>1293</v>
      </c>
    </row>
    <row r="90" spans="1:56" ht="38.25" customHeight="1" x14ac:dyDescent="0.25">
      <c r="A90" s="7" t="s">
        <v>58</v>
      </c>
      <c r="B90" s="2" t="s">
        <v>1294</v>
      </c>
      <c r="C90" s="2" t="s">
        <v>1295</v>
      </c>
      <c r="D90" s="2" t="s">
        <v>1296</v>
      </c>
      <c r="F90" s="3" t="s">
        <v>58</v>
      </c>
      <c r="G90" s="3" t="s">
        <v>59</v>
      </c>
      <c r="H90" s="3" t="s">
        <v>58</v>
      </c>
      <c r="I90" s="3" t="s">
        <v>58</v>
      </c>
      <c r="J90" s="3" t="s">
        <v>60</v>
      </c>
      <c r="K90" s="2" t="s">
        <v>1297</v>
      </c>
      <c r="L90" s="2" t="s">
        <v>1298</v>
      </c>
      <c r="M90" s="3" t="s">
        <v>161</v>
      </c>
      <c r="O90" s="3" t="s">
        <v>64</v>
      </c>
      <c r="P90" s="3" t="s">
        <v>83</v>
      </c>
      <c r="R90" s="3" t="s">
        <v>1203</v>
      </c>
      <c r="S90" s="4">
        <v>3</v>
      </c>
      <c r="T90" s="4">
        <v>3</v>
      </c>
      <c r="U90" s="5" t="s">
        <v>1299</v>
      </c>
      <c r="V90" s="5" t="s">
        <v>1299</v>
      </c>
      <c r="W90" s="5" t="s">
        <v>1300</v>
      </c>
      <c r="X90" s="5" t="s">
        <v>1300</v>
      </c>
      <c r="Y90" s="4">
        <v>697</v>
      </c>
      <c r="Z90" s="4">
        <v>563</v>
      </c>
      <c r="AA90" s="4">
        <v>568</v>
      </c>
      <c r="AB90" s="4">
        <v>4</v>
      </c>
      <c r="AC90" s="4">
        <v>4</v>
      </c>
      <c r="AD90" s="4">
        <v>33</v>
      </c>
      <c r="AE90" s="4">
        <v>33</v>
      </c>
      <c r="AF90" s="4">
        <v>13</v>
      </c>
      <c r="AG90" s="4">
        <v>13</v>
      </c>
      <c r="AH90" s="4">
        <v>9</v>
      </c>
      <c r="AI90" s="4">
        <v>9</v>
      </c>
      <c r="AJ90" s="4">
        <v>16</v>
      </c>
      <c r="AK90" s="4">
        <v>16</v>
      </c>
      <c r="AL90" s="4">
        <v>3</v>
      </c>
      <c r="AM90" s="4">
        <v>3</v>
      </c>
      <c r="AN90" s="4">
        <v>2</v>
      </c>
      <c r="AO90" s="4">
        <v>2</v>
      </c>
      <c r="AP90" s="3" t="s">
        <v>58</v>
      </c>
      <c r="AQ90" s="3" t="s">
        <v>58</v>
      </c>
      <c r="AS90" s="6" t="str">
        <f>HYPERLINK("https://creighton-primo.hosted.exlibrisgroup.com/primo-explore/search?tab=default_tab&amp;search_scope=EVERYTHING&amp;vid=01CRU&amp;lang=en_US&amp;offset=0&amp;query=any,contains,991000189729702656","Catalog Record")</f>
        <v>Catalog Record</v>
      </c>
      <c r="AT90" s="6" t="str">
        <f>HYPERLINK("http://www.worldcat.org/oclc/9411919","WorldCat Record")</f>
        <v>WorldCat Record</v>
      </c>
      <c r="AU90" s="3" t="s">
        <v>1301</v>
      </c>
      <c r="AV90" s="3" t="s">
        <v>1302</v>
      </c>
      <c r="AW90" s="3" t="s">
        <v>1303</v>
      </c>
      <c r="AX90" s="3" t="s">
        <v>1303</v>
      </c>
      <c r="AY90" s="3" t="s">
        <v>1304</v>
      </c>
      <c r="AZ90" s="3" t="s">
        <v>73</v>
      </c>
      <c r="BB90" s="3" t="s">
        <v>1305</v>
      </c>
      <c r="BC90" s="3" t="s">
        <v>1306</v>
      </c>
      <c r="BD90" s="3" t="s">
        <v>1307</v>
      </c>
    </row>
    <row r="91" spans="1:56" ht="38.25" customHeight="1" x14ac:dyDescent="0.25">
      <c r="A91" s="7" t="s">
        <v>58</v>
      </c>
      <c r="B91" s="2" t="s">
        <v>1308</v>
      </c>
      <c r="C91" s="2" t="s">
        <v>1309</v>
      </c>
      <c r="D91" s="2" t="s">
        <v>1310</v>
      </c>
      <c r="F91" s="3" t="s">
        <v>58</v>
      </c>
      <c r="G91" s="3" t="s">
        <v>59</v>
      </c>
      <c r="H91" s="3" t="s">
        <v>58</v>
      </c>
      <c r="I91" s="3" t="s">
        <v>58</v>
      </c>
      <c r="J91" s="3" t="s">
        <v>60</v>
      </c>
      <c r="K91" s="2" t="s">
        <v>1311</v>
      </c>
      <c r="L91" s="2" t="s">
        <v>1312</v>
      </c>
      <c r="M91" s="3" t="s">
        <v>609</v>
      </c>
      <c r="O91" s="3" t="s">
        <v>64</v>
      </c>
      <c r="P91" s="3" t="s">
        <v>147</v>
      </c>
      <c r="Q91" s="2" t="s">
        <v>1313</v>
      </c>
      <c r="R91" s="3" t="s">
        <v>1203</v>
      </c>
      <c r="S91" s="4">
        <v>1</v>
      </c>
      <c r="T91" s="4">
        <v>1</v>
      </c>
      <c r="U91" s="5" t="s">
        <v>1314</v>
      </c>
      <c r="V91" s="5" t="s">
        <v>1314</v>
      </c>
      <c r="W91" s="5" t="s">
        <v>1300</v>
      </c>
      <c r="X91" s="5" t="s">
        <v>1300</v>
      </c>
      <c r="Y91" s="4">
        <v>438</v>
      </c>
      <c r="Z91" s="4">
        <v>390</v>
      </c>
      <c r="AA91" s="4">
        <v>403</v>
      </c>
      <c r="AB91" s="4">
        <v>3</v>
      </c>
      <c r="AC91" s="4">
        <v>3</v>
      </c>
      <c r="AD91" s="4">
        <v>20</v>
      </c>
      <c r="AE91" s="4">
        <v>21</v>
      </c>
      <c r="AF91" s="4">
        <v>5</v>
      </c>
      <c r="AG91" s="4">
        <v>5</v>
      </c>
      <c r="AH91" s="4">
        <v>4</v>
      </c>
      <c r="AI91" s="4">
        <v>5</v>
      </c>
      <c r="AJ91" s="4">
        <v>10</v>
      </c>
      <c r="AK91" s="4">
        <v>11</v>
      </c>
      <c r="AL91" s="4">
        <v>2</v>
      </c>
      <c r="AM91" s="4">
        <v>2</v>
      </c>
      <c r="AN91" s="4">
        <v>2</v>
      </c>
      <c r="AO91" s="4">
        <v>2</v>
      </c>
      <c r="AP91" s="3" t="s">
        <v>58</v>
      </c>
      <c r="AQ91" s="3" t="s">
        <v>58</v>
      </c>
      <c r="AS91" s="6" t="str">
        <f>HYPERLINK("https://creighton-primo.hosted.exlibrisgroup.com/primo-explore/search?tab=default_tab&amp;search_scope=EVERYTHING&amp;vid=01CRU&amp;lang=en_US&amp;offset=0&amp;query=any,contains,991003861289702656","Catalog Record")</f>
        <v>Catalog Record</v>
      </c>
      <c r="AT91" s="6" t="str">
        <f>HYPERLINK("http://www.worldcat.org/oclc/1666882","WorldCat Record")</f>
        <v>WorldCat Record</v>
      </c>
      <c r="AU91" s="3" t="s">
        <v>1315</v>
      </c>
      <c r="AV91" s="3" t="s">
        <v>1316</v>
      </c>
      <c r="AW91" s="3" t="s">
        <v>1317</v>
      </c>
      <c r="AX91" s="3" t="s">
        <v>1317</v>
      </c>
      <c r="AY91" s="3" t="s">
        <v>1318</v>
      </c>
      <c r="AZ91" s="3" t="s">
        <v>73</v>
      </c>
      <c r="BB91" s="3" t="s">
        <v>1319</v>
      </c>
      <c r="BC91" s="3" t="s">
        <v>1320</v>
      </c>
      <c r="BD91" s="3" t="s">
        <v>1321</v>
      </c>
    </row>
    <row r="92" spans="1:56" ht="38.25" customHeight="1" x14ac:dyDescent="0.25">
      <c r="A92" s="7" t="s">
        <v>58</v>
      </c>
      <c r="B92" s="2" t="s">
        <v>1322</v>
      </c>
      <c r="C92" s="2" t="s">
        <v>1323</v>
      </c>
      <c r="D92" s="2" t="s">
        <v>1324</v>
      </c>
      <c r="F92" s="3" t="s">
        <v>58</v>
      </c>
      <c r="G92" s="3" t="s">
        <v>59</v>
      </c>
      <c r="H92" s="3" t="s">
        <v>58</v>
      </c>
      <c r="I92" s="3" t="s">
        <v>58</v>
      </c>
      <c r="J92" s="3" t="s">
        <v>60</v>
      </c>
      <c r="K92" s="2" t="s">
        <v>1325</v>
      </c>
      <c r="L92" s="2" t="s">
        <v>1326</v>
      </c>
      <c r="M92" s="3" t="s">
        <v>324</v>
      </c>
      <c r="O92" s="3" t="s">
        <v>64</v>
      </c>
      <c r="P92" s="3" t="s">
        <v>625</v>
      </c>
      <c r="R92" s="3" t="s">
        <v>1203</v>
      </c>
      <c r="S92" s="4">
        <v>6</v>
      </c>
      <c r="T92" s="4">
        <v>6</v>
      </c>
      <c r="U92" s="5" t="s">
        <v>1327</v>
      </c>
      <c r="V92" s="5" t="s">
        <v>1327</v>
      </c>
      <c r="W92" s="5" t="s">
        <v>1259</v>
      </c>
      <c r="X92" s="5" t="s">
        <v>1259</v>
      </c>
      <c r="Y92" s="4">
        <v>770</v>
      </c>
      <c r="Z92" s="4">
        <v>726</v>
      </c>
      <c r="AA92" s="4">
        <v>789</v>
      </c>
      <c r="AB92" s="4">
        <v>9</v>
      </c>
      <c r="AC92" s="4">
        <v>9</v>
      </c>
      <c r="AD92" s="4">
        <v>37</v>
      </c>
      <c r="AE92" s="4">
        <v>39</v>
      </c>
      <c r="AF92" s="4">
        <v>12</v>
      </c>
      <c r="AG92" s="4">
        <v>13</v>
      </c>
      <c r="AH92" s="4">
        <v>6</v>
      </c>
      <c r="AI92" s="4">
        <v>6</v>
      </c>
      <c r="AJ92" s="4">
        <v>15</v>
      </c>
      <c r="AK92" s="4">
        <v>16</v>
      </c>
      <c r="AL92" s="4">
        <v>8</v>
      </c>
      <c r="AM92" s="4">
        <v>8</v>
      </c>
      <c r="AN92" s="4">
        <v>3</v>
      </c>
      <c r="AO92" s="4">
        <v>3</v>
      </c>
      <c r="AP92" s="3" t="s">
        <v>58</v>
      </c>
      <c r="AQ92" s="3" t="s">
        <v>68</v>
      </c>
      <c r="AR92" s="6" t="str">
        <f>HYPERLINK("http://catalog.hathitrust.org/Record/001150354","HathiTrust Record")</f>
        <v>HathiTrust Record</v>
      </c>
      <c r="AS92" s="6" t="str">
        <f>HYPERLINK("https://creighton-primo.hosted.exlibrisgroup.com/primo-explore/search?tab=default_tab&amp;search_scope=EVERYTHING&amp;vid=01CRU&amp;lang=en_US&amp;offset=0&amp;query=any,contains,991000136899702656","Catalog Record")</f>
        <v>Catalog Record</v>
      </c>
      <c r="AT92" s="6" t="str">
        <f>HYPERLINK("http://www.worldcat.org/oclc/56761","WorldCat Record")</f>
        <v>WorldCat Record</v>
      </c>
      <c r="AU92" s="3" t="s">
        <v>1328</v>
      </c>
      <c r="AV92" s="3" t="s">
        <v>1329</v>
      </c>
      <c r="AW92" s="3" t="s">
        <v>1330</v>
      </c>
      <c r="AX92" s="3" t="s">
        <v>1330</v>
      </c>
      <c r="AY92" s="3" t="s">
        <v>1331</v>
      </c>
      <c r="AZ92" s="3" t="s">
        <v>73</v>
      </c>
      <c r="BB92" s="3" t="s">
        <v>1332</v>
      </c>
      <c r="BC92" s="3" t="s">
        <v>1333</v>
      </c>
      <c r="BD92" s="3" t="s">
        <v>1334</v>
      </c>
    </row>
    <row r="93" spans="1:56" ht="38.25" customHeight="1" x14ac:dyDescent="0.25">
      <c r="A93" s="7" t="s">
        <v>58</v>
      </c>
      <c r="B93" s="2" t="s">
        <v>1335</v>
      </c>
      <c r="C93" s="2" t="s">
        <v>1336</v>
      </c>
      <c r="D93" s="2" t="s">
        <v>1337</v>
      </c>
      <c r="F93" s="3" t="s">
        <v>58</v>
      </c>
      <c r="G93" s="3" t="s">
        <v>59</v>
      </c>
      <c r="H93" s="3" t="s">
        <v>58</v>
      </c>
      <c r="I93" s="3" t="s">
        <v>58</v>
      </c>
      <c r="J93" s="3" t="s">
        <v>60</v>
      </c>
      <c r="K93" s="2" t="s">
        <v>1338</v>
      </c>
      <c r="L93" s="2" t="s">
        <v>1339</v>
      </c>
      <c r="M93" s="3" t="s">
        <v>975</v>
      </c>
      <c r="O93" s="3" t="s">
        <v>64</v>
      </c>
      <c r="P93" s="3" t="s">
        <v>802</v>
      </c>
      <c r="R93" s="3" t="s">
        <v>1203</v>
      </c>
      <c r="S93" s="4">
        <v>3</v>
      </c>
      <c r="T93" s="4">
        <v>3</v>
      </c>
      <c r="U93" s="5" t="s">
        <v>1258</v>
      </c>
      <c r="V93" s="5" t="s">
        <v>1258</v>
      </c>
      <c r="W93" s="5" t="s">
        <v>1340</v>
      </c>
      <c r="X93" s="5" t="s">
        <v>1340</v>
      </c>
      <c r="Y93" s="4">
        <v>490</v>
      </c>
      <c r="Z93" s="4">
        <v>470</v>
      </c>
      <c r="AA93" s="4">
        <v>471</v>
      </c>
      <c r="AB93" s="4">
        <v>3</v>
      </c>
      <c r="AC93" s="4">
        <v>3</v>
      </c>
      <c r="AD93" s="4">
        <v>21</v>
      </c>
      <c r="AE93" s="4">
        <v>21</v>
      </c>
      <c r="AF93" s="4">
        <v>7</v>
      </c>
      <c r="AG93" s="4">
        <v>7</v>
      </c>
      <c r="AH93" s="4">
        <v>6</v>
      </c>
      <c r="AI93" s="4">
        <v>6</v>
      </c>
      <c r="AJ93" s="4">
        <v>8</v>
      </c>
      <c r="AK93" s="4">
        <v>8</v>
      </c>
      <c r="AL93" s="4">
        <v>2</v>
      </c>
      <c r="AM93" s="4">
        <v>2</v>
      </c>
      <c r="AN93" s="4">
        <v>3</v>
      </c>
      <c r="AO93" s="4">
        <v>3</v>
      </c>
      <c r="AP93" s="3" t="s">
        <v>58</v>
      </c>
      <c r="AQ93" s="3" t="s">
        <v>68</v>
      </c>
      <c r="AR93" s="6" t="str">
        <f>HYPERLINK("http://catalog.hathitrust.org/Record/000803450","HathiTrust Record")</f>
        <v>HathiTrust Record</v>
      </c>
      <c r="AS93" s="6" t="str">
        <f>HYPERLINK("https://creighton-primo.hosted.exlibrisgroup.com/primo-explore/search?tab=default_tab&amp;search_scope=EVERYTHING&amp;vid=01CRU&amp;lang=en_US&amp;offset=0&amp;query=any,contains,991004465939702656","Catalog Record")</f>
        <v>Catalog Record</v>
      </c>
      <c r="AT93" s="6" t="str">
        <f>HYPERLINK("http://www.worldcat.org/oclc/3570361","WorldCat Record")</f>
        <v>WorldCat Record</v>
      </c>
      <c r="AU93" s="3" t="s">
        <v>1341</v>
      </c>
      <c r="AV93" s="3" t="s">
        <v>1342</v>
      </c>
      <c r="AW93" s="3" t="s">
        <v>1343</v>
      </c>
      <c r="AX93" s="3" t="s">
        <v>1343</v>
      </c>
      <c r="AY93" s="3" t="s">
        <v>1344</v>
      </c>
      <c r="AZ93" s="3" t="s">
        <v>73</v>
      </c>
      <c r="BB93" s="3" t="s">
        <v>1345</v>
      </c>
      <c r="BC93" s="3" t="s">
        <v>1346</v>
      </c>
      <c r="BD93" s="3" t="s">
        <v>1347</v>
      </c>
    </row>
    <row r="94" spans="1:56" ht="38.25" customHeight="1" x14ac:dyDescent="0.25">
      <c r="A94" s="7" t="s">
        <v>58</v>
      </c>
      <c r="B94" s="2" t="s">
        <v>1348</v>
      </c>
      <c r="C94" s="2" t="s">
        <v>1349</v>
      </c>
      <c r="D94" s="2" t="s">
        <v>1350</v>
      </c>
      <c r="F94" s="3" t="s">
        <v>58</v>
      </c>
      <c r="G94" s="3" t="s">
        <v>59</v>
      </c>
      <c r="H94" s="3" t="s">
        <v>58</v>
      </c>
      <c r="I94" s="3" t="s">
        <v>58</v>
      </c>
      <c r="J94" s="3" t="s">
        <v>60</v>
      </c>
      <c r="K94" s="2" t="s">
        <v>1351</v>
      </c>
      <c r="L94" s="2" t="s">
        <v>1352</v>
      </c>
      <c r="M94" s="3" t="s">
        <v>436</v>
      </c>
      <c r="O94" s="3" t="s">
        <v>64</v>
      </c>
      <c r="P94" s="3" t="s">
        <v>802</v>
      </c>
      <c r="R94" s="3" t="s">
        <v>1203</v>
      </c>
      <c r="S94" s="4">
        <v>6</v>
      </c>
      <c r="T94" s="4">
        <v>6</v>
      </c>
      <c r="U94" s="5" t="s">
        <v>1353</v>
      </c>
      <c r="V94" s="5" t="s">
        <v>1353</v>
      </c>
      <c r="W94" s="5" t="s">
        <v>1259</v>
      </c>
      <c r="X94" s="5" t="s">
        <v>1259</v>
      </c>
      <c r="Y94" s="4">
        <v>517</v>
      </c>
      <c r="Z94" s="4">
        <v>485</v>
      </c>
      <c r="AA94" s="4">
        <v>491</v>
      </c>
      <c r="AB94" s="4">
        <v>5</v>
      </c>
      <c r="AC94" s="4">
        <v>5</v>
      </c>
      <c r="AD94" s="4">
        <v>21</v>
      </c>
      <c r="AE94" s="4">
        <v>21</v>
      </c>
      <c r="AF94" s="4">
        <v>7</v>
      </c>
      <c r="AG94" s="4">
        <v>7</v>
      </c>
      <c r="AH94" s="4">
        <v>4</v>
      </c>
      <c r="AI94" s="4">
        <v>4</v>
      </c>
      <c r="AJ94" s="4">
        <v>8</v>
      </c>
      <c r="AK94" s="4">
        <v>8</v>
      </c>
      <c r="AL94" s="4">
        <v>4</v>
      </c>
      <c r="AM94" s="4">
        <v>4</v>
      </c>
      <c r="AN94" s="4">
        <v>1</v>
      </c>
      <c r="AO94" s="4">
        <v>1</v>
      </c>
      <c r="AP94" s="3" t="s">
        <v>58</v>
      </c>
      <c r="AQ94" s="3" t="s">
        <v>68</v>
      </c>
      <c r="AR94" s="6" t="str">
        <f>HYPERLINK("http://catalog.hathitrust.org/Record/006741117","HathiTrust Record")</f>
        <v>HathiTrust Record</v>
      </c>
      <c r="AS94" s="6" t="str">
        <f>HYPERLINK("https://creighton-primo.hosted.exlibrisgroup.com/primo-explore/search?tab=default_tab&amp;search_scope=EVERYTHING&amp;vid=01CRU&amp;lang=en_US&amp;offset=0&amp;query=any,contains,991003460819702656","Catalog Record")</f>
        <v>Catalog Record</v>
      </c>
      <c r="AT94" s="6" t="str">
        <f>HYPERLINK("http://www.worldcat.org/oclc/1002437","WorldCat Record")</f>
        <v>WorldCat Record</v>
      </c>
      <c r="AU94" s="3" t="s">
        <v>1354</v>
      </c>
      <c r="AV94" s="3" t="s">
        <v>1355</v>
      </c>
      <c r="AW94" s="3" t="s">
        <v>1356</v>
      </c>
      <c r="AX94" s="3" t="s">
        <v>1356</v>
      </c>
      <c r="AY94" s="3" t="s">
        <v>1357</v>
      </c>
      <c r="AZ94" s="3" t="s">
        <v>73</v>
      </c>
      <c r="BB94" s="3" t="s">
        <v>1358</v>
      </c>
      <c r="BC94" s="3" t="s">
        <v>1359</v>
      </c>
      <c r="BD94" s="3" t="s">
        <v>1360</v>
      </c>
    </row>
    <row r="95" spans="1:56" ht="38.25" customHeight="1" x14ac:dyDescent="0.25">
      <c r="A95" s="7" t="s">
        <v>58</v>
      </c>
      <c r="B95" s="2" t="s">
        <v>1361</v>
      </c>
      <c r="C95" s="2" t="s">
        <v>1362</v>
      </c>
      <c r="D95" s="2" t="s">
        <v>1363</v>
      </c>
      <c r="F95" s="3" t="s">
        <v>58</v>
      </c>
      <c r="G95" s="3" t="s">
        <v>59</v>
      </c>
      <c r="H95" s="3" t="s">
        <v>58</v>
      </c>
      <c r="I95" s="3" t="s">
        <v>58</v>
      </c>
      <c r="J95" s="3" t="s">
        <v>60</v>
      </c>
      <c r="L95" s="2" t="s">
        <v>1364</v>
      </c>
      <c r="M95" s="3" t="s">
        <v>113</v>
      </c>
      <c r="O95" s="3" t="s">
        <v>64</v>
      </c>
      <c r="P95" s="3" t="s">
        <v>114</v>
      </c>
      <c r="R95" s="3" t="s">
        <v>1203</v>
      </c>
      <c r="S95" s="4">
        <v>4</v>
      </c>
      <c r="T95" s="4">
        <v>4</v>
      </c>
      <c r="U95" s="5" t="s">
        <v>1365</v>
      </c>
      <c r="V95" s="5" t="s">
        <v>1365</v>
      </c>
      <c r="W95" s="5" t="s">
        <v>1366</v>
      </c>
      <c r="X95" s="5" t="s">
        <v>1366</v>
      </c>
      <c r="Y95" s="4">
        <v>456</v>
      </c>
      <c r="Z95" s="4">
        <v>316</v>
      </c>
      <c r="AA95" s="4">
        <v>322</v>
      </c>
      <c r="AB95" s="4">
        <v>4</v>
      </c>
      <c r="AC95" s="4">
        <v>4</v>
      </c>
      <c r="AD95" s="4">
        <v>18</v>
      </c>
      <c r="AE95" s="4">
        <v>18</v>
      </c>
      <c r="AF95" s="4">
        <v>7</v>
      </c>
      <c r="AG95" s="4">
        <v>7</v>
      </c>
      <c r="AH95" s="4">
        <v>6</v>
      </c>
      <c r="AI95" s="4">
        <v>6</v>
      </c>
      <c r="AJ95" s="4">
        <v>8</v>
      </c>
      <c r="AK95" s="4">
        <v>8</v>
      </c>
      <c r="AL95" s="4">
        <v>3</v>
      </c>
      <c r="AM95" s="4">
        <v>3</v>
      </c>
      <c r="AN95" s="4">
        <v>0</v>
      </c>
      <c r="AO95" s="4">
        <v>0</v>
      </c>
      <c r="AP95" s="3" t="s">
        <v>58</v>
      </c>
      <c r="AQ95" s="3" t="s">
        <v>58</v>
      </c>
      <c r="AS95" s="6" t="str">
        <f>HYPERLINK("https://creighton-primo.hosted.exlibrisgroup.com/primo-explore/search?tab=default_tab&amp;search_scope=EVERYTHING&amp;vid=01CRU&amp;lang=en_US&amp;offset=0&amp;query=any,contains,991005115579702656","Catalog Record")</f>
        <v>Catalog Record</v>
      </c>
      <c r="AT95" s="6" t="str">
        <f>HYPERLINK("http://www.worldcat.org/oclc/7462131","WorldCat Record")</f>
        <v>WorldCat Record</v>
      </c>
      <c r="AU95" s="3" t="s">
        <v>1367</v>
      </c>
      <c r="AV95" s="3" t="s">
        <v>1368</v>
      </c>
      <c r="AW95" s="3" t="s">
        <v>1369</v>
      </c>
      <c r="AX95" s="3" t="s">
        <v>1369</v>
      </c>
      <c r="AY95" s="3" t="s">
        <v>1370</v>
      </c>
      <c r="AZ95" s="3" t="s">
        <v>73</v>
      </c>
      <c r="BB95" s="3" t="s">
        <v>1371</v>
      </c>
      <c r="BC95" s="3" t="s">
        <v>1372</v>
      </c>
      <c r="BD95" s="3" t="s">
        <v>1373</v>
      </c>
    </row>
    <row r="96" spans="1:56" ht="38.25" customHeight="1" x14ac:dyDescent="0.25">
      <c r="A96" s="7" t="s">
        <v>58</v>
      </c>
      <c r="B96" s="2" t="s">
        <v>1374</v>
      </c>
      <c r="C96" s="2" t="s">
        <v>1375</v>
      </c>
      <c r="D96" s="2" t="s">
        <v>1376</v>
      </c>
      <c r="F96" s="3" t="s">
        <v>58</v>
      </c>
      <c r="G96" s="3" t="s">
        <v>59</v>
      </c>
      <c r="H96" s="3" t="s">
        <v>58</v>
      </c>
      <c r="I96" s="3" t="s">
        <v>58</v>
      </c>
      <c r="J96" s="3" t="s">
        <v>60</v>
      </c>
      <c r="K96" s="2" t="s">
        <v>1377</v>
      </c>
      <c r="L96" s="2" t="s">
        <v>1378</v>
      </c>
      <c r="M96" s="3" t="s">
        <v>787</v>
      </c>
      <c r="O96" s="3" t="s">
        <v>64</v>
      </c>
      <c r="P96" s="3" t="s">
        <v>580</v>
      </c>
      <c r="Q96" s="2" t="s">
        <v>1379</v>
      </c>
      <c r="R96" s="3" t="s">
        <v>1203</v>
      </c>
      <c r="S96" s="4">
        <v>2</v>
      </c>
      <c r="T96" s="4">
        <v>2</v>
      </c>
      <c r="U96" s="5" t="s">
        <v>1380</v>
      </c>
      <c r="V96" s="5" t="s">
        <v>1380</v>
      </c>
      <c r="W96" s="5" t="s">
        <v>1381</v>
      </c>
      <c r="X96" s="5" t="s">
        <v>1381</v>
      </c>
      <c r="Y96" s="4">
        <v>547</v>
      </c>
      <c r="Z96" s="4">
        <v>433</v>
      </c>
      <c r="AA96" s="4">
        <v>442</v>
      </c>
      <c r="AB96" s="4">
        <v>4</v>
      </c>
      <c r="AC96" s="4">
        <v>4</v>
      </c>
      <c r="AD96" s="4">
        <v>26</v>
      </c>
      <c r="AE96" s="4">
        <v>26</v>
      </c>
      <c r="AF96" s="4">
        <v>10</v>
      </c>
      <c r="AG96" s="4">
        <v>10</v>
      </c>
      <c r="AH96" s="4">
        <v>7</v>
      </c>
      <c r="AI96" s="4">
        <v>7</v>
      </c>
      <c r="AJ96" s="4">
        <v>13</v>
      </c>
      <c r="AK96" s="4">
        <v>13</v>
      </c>
      <c r="AL96" s="4">
        <v>3</v>
      </c>
      <c r="AM96" s="4">
        <v>3</v>
      </c>
      <c r="AN96" s="4">
        <v>0</v>
      </c>
      <c r="AO96" s="4">
        <v>0</v>
      </c>
      <c r="AP96" s="3" t="s">
        <v>58</v>
      </c>
      <c r="AQ96" s="3" t="s">
        <v>68</v>
      </c>
      <c r="AR96" s="6" t="str">
        <f>HYPERLINK("http://catalog.hathitrust.org/Record/004554031","HathiTrust Record")</f>
        <v>HathiTrust Record</v>
      </c>
      <c r="AS96" s="6" t="str">
        <f>HYPERLINK("https://creighton-primo.hosted.exlibrisgroup.com/primo-explore/search?tab=default_tab&amp;search_scope=EVERYTHING&amp;vid=01CRU&amp;lang=en_US&amp;offset=0&amp;query=any,contains,991002481819702656","Catalog Record")</f>
        <v>Catalog Record</v>
      </c>
      <c r="AT96" s="6" t="str">
        <f>HYPERLINK("http://www.worldcat.org/oclc/32311195","WorldCat Record")</f>
        <v>WorldCat Record</v>
      </c>
      <c r="AU96" s="3" t="s">
        <v>1382</v>
      </c>
      <c r="AV96" s="3" t="s">
        <v>1383</v>
      </c>
      <c r="AW96" s="3" t="s">
        <v>1384</v>
      </c>
      <c r="AX96" s="3" t="s">
        <v>1384</v>
      </c>
      <c r="AY96" s="3" t="s">
        <v>1385</v>
      </c>
      <c r="AZ96" s="3" t="s">
        <v>73</v>
      </c>
      <c r="BB96" s="3" t="s">
        <v>1386</v>
      </c>
      <c r="BC96" s="3" t="s">
        <v>1387</v>
      </c>
      <c r="BD96" s="3" t="s">
        <v>1388</v>
      </c>
    </row>
    <row r="97" spans="1:56" ht="38.25" customHeight="1" x14ac:dyDescent="0.25">
      <c r="A97" s="7" t="s">
        <v>58</v>
      </c>
      <c r="B97" s="2" t="s">
        <v>1389</v>
      </c>
      <c r="C97" s="2" t="s">
        <v>1390</v>
      </c>
      <c r="D97" s="2" t="s">
        <v>1391</v>
      </c>
      <c r="F97" s="3" t="s">
        <v>58</v>
      </c>
      <c r="G97" s="3" t="s">
        <v>59</v>
      </c>
      <c r="H97" s="3" t="s">
        <v>58</v>
      </c>
      <c r="I97" s="3" t="s">
        <v>58</v>
      </c>
      <c r="J97" s="3" t="s">
        <v>60</v>
      </c>
      <c r="K97" s="2" t="s">
        <v>1392</v>
      </c>
      <c r="L97" s="2" t="s">
        <v>1393</v>
      </c>
      <c r="M97" s="3" t="s">
        <v>436</v>
      </c>
      <c r="O97" s="3" t="s">
        <v>64</v>
      </c>
      <c r="P97" s="3" t="s">
        <v>65</v>
      </c>
      <c r="R97" s="3" t="s">
        <v>1203</v>
      </c>
      <c r="S97" s="4">
        <v>4</v>
      </c>
      <c r="T97" s="4">
        <v>4</v>
      </c>
      <c r="U97" s="5" t="s">
        <v>1394</v>
      </c>
      <c r="V97" s="5" t="s">
        <v>1394</v>
      </c>
      <c r="W97" s="5" t="s">
        <v>1217</v>
      </c>
      <c r="X97" s="5" t="s">
        <v>1217</v>
      </c>
      <c r="Y97" s="4">
        <v>407</v>
      </c>
      <c r="Z97" s="4">
        <v>312</v>
      </c>
      <c r="AA97" s="4">
        <v>319</v>
      </c>
      <c r="AB97" s="4">
        <v>3</v>
      </c>
      <c r="AC97" s="4">
        <v>3</v>
      </c>
      <c r="AD97" s="4">
        <v>9</v>
      </c>
      <c r="AE97" s="4">
        <v>9</v>
      </c>
      <c r="AF97" s="4">
        <v>2</v>
      </c>
      <c r="AG97" s="4">
        <v>2</v>
      </c>
      <c r="AH97" s="4">
        <v>3</v>
      </c>
      <c r="AI97" s="4">
        <v>3</v>
      </c>
      <c r="AJ97" s="4">
        <v>5</v>
      </c>
      <c r="AK97" s="4">
        <v>5</v>
      </c>
      <c r="AL97" s="4">
        <v>2</v>
      </c>
      <c r="AM97" s="4">
        <v>2</v>
      </c>
      <c r="AN97" s="4">
        <v>0</v>
      </c>
      <c r="AO97" s="4">
        <v>0</v>
      </c>
      <c r="AP97" s="3" t="s">
        <v>58</v>
      </c>
      <c r="AQ97" s="3" t="s">
        <v>68</v>
      </c>
      <c r="AR97" s="6" t="str">
        <f>HYPERLINK("http://catalog.hathitrust.org/Record/001151448","HathiTrust Record")</f>
        <v>HathiTrust Record</v>
      </c>
      <c r="AS97" s="6" t="str">
        <f>HYPERLINK("https://creighton-primo.hosted.exlibrisgroup.com/primo-explore/search?tab=default_tab&amp;search_scope=EVERYTHING&amp;vid=01CRU&amp;lang=en_US&amp;offset=0&amp;query=any,contains,991003328399702656","Catalog Record")</f>
        <v>Catalog Record</v>
      </c>
      <c r="AT97" s="6" t="str">
        <f>HYPERLINK("http://www.worldcat.org/oclc/858437","WorldCat Record")</f>
        <v>WorldCat Record</v>
      </c>
      <c r="AU97" s="3" t="s">
        <v>1395</v>
      </c>
      <c r="AV97" s="3" t="s">
        <v>1396</v>
      </c>
      <c r="AW97" s="3" t="s">
        <v>1397</v>
      </c>
      <c r="AX97" s="3" t="s">
        <v>1397</v>
      </c>
      <c r="AY97" s="3" t="s">
        <v>1398</v>
      </c>
      <c r="AZ97" s="3" t="s">
        <v>73</v>
      </c>
      <c r="BB97" s="3" t="s">
        <v>1399</v>
      </c>
      <c r="BC97" s="3" t="s">
        <v>1400</v>
      </c>
      <c r="BD97" s="3" t="s">
        <v>1401</v>
      </c>
    </row>
    <row r="98" spans="1:56" ht="38.25" customHeight="1" x14ac:dyDescent="0.25">
      <c r="A98" s="7" t="s">
        <v>58</v>
      </c>
      <c r="B98" s="2" t="s">
        <v>1402</v>
      </c>
      <c r="C98" s="2" t="s">
        <v>1403</v>
      </c>
      <c r="D98" s="2" t="s">
        <v>1404</v>
      </c>
      <c r="F98" s="3" t="s">
        <v>58</v>
      </c>
      <c r="G98" s="3" t="s">
        <v>59</v>
      </c>
      <c r="H98" s="3" t="s">
        <v>58</v>
      </c>
      <c r="I98" s="3" t="s">
        <v>58</v>
      </c>
      <c r="J98" s="3" t="s">
        <v>60</v>
      </c>
      <c r="K98" s="2" t="s">
        <v>1405</v>
      </c>
      <c r="L98" s="2" t="s">
        <v>1406</v>
      </c>
      <c r="M98" s="3" t="s">
        <v>324</v>
      </c>
      <c r="O98" s="3" t="s">
        <v>64</v>
      </c>
      <c r="P98" s="3" t="s">
        <v>162</v>
      </c>
      <c r="R98" s="3" t="s">
        <v>1203</v>
      </c>
      <c r="S98" s="4">
        <v>1</v>
      </c>
      <c r="T98" s="4">
        <v>1</v>
      </c>
      <c r="U98" s="5" t="s">
        <v>1407</v>
      </c>
      <c r="V98" s="5" t="s">
        <v>1407</v>
      </c>
      <c r="W98" s="5" t="s">
        <v>1217</v>
      </c>
      <c r="X98" s="5" t="s">
        <v>1217</v>
      </c>
      <c r="Y98" s="4">
        <v>548</v>
      </c>
      <c r="Z98" s="4">
        <v>435</v>
      </c>
      <c r="AA98" s="4">
        <v>453</v>
      </c>
      <c r="AB98" s="4">
        <v>2</v>
      </c>
      <c r="AC98" s="4">
        <v>2</v>
      </c>
      <c r="AD98" s="4">
        <v>20</v>
      </c>
      <c r="AE98" s="4">
        <v>20</v>
      </c>
      <c r="AF98" s="4">
        <v>4</v>
      </c>
      <c r="AG98" s="4">
        <v>4</v>
      </c>
      <c r="AH98" s="4">
        <v>6</v>
      </c>
      <c r="AI98" s="4">
        <v>6</v>
      </c>
      <c r="AJ98" s="4">
        <v>11</v>
      </c>
      <c r="AK98" s="4">
        <v>11</v>
      </c>
      <c r="AL98" s="4">
        <v>1</v>
      </c>
      <c r="AM98" s="4">
        <v>1</v>
      </c>
      <c r="AN98" s="4">
        <v>2</v>
      </c>
      <c r="AO98" s="4">
        <v>2</v>
      </c>
      <c r="AP98" s="3" t="s">
        <v>58</v>
      </c>
      <c r="AQ98" s="3" t="s">
        <v>58</v>
      </c>
      <c r="AS98" s="6" t="str">
        <f>HYPERLINK("https://creighton-primo.hosted.exlibrisgroup.com/primo-explore/search?tab=default_tab&amp;search_scope=EVERYTHING&amp;vid=01CRU&amp;lang=en_US&amp;offset=0&amp;query=any,contains,991000823789702656","Catalog Record")</f>
        <v>Catalog Record</v>
      </c>
      <c r="AT98" s="6" t="str">
        <f>HYPERLINK("http://www.worldcat.org/oclc/146038","WorldCat Record")</f>
        <v>WorldCat Record</v>
      </c>
      <c r="AU98" s="3" t="s">
        <v>1408</v>
      </c>
      <c r="AV98" s="3" t="s">
        <v>1409</v>
      </c>
      <c r="AW98" s="3" t="s">
        <v>1410</v>
      </c>
      <c r="AX98" s="3" t="s">
        <v>1410</v>
      </c>
      <c r="AY98" s="3" t="s">
        <v>1411</v>
      </c>
      <c r="AZ98" s="3" t="s">
        <v>73</v>
      </c>
      <c r="BB98" s="3" t="s">
        <v>1412</v>
      </c>
      <c r="BC98" s="3" t="s">
        <v>1413</v>
      </c>
      <c r="BD98" s="3" t="s">
        <v>1414</v>
      </c>
    </row>
    <row r="99" spans="1:56" ht="38.25" customHeight="1" x14ac:dyDescent="0.25">
      <c r="A99" s="7" t="s">
        <v>58</v>
      </c>
      <c r="B99" s="2" t="s">
        <v>1415</v>
      </c>
      <c r="C99" s="2" t="s">
        <v>1416</v>
      </c>
      <c r="D99" s="2" t="s">
        <v>1417</v>
      </c>
      <c r="F99" s="3" t="s">
        <v>58</v>
      </c>
      <c r="G99" s="3" t="s">
        <v>59</v>
      </c>
      <c r="H99" s="3" t="s">
        <v>58</v>
      </c>
      <c r="I99" s="3" t="s">
        <v>58</v>
      </c>
      <c r="J99" s="3" t="s">
        <v>60</v>
      </c>
      <c r="K99" s="2" t="s">
        <v>1418</v>
      </c>
      <c r="L99" s="2" t="s">
        <v>1419</v>
      </c>
      <c r="M99" s="3" t="s">
        <v>1420</v>
      </c>
      <c r="O99" s="3" t="s">
        <v>64</v>
      </c>
      <c r="P99" s="3" t="s">
        <v>1008</v>
      </c>
      <c r="Q99" s="2" t="s">
        <v>1421</v>
      </c>
      <c r="R99" s="3" t="s">
        <v>1203</v>
      </c>
      <c r="S99" s="4">
        <v>3</v>
      </c>
      <c r="T99" s="4">
        <v>3</v>
      </c>
      <c r="U99" s="5" t="s">
        <v>1422</v>
      </c>
      <c r="V99" s="5" t="s">
        <v>1422</v>
      </c>
      <c r="W99" s="5" t="s">
        <v>1423</v>
      </c>
      <c r="X99" s="5" t="s">
        <v>1423</v>
      </c>
      <c r="Y99" s="4">
        <v>275</v>
      </c>
      <c r="Z99" s="4">
        <v>196</v>
      </c>
      <c r="AA99" s="4">
        <v>245</v>
      </c>
      <c r="AB99" s="4">
        <v>3</v>
      </c>
      <c r="AC99" s="4">
        <v>3</v>
      </c>
      <c r="AD99" s="4">
        <v>15</v>
      </c>
      <c r="AE99" s="4">
        <v>18</v>
      </c>
      <c r="AF99" s="4">
        <v>5</v>
      </c>
      <c r="AG99" s="4">
        <v>7</v>
      </c>
      <c r="AH99" s="4">
        <v>6</v>
      </c>
      <c r="AI99" s="4">
        <v>6</v>
      </c>
      <c r="AJ99" s="4">
        <v>7</v>
      </c>
      <c r="AK99" s="4">
        <v>8</v>
      </c>
      <c r="AL99" s="4">
        <v>2</v>
      </c>
      <c r="AM99" s="4">
        <v>2</v>
      </c>
      <c r="AN99" s="4">
        <v>0</v>
      </c>
      <c r="AO99" s="4">
        <v>0</v>
      </c>
      <c r="AP99" s="3" t="s">
        <v>58</v>
      </c>
      <c r="AQ99" s="3" t="s">
        <v>68</v>
      </c>
      <c r="AR99" s="6" t="str">
        <f>HYPERLINK("http://catalog.hathitrust.org/Record/003116395","HathiTrust Record")</f>
        <v>HathiTrust Record</v>
      </c>
      <c r="AS99" s="6" t="str">
        <f>HYPERLINK("https://creighton-primo.hosted.exlibrisgroup.com/primo-explore/search?tab=default_tab&amp;search_scope=EVERYTHING&amp;vid=01CRU&amp;lang=en_US&amp;offset=0&amp;query=any,contains,991002737589702656","Catalog Record")</f>
        <v>Catalog Record</v>
      </c>
      <c r="AT99" s="6" t="str">
        <f>HYPERLINK("http://www.worldcat.org/oclc/35940586","WorldCat Record")</f>
        <v>WorldCat Record</v>
      </c>
      <c r="AU99" s="3" t="s">
        <v>1424</v>
      </c>
      <c r="AV99" s="3" t="s">
        <v>1425</v>
      </c>
      <c r="AW99" s="3" t="s">
        <v>1426</v>
      </c>
      <c r="AX99" s="3" t="s">
        <v>1426</v>
      </c>
      <c r="AY99" s="3" t="s">
        <v>1427</v>
      </c>
      <c r="AZ99" s="3" t="s">
        <v>73</v>
      </c>
      <c r="BB99" s="3" t="s">
        <v>1428</v>
      </c>
      <c r="BC99" s="3" t="s">
        <v>1429</v>
      </c>
      <c r="BD99" s="3" t="s">
        <v>1430</v>
      </c>
    </row>
    <row r="100" spans="1:56" ht="38.25" customHeight="1" x14ac:dyDescent="0.25">
      <c r="A100" s="7" t="s">
        <v>58</v>
      </c>
      <c r="B100" s="2" t="s">
        <v>1431</v>
      </c>
      <c r="C100" s="2" t="s">
        <v>1432</v>
      </c>
      <c r="D100" s="2" t="s">
        <v>1433</v>
      </c>
      <c r="F100" s="3" t="s">
        <v>58</v>
      </c>
      <c r="G100" s="3" t="s">
        <v>59</v>
      </c>
      <c r="H100" s="3" t="s">
        <v>58</v>
      </c>
      <c r="I100" s="3" t="s">
        <v>58</v>
      </c>
      <c r="J100" s="3" t="s">
        <v>60</v>
      </c>
      <c r="K100" s="2" t="s">
        <v>1434</v>
      </c>
      <c r="L100" s="2" t="s">
        <v>1435</v>
      </c>
      <c r="M100" s="3" t="s">
        <v>609</v>
      </c>
      <c r="O100" s="3" t="s">
        <v>64</v>
      </c>
      <c r="P100" s="3" t="s">
        <v>277</v>
      </c>
      <c r="R100" s="3" t="s">
        <v>1203</v>
      </c>
      <c r="S100" s="4">
        <v>3</v>
      </c>
      <c r="T100" s="4">
        <v>3</v>
      </c>
      <c r="U100" s="5" t="s">
        <v>1231</v>
      </c>
      <c r="V100" s="5" t="s">
        <v>1231</v>
      </c>
      <c r="W100" s="5" t="s">
        <v>1232</v>
      </c>
      <c r="X100" s="5" t="s">
        <v>1232</v>
      </c>
      <c r="Y100" s="4">
        <v>264</v>
      </c>
      <c r="Z100" s="4">
        <v>234</v>
      </c>
      <c r="AA100" s="4">
        <v>274</v>
      </c>
      <c r="AB100" s="4">
        <v>2</v>
      </c>
      <c r="AC100" s="4">
        <v>4</v>
      </c>
      <c r="AD100" s="4">
        <v>8</v>
      </c>
      <c r="AE100" s="4">
        <v>11</v>
      </c>
      <c r="AF100" s="4">
        <v>2</v>
      </c>
      <c r="AG100" s="4">
        <v>3</v>
      </c>
      <c r="AH100" s="4">
        <v>2</v>
      </c>
      <c r="AI100" s="4">
        <v>2</v>
      </c>
      <c r="AJ100" s="4">
        <v>3</v>
      </c>
      <c r="AK100" s="4">
        <v>4</v>
      </c>
      <c r="AL100" s="4">
        <v>1</v>
      </c>
      <c r="AM100" s="4">
        <v>3</v>
      </c>
      <c r="AN100" s="4">
        <v>0</v>
      </c>
      <c r="AO100" s="4">
        <v>0</v>
      </c>
      <c r="AP100" s="3" t="s">
        <v>58</v>
      </c>
      <c r="AQ100" s="3" t="s">
        <v>68</v>
      </c>
      <c r="AR100" s="6" t="str">
        <f>HYPERLINK("http://catalog.hathitrust.org/Record/006765883","HathiTrust Record")</f>
        <v>HathiTrust Record</v>
      </c>
      <c r="AS100" s="6" t="str">
        <f>HYPERLINK("https://creighton-primo.hosted.exlibrisgroup.com/primo-explore/search?tab=default_tab&amp;search_scope=EVERYTHING&amp;vid=01CRU&amp;lang=en_US&amp;offset=0&amp;query=any,contains,991003545559702656","Catalog Record")</f>
        <v>Catalog Record</v>
      </c>
      <c r="AT100" s="6" t="str">
        <f>HYPERLINK("http://www.worldcat.org/oclc/1111425","WorldCat Record")</f>
        <v>WorldCat Record</v>
      </c>
      <c r="AU100" s="3" t="s">
        <v>1436</v>
      </c>
      <c r="AV100" s="3" t="s">
        <v>1437</v>
      </c>
      <c r="AW100" s="3" t="s">
        <v>1438</v>
      </c>
      <c r="AX100" s="3" t="s">
        <v>1438</v>
      </c>
      <c r="AY100" s="3" t="s">
        <v>1439</v>
      </c>
      <c r="AZ100" s="3" t="s">
        <v>73</v>
      </c>
      <c r="BB100" s="3" t="s">
        <v>1440</v>
      </c>
      <c r="BC100" s="3" t="s">
        <v>1441</v>
      </c>
      <c r="BD100" s="3" t="s">
        <v>1442</v>
      </c>
    </row>
    <row r="101" spans="1:56" ht="38.25" customHeight="1" x14ac:dyDescent="0.25">
      <c r="A101" s="7" t="s">
        <v>58</v>
      </c>
      <c r="B101" s="2" t="s">
        <v>1443</v>
      </c>
      <c r="C101" s="2" t="s">
        <v>1444</v>
      </c>
      <c r="D101" s="2" t="s">
        <v>1445</v>
      </c>
      <c r="F101" s="3" t="s">
        <v>58</v>
      </c>
      <c r="G101" s="3" t="s">
        <v>59</v>
      </c>
      <c r="H101" s="3" t="s">
        <v>58</v>
      </c>
      <c r="I101" s="3" t="s">
        <v>58</v>
      </c>
      <c r="J101" s="3" t="s">
        <v>60</v>
      </c>
      <c r="K101" s="2" t="s">
        <v>1446</v>
      </c>
      <c r="L101" s="2" t="s">
        <v>1447</v>
      </c>
      <c r="M101" s="3" t="s">
        <v>1448</v>
      </c>
      <c r="O101" s="3" t="s">
        <v>64</v>
      </c>
      <c r="P101" s="3" t="s">
        <v>65</v>
      </c>
      <c r="R101" s="3" t="s">
        <v>1449</v>
      </c>
      <c r="S101" s="4">
        <v>1</v>
      </c>
      <c r="T101" s="4">
        <v>1</v>
      </c>
      <c r="U101" s="5" t="s">
        <v>1450</v>
      </c>
      <c r="V101" s="5" t="s">
        <v>1450</v>
      </c>
      <c r="W101" s="5" t="s">
        <v>1217</v>
      </c>
      <c r="X101" s="5" t="s">
        <v>1217</v>
      </c>
      <c r="Y101" s="4">
        <v>346</v>
      </c>
      <c r="Z101" s="4">
        <v>286</v>
      </c>
      <c r="AA101" s="4">
        <v>847</v>
      </c>
      <c r="AB101" s="4">
        <v>4</v>
      </c>
      <c r="AC101" s="4">
        <v>9</v>
      </c>
      <c r="AD101" s="4">
        <v>13</v>
      </c>
      <c r="AE101" s="4">
        <v>44</v>
      </c>
      <c r="AF101" s="4">
        <v>4</v>
      </c>
      <c r="AG101" s="4">
        <v>17</v>
      </c>
      <c r="AH101" s="4">
        <v>2</v>
      </c>
      <c r="AI101" s="4">
        <v>10</v>
      </c>
      <c r="AJ101" s="4">
        <v>5</v>
      </c>
      <c r="AK101" s="4">
        <v>21</v>
      </c>
      <c r="AL101" s="4">
        <v>3</v>
      </c>
      <c r="AM101" s="4">
        <v>8</v>
      </c>
      <c r="AN101" s="4">
        <v>0</v>
      </c>
      <c r="AO101" s="4">
        <v>0</v>
      </c>
      <c r="AP101" s="3" t="s">
        <v>68</v>
      </c>
      <c r="AQ101" s="3" t="s">
        <v>58</v>
      </c>
      <c r="AR101" s="6" t="str">
        <f>HYPERLINK("http://catalog.hathitrust.org/Record/004437589","HathiTrust Record")</f>
        <v>HathiTrust Record</v>
      </c>
      <c r="AS101" s="6" t="str">
        <f>HYPERLINK("https://creighton-primo.hosted.exlibrisgroup.com/primo-explore/search?tab=default_tab&amp;search_scope=EVERYTHING&amp;vid=01CRU&amp;lang=en_US&amp;offset=0&amp;query=any,contains,991002828789702656","Catalog Record")</f>
        <v>Catalog Record</v>
      </c>
      <c r="AT101" s="6" t="str">
        <f>HYPERLINK("http://www.worldcat.org/oclc/476803","WorldCat Record")</f>
        <v>WorldCat Record</v>
      </c>
      <c r="AU101" s="3" t="s">
        <v>1451</v>
      </c>
      <c r="AV101" s="3" t="s">
        <v>1452</v>
      </c>
      <c r="AW101" s="3" t="s">
        <v>1453</v>
      </c>
      <c r="AX101" s="3" t="s">
        <v>1453</v>
      </c>
      <c r="AY101" s="3" t="s">
        <v>1454</v>
      </c>
      <c r="AZ101" s="3" t="s">
        <v>73</v>
      </c>
      <c r="BC101" s="3" t="s">
        <v>1455</v>
      </c>
      <c r="BD101" s="3" t="s">
        <v>1456</v>
      </c>
    </row>
    <row r="102" spans="1:56" ht="38.25" customHeight="1" x14ac:dyDescent="0.25">
      <c r="A102" s="7" t="s">
        <v>58</v>
      </c>
      <c r="B102" s="2" t="s">
        <v>1457</v>
      </c>
      <c r="C102" s="2" t="s">
        <v>1458</v>
      </c>
      <c r="D102" s="2" t="s">
        <v>1459</v>
      </c>
      <c r="F102" s="3" t="s">
        <v>58</v>
      </c>
      <c r="G102" s="3" t="s">
        <v>59</v>
      </c>
      <c r="H102" s="3" t="s">
        <v>58</v>
      </c>
      <c r="I102" s="3" t="s">
        <v>58</v>
      </c>
      <c r="J102" s="3" t="s">
        <v>60</v>
      </c>
      <c r="K102" s="2" t="s">
        <v>1446</v>
      </c>
      <c r="L102" s="2" t="s">
        <v>1460</v>
      </c>
      <c r="M102" s="3" t="s">
        <v>1461</v>
      </c>
      <c r="O102" s="3" t="s">
        <v>64</v>
      </c>
      <c r="P102" s="3" t="s">
        <v>65</v>
      </c>
      <c r="R102" s="3" t="s">
        <v>1449</v>
      </c>
      <c r="S102" s="4">
        <v>1</v>
      </c>
      <c r="T102" s="4">
        <v>1</v>
      </c>
      <c r="U102" s="5" t="s">
        <v>1450</v>
      </c>
      <c r="V102" s="5" t="s">
        <v>1450</v>
      </c>
      <c r="W102" s="5" t="s">
        <v>1217</v>
      </c>
      <c r="X102" s="5" t="s">
        <v>1217</v>
      </c>
      <c r="Y102" s="4">
        <v>290</v>
      </c>
      <c r="Z102" s="4">
        <v>271</v>
      </c>
      <c r="AA102" s="4">
        <v>1022</v>
      </c>
      <c r="AB102" s="4">
        <v>5</v>
      </c>
      <c r="AC102" s="4">
        <v>10</v>
      </c>
      <c r="AD102" s="4">
        <v>22</v>
      </c>
      <c r="AE102" s="4">
        <v>57</v>
      </c>
      <c r="AF102" s="4">
        <v>7</v>
      </c>
      <c r="AG102" s="4">
        <v>19</v>
      </c>
      <c r="AH102" s="4">
        <v>6</v>
      </c>
      <c r="AI102" s="4">
        <v>9</v>
      </c>
      <c r="AJ102" s="4">
        <v>12</v>
      </c>
      <c r="AK102" s="4">
        <v>23</v>
      </c>
      <c r="AL102" s="4">
        <v>4</v>
      </c>
      <c r="AM102" s="4">
        <v>8</v>
      </c>
      <c r="AN102" s="4">
        <v>0</v>
      </c>
      <c r="AO102" s="4">
        <v>9</v>
      </c>
      <c r="AP102" s="3" t="s">
        <v>68</v>
      </c>
      <c r="AQ102" s="3" t="s">
        <v>58</v>
      </c>
      <c r="AR102" s="6" t="str">
        <f>HYPERLINK("http://catalog.hathitrust.org/Record/004437578","HathiTrust Record")</f>
        <v>HathiTrust Record</v>
      </c>
      <c r="AS102" s="6" t="str">
        <f>HYPERLINK("https://creighton-primo.hosted.exlibrisgroup.com/primo-explore/search?tab=default_tab&amp;search_scope=EVERYTHING&amp;vid=01CRU&amp;lang=en_US&amp;offset=0&amp;query=any,contains,991004672509702656","Catalog Record")</f>
        <v>Catalog Record</v>
      </c>
      <c r="AT102" s="6" t="str">
        <f>HYPERLINK("http://www.worldcat.org/oclc/4517279","WorldCat Record")</f>
        <v>WorldCat Record</v>
      </c>
      <c r="AU102" s="3" t="s">
        <v>1462</v>
      </c>
      <c r="AV102" s="3" t="s">
        <v>1463</v>
      </c>
      <c r="AW102" s="3" t="s">
        <v>1464</v>
      </c>
      <c r="AX102" s="3" t="s">
        <v>1464</v>
      </c>
      <c r="AY102" s="3" t="s">
        <v>1465</v>
      </c>
      <c r="AZ102" s="3" t="s">
        <v>73</v>
      </c>
      <c r="BC102" s="3" t="s">
        <v>1466</v>
      </c>
      <c r="BD102" s="3" t="s">
        <v>1467</v>
      </c>
    </row>
    <row r="103" spans="1:56" ht="38.25" customHeight="1" x14ac:dyDescent="0.25">
      <c r="A103" s="7" t="s">
        <v>58</v>
      </c>
      <c r="B103" s="2" t="s">
        <v>1468</v>
      </c>
      <c r="C103" s="2" t="s">
        <v>1469</v>
      </c>
      <c r="D103" s="2" t="s">
        <v>1470</v>
      </c>
      <c r="F103" s="3" t="s">
        <v>58</v>
      </c>
      <c r="G103" s="3" t="s">
        <v>59</v>
      </c>
      <c r="H103" s="3" t="s">
        <v>58</v>
      </c>
      <c r="I103" s="3" t="s">
        <v>58</v>
      </c>
      <c r="J103" s="3" t="s">
        <v>60</v>
      </c>
      <c r="K103" s="2" t="s">
        <v>1471</v>
      </c>
      <c r="L103" s="2" t="s">
        <v>1472</v>
      </c>
      <c r="M103" s="3" t="s">
        <v>1023</v>
      </c>
      <c r="O103" s="3" t="s">
        <v>64</v>
      </c>
      <c r="P103" s="3" t="s">
        <v>114</v>
      </c>
      <c r="Q103" s="2" t="s">
        <v>1473</v>
      </c>
      <c r="R103" s="3" t="s">
        <v>1449</v>
      </c>
      <c r="S103" s="4">
        <v>1</v>
      </c>
      <c r="T103" s="4">
        <v>1</v>
      </c>
      <c r="U103" s="5" t="s">
        <v>1474</v>
      </c>
      <c r="V103" s="5" t="s">
        <v>1474</v>
      </c>
      <c r="W103" s="5" t="s">
        <v>1217</v>
      </c>
      <c r="X103" s="5" t="s">
        <v>1217</v>
      </c>
      <c r="Y103" s="4">
        <v>467</v>
      </c>
      <c r="Z103" s="4">
        <v>279</v>
      </c>
      <c r="AA103" s="4">
        <v>318</v>
      </c>
      <c r="AB103" s="4">
        <v>3</v>
      </c>
      <c r="AC103" s="4">
        <v>3</v>
      </c>
      <c r="AD103" s="4">
        <v>13</v>
      </c>
      <c r="AE103" s="4">
        <v>14</v>
      </c>
      <c r="AF103" s="4">
        <v>3</v>
      </c>
      <c r="AG103" s="4">
        <v>3</v>
      </c>
      <c r="AH103" s="4">
        <v>5</v>
      </c>
      <c r="AI103" s="4">
        <v>5</v>
      </c>
      <c r="AJ103" s="4">
        <v>7</v>
      </c>
      <c r="AK103" s="4">
        <v>8</v>
      </c>
      <c r="AL103" s="4">
        <v>2</v>
      </c>
      <c r="AM103" s="4">
        <v>2</v>
      </c>
      <c r="AN103" s="4">
        <v>0</v>
      </c>
      <c r="AO103" s="4">
        <v>0</v>
      </c>
      <c r="AP103" s="3" t="s">
        <v>58</v>
      </c>
      <c r="AQ103" s="3" t="s">
        <v>58</v>
      </c>
      <c r="AS103" s="6" t="str">
        <f>HYPERLINK("https://creighton-primo.hosted.exlibrisgroup.com/primo-explore/search?tab=default_tab&amp;search_scope=EVERYTHING&amp;vid=01CRU&amp;lang=en_US&amp;offset=0&amp;query=any,contains,991003432349702656","Catalog Record")</f>
        <v>Catalog Record</v>
      </c>
      <c r="AT103" s="6" t="str">
        <f>HYPERLINK("http://www.worldcat.org/oclc/967306","WorldCat Record")</f>
        <v>WorldCat Record</v>
      </c>
      <c r="AU103" s="3" t="s">
        <v>1475</v>
      </c>
      <c r="AV103" s="3" t="s">
        <v>1476</v>
      </c>
      <c r="AW103" s="3" t="s">
        <v>1477</v>
      </c>
      <c r="AX103" s="3" t="s">
        <v>1477</v>
      </c>
      <c r="AY103" s="3" t="s">
        <v>1478</v>
      </c>
      <c r="AZ103" s="3" t="s">
        <v>73</v>
      </c>
      <c r="BB103" s="3" t="s">
        <v>1479</v>
      </c>
      <c r="BC103" s="3" t="s">
        <v>1480</v>
      </c>
      <c r="BD103" s="3" t="s">
        <v>1481</v>
      </c>
    </row>
    <row r="104" spans="1:56" ht="38.25" customHeight="1" x14ac:dyDescent="0.25">
      <c r="A104" s="7" t="s">
        <v>58</v>
      </c>
      <c r="B104" s="2" t="s">
        <v>1482</v>
      </c>
      <c r="C104" s="2" t="s">
        <v>1483</v>
      </c>
      <c r="D104" s="2" t="s">
        <v>1484</v>
      </c>
      <c r="F104" s="3" t="s">
        <v>58</v>
      </c>
      <c r="G104" s="3" t="s">
        <v>59</v>
      </c>
      <c r="H104" s="3" t="s">
        <v>58</v>
      </c>
      <c r="I104" s="3" t="s">
        <v>58</v>
      </c>
      <c r="J104" s="3" t="s">
        <v>60</v>
      </c>
      <c r="K104" s="2" t="s">
        <v>1485</v>
      </c>
      <c r="L104" s="2" t="s">
        <v>1486</v>
      </c>
      <c r="M104" s="3" t="s">
        <v>856</v>
      </c>
      <c r="O104" s="3" t="s">
        <v>64</v>
      </c>
      <c r="P104" s="3" t="s">
        <v>65</v>
      </c>
      <c r="R104" s="3" t="s">
        <v>1449</v>
      </c>
      <c r="S104" s="4">
        <v>5</v>
      </c>
      <c r="T104" s="4">
        <v>5</v>
      </c>
      <c r="U104" s="5" t="s">
        <v>1487</v>
      </c>
      <c r="V104" s="5" t="s">
        <v>1487</v>
      </c>
      <c r="W104" s="5" t="s">
        <v>1488</v>
      </c>
      <c r="X104" s="5" t="s">
        <v>1488</v>
      </c>
      <c r="Y104" s="4">
        <v>493</v>
      </c>
      <c r="Z104" s="4">
        <v>464</v>
      </c>
      <c r="AA104" s="4">
        <v>588</v>
      </c>
      <c r="AB104" s="4">
        <v>5</v>
      </c>
      <c r="AC104" s="4">
        <v>7</v>
      </c>
      <c r="AD104" s="4">
        <v>14</v>
      </c>
      <c r="AE104" s="4">
        <v>22</v>
      </c>
      <c r="AF104" s="4">
        <v>4</v>
      </c>
      <c r="AG104" s="4">
        <v>6</v>
      </c>
      <c r="AH104" s="4">
        <v>6</v>
      </c>
      <c r="AI104" s="4">
        <v>9</v>
      </c>
      <c r="AJ104" s="4">
        <v>6</v>
      </c>
      <c r="AK104" s="4">
        <v>9</v>
      </c>
      <c r="AL104" s="4">
        <v>1</v>
      </c>
      <c r="AM104" s="4">
        <v>3</v>
      </c>
      <c r="AN104" s="4">
        <v>0</v>
      </c>
      <c r="AO104" s="4">
        <v>0</v>
      </c>
      <c r="AP104" s="3" t="s">
        <v>58</v>
      </c>
      <c r="AQ104" s="3" t="s">
        <v>68</v>
      </c>
      <c r="AR104" s="6" t="str">
        <f>HYPERLINK("http://catalog.hathitrust.org/Record/004438039","HathiTrust Record")</f>
        <v>HathiTrust Record</v>
      </c>
      <c r="AS104" s="6" t="str">
        <f>HYPERLINK("https://creighton-primo.hosted.exlibrisgroup.com/primo-explore/search?tab=default_tab&amp;search_scope=EVERYTHING&amp;vid=01CRU&amp;lang=en_US&amp;offset=0&amp;query=any,contains,991003999169702656","Catalog Record")</f>
        <v>Catalog Record</v>
      </c>
      <c r="AT104" s="6" t="str">
        <f>HYPERLINK("http://www.worldcat.org/oclc/2071086","WorldCat Record")</f>
        <v>WorldCat Record</v>
      </c>
      <c r="AU104" s="3" t="s">
        <v>1489</v>
      </c>
      <c r="AV104" s="3" t="s">
        <v>1490</v>
      </c>
      <c r="AW104" s="3" t="s">
        <v>1491</v>
      </c>
      <c r="AX104" s="3" t="s">
        <v>1491</v>
      </c>
      <c r="AY104" s="3" t="s">
        <v>1492</v>
      </c>
      <c r="AZ104" s="3" t="s">
        <v>73</v>
      </c>
      <c r="BB104" s="3" t="s">
        <v>1493</v>
      </c>
      <c r="BC104" s="3" t="s">
        <v>1494</v>
      </c>
      <c r="BD104" s="3" t="s">
        <v>1495</v>
      </c>
    </row>
    <row r="105" spans="1:56" ht="38.25" customHeight="1" x14ac:dyDescent="0.25">
      <c r="A105" s="7" t="s">
        <v>58</v>
      </c>
      <c r="B105" s="2" t="s">
        <v>1496</v>
      </c>
      <c r="C105" s="2" t="s">
        <v>1497</v>
      </c>
      <c r="D105" s="2" t="s">
        <v>1498</v>
      </c>
      <c r="F105" s="3" t="s">
        <v>58</v>
      </c>
      <c r="G105" s="3" t="s">
        <v>59</v>
      </c>
      <c r="H105" s="3" t="s">
        <v>58</v>
      </c>
      <c r="I105" s="3" t="s">
        <v>58</v>
      </c>
      <c r="J105" s="3" t="s">
        <v>60</v>
      </c>
      <c r="K105" s="2" t="s">
        <v>1499</v>
      </c>
      <c r="L105" s="2" t="s">
        <v>1500</v>
      </c>
      <c r="M105" s="3" t="s">
        <v>1501</v>
      </c>
      <c r="O105" s="3" t="s">
        <v>64</v>
      </c>
      <c r="P105" s="3" t="s">
        <v>65</v>
      </c>
      <c r="Q105" s="2" t="s">
        <v>1502</v>
      </c>
      <c r="R105" s="3" t="s">
        <v>1449</v>
      </c>
      <c r="S105" s="4">
        <v>7</v>
      </c>
      <c r="T105" s="4">
        <v>7</v>
      </c>
      <c r="U105" s="5" t="s">
        <v>1503</v>
      </c>
      <c r="V105" s="5" t="s">
        <v>1503</v>
      </c>
      <c r="W105" s="5" t="s">
        <v>1504</v>
      </c>
      <c r="X105" s="5" t="s">
        <v>1504</v>
      </c>
      <c r="Y105" s="4">
        <v>428</v>
      </c>
      <c r="Z105" s="4">
        <v>403</v>
      </c>
      <c r="AA105" s="4">
        <v>404</v>
      </c>
      <c r="AB105" s="4">
        <v>8</v>
      </c>
      <c r="AC105" s="4">
        <v>8</v>
      </c>
      <c r="AD105" s="4">
        <v>24</v>
      </c>
      <c r="AE105" s="4">
        <v>24</v>
      </c>
      <c r="AF105" s="4">
        <v>6</v>
      </c>
      <c r="AG105" s="4">
        <v>6</v>
      </c>
      <c r="AH105" s="4">
        <v>5</v>
      </c>
      <c r="AI105" s="4">
        <v>5</v>
      </c>
      <c r="AJ105" s="4">
        <v>10</v>
      </c>
      <c r="AK105" s="4">
        <v>10</v>
      </c>
      <c r="AL105" s="4">
        <v>7</v>
      </c>
      <c r="AM105" s="4">
        <v>7</v>
      </c>
      <c r="AN105" s="4">
        <v>0</v>
      </c>
      <c r="AO105" s="4">
        <v>0</v>
      </c>
      <c r="AP105" s="3" t="s">
        <v>58</v>
      </c>
      <c r="AQ105" s="3" t="s">
        <v>58</v>
      </c>
      <c r="AS105" s="6" t="str">
        <f>HYPERLINK("https://creighton-primo.hosted.exlibrisgroup.com/primo-explore/search?tab=default_tab&amp;search_scope=EVERYTHING&amp;vid=01CRU&amp;lang=en_US&amp;offset=0&amp;query=any,contains,991002099379702656","Catalog Record")</f>
        <v>Catalog Record</v>
      </c>
      <c r="AT105" s="6" t="str">
        <f>HYPERLINK("http://www.worldcat.org/oclc/266183","WorldCat Record")</f>
        <v>WorldCat Record</v>
      </c>
      <c r="AU105" s="3" t="s">
        <v>1505</v>
      </c>
      <c r="AV105" s="3" t="s">
        <v>1506</v>
      </c>
      <c r="AW105" s="3" t="s">
        <v>1507</v>
      </c>
      <c r="AX105" s="3" t="s">
        <v>1507</v>
      </c>
      <c r="AY105" s="3" t="s">
        <v>1508</v>
      </c>
      <c r="AZ105" s="3" t="s">
        <v>73</v>
      </c>
      <c r="BC105" s="3" t="s">
        <v>1509</v>
      </c>
      <c r="BD105" s="3" t="s">
        <v>1510</v>
      </c>
    </row>
    <row r="106" spans="1:56" ht="38.25" customHeight="1" x14ac:dyDescent="0.25">
      <c r="A106" s="7" t="s">
        <v>58</v>
      </c>
      <c r="B106" s="2" t="s">
        <v>1511</v>
      </c>
      <c r="C106" s="2" t="s">
        <v>1512</v>
      </c>
      <c r="D106" s="2" t="s">
        <v>1513</v>
      </c>
      <c r="F106" s="3" t="s">
        <v>58</v>
      </c>
      <c r="G106" s="3" t="s">
        <v>59</v>
      </c>
      <c r="H106" s="3" t="s">
        <v>58</v>
      </c>
      <c r="I106" s="3" t="s">
        <v>58</v>
      </c>
      <c r="J106" s="3" t="s">
        <v>60</v>
      </c>
      <c r="K106" s="2" t="s">
        <v>1514</v>
      </c>
      <c r="L106" s="2" t="s">
        <v>1515</v>
      </c>
      <c r="M106" s="3" t="s">
        <v>1516</v>
      </c>
      <c r="O106" s="3" t="s">
        <v>64</v>
      </c>
      <c r="P106" s="3" t="s">
        <v>580</v>
      </c>
      <c r="Q106" s="2" t="s">
        <v>1517</v>
      </c>
      <c r="R106" s="3" t="s">
        <v>1449</v>
      </c>
      <c r="S106" s="4">
        <v>6</v>
      </c>
      <c r="T106" s="4">
        <v>6</v>
      </c>
      <c r="U106" s="5" t="s">
        <v>1518</v>
      </c>
      <c r="V106" s="5" t="s">
        <v>1518</v>
      </c>
      <c r="W106" s="5" t="s">
        <v>1232</v>
      </c>
      <c r="X106" s="5" t="s">
        <v>1232</v>
      </c>
      <c r="Y106" s="4">
        <v>312</v>
      </c>
      <c r="Z106" s="4">
        <v>276</v>
      </c>
      <c r="AA106" s="4">
        <v>767</v>
      </c>
      <c r="AB106" s="4">
        <v>4</v>
      </c>
      <c r="AC106" s="4">
        <v>11</v>
      </c>
      <c r="AD106" s="4">
        <v>15</v>
      </c>
      <c r="AE106" s="4">
        <v>49</v>
      </c>
      <c r="AF106" s="4">
        <v>4</v>
      </c>
      <c r="AG106" s="4">
        <v>19</v>
      </c>
      <c r="AH106" s="4">
        <v>2</v>
      </c>
      <c r="AI106" s="4">
        <v>9</v>
      </c>
      <c r="AJ106" s="4">
        <v>10</v>
      </c>
      <c r="AK106" s="4">
        <v>19</v>
      </c>
      <c r="AL106" s="4">
        <v>3</v>
      </c>
      <c r="AM106" s="4">
        <v>9</v>
      </c>
      <c r="AN106" s="4">
        <v>0</v>
      </c>
      <c r="AO106" s="4">
        <v>3</v>
      </c>
      <c r="AP106" s="3" t="s">
        <v>68</v>
      </c>
      <c r="AQ106" s="3" t="s">
        <v>58</v>
      </c>
      <c r="AR106" s="6" t="str">
        <f>HYPERLINK("http://catalog.hathitrust.org/Record/001652828","HathiTrust Record")</f>
        <v>HathiTrust Record</v>
      </c>
      <c r="AS106" s="6" t="str">
        <f>HYPERLINK("https://creighton-primo.hosted.exlibrisgroup.com/primo-explore/search?tab=default_tab&amp;search_scope=EVERYTHING&amp;vid=01CRU&amp;lang=en_US&amp;offset=0&amp;query=any,contains,991002878029702656","Catalog Record")</f>
        <v>Catalog Record</v>
      </c>
      <c r="AT106" s="6" t="str">
        <f>HYPERLINK("http://www.worldcat.org/oclc/504023","WorldCat Record")</f>
        <v>WorldCat Record</v>
      </c>
      <c r="AU106" s="3" t="s">
        <v>1519</v>
      </c>
      <c r="AV106" s="3" t="s">
        <v>1520</v>
      </c>
      <c r="AW106" s="3" t="s">
        <v>1521</v>
      </c>
      <c r="AX106" s="3" t="s">
        <v>1521</v>
      </c>
      <c r="AY106" s="3" t="s">
        <v>1522</v>
      </c>
      <c r="AZ106" s="3" t="s">
        <v>73</v>
      </c>
      <c r="BC106" s="3" t="s">
        <v>1523</v>
      </c>
      <c r="BD106" s="3" t="s">
        <v>1524</v>
      </c>
    </row>
    <row r="107" spans="1:56" ht="38.25" customHeight="1" x14ac:dyDescent="0.25">
      <c r="A107" s="7" t="s">
        <v>58</v>
      </c>
      <c r="B107" s="2" t="s">
        <v>1525</v>
      </c>
      <c r="C107" s="2" t="s">
        <v>1526</v>
      </c>
      <c r="D107" s="2" t="s">
        <v>1527</v>
      </c>
      <c r="F107" s="3" t="s">
        <v>58</v>
      </c>
      <c r="G107" s="3" t="s">
        <v>59</v>
      </c>
      <c r="H107" s="3" t="s">
        <v>58</v>
      </c>
      <c r="I107" s="3" t="s">
        <v>58</v>
      </c>
      <c r="J107" s="3" t="s">
        <v>60</v>
      </c>
      <c r="K107" s="2" t="s">
        <v>1528</v>
      </c>
      <c r="L107" s="2" t="s">
        <v>1529</v>
      </c>
      <c r="M107" s="3" t="s">
        <v>408</v>
      </c>
      <c r="O107" s="3" t="s">
        <v>64</v>
      </c>
      <c r="P107" s="3" t="s">
        <v>114</v>
      </c>
      <c r="Q107" s="2" t="s">
        <v>1530</v>
      </c>
      <c r="R107" s="3" t="s">
        <v>1531</v>
      </c>
      <c r="S107" s="4">
        <v>9</v>
      </c>
      <c r="T107" s="4">
        <v>9</v>
      </c>
      <c r="U107" s="5" t="s">
        <v>1532</v>
      </c>
      <c r="V107" s="5" t="s">
        <v>1532</v>
      </c>
      <c r="W107" s="5" t="s">
        <v>1533</v>
      </c>
      <c r="X107" s="5" t="s">
        <v>1533</v>
      </c>
      <c r="Y107" s="4">
        <v>438</v>
      </c>
      <c r="Z107" s="4">
        <v>278</v>
      </c>
      <c r="AA107" s="4">
        <v>321</v>
      </c>
      <c r="AB107" s="4">
        <v>2</v>
      </c>
      <c r="AC107" s="4">
        <v>2</v>
      </c>
      <c r="AD107" s="4">
        <v>20</v>
      </c>
      <c r="AE107" s="4">
        <v>21</v>
      </c>
      <c r="AF107" s="4">
        <v>1</v>
      </c>
      <c r="AG107" s="4">
        <v>1</v>
      </c>
      <c r="AH107" s="4">
        <v>3</v>
      </c>
      <c r="AI107" s="4">
        <v>4</v>
      </c>
      <c r="AJ107" s="4">
        <v>6</v>
      </c>
      <c r="AK107" s="4">
        <v>6</v>
      </c>
      <c r="AL107" s="4">
        <v>1</v>
      </c>
      <c r="AM107" s="4">
        <v>1</v>
      </c>
      <c r="AN107" s="4">
        <v>11</v>
      </c>
      <c r="AO107" s="4">
        <v>11</v>
      </c>
      <c r="AP107" s="3" t="s">
        <v>58</v>
      </c>
      <c r="AQ107" s="3" t="s">
        <v>58</v>
      </c>
      <c r="AS107" s="6" t="str">
        <f>HYPERLINK("https://creighton-primo.hosted.exlibrisgroup.com/primo-explore/search?tab=default_tab&amp;search_scope=EVERYTHING&amp;vid=01CRU&amp;lang=en_US&amp;offset=0&amp;query=any,contains,991001330319702656","Catalog Record")</f>
        <v>Catalog Record</v>
      </c>
      <c r="AT107" s="6" t="str">
        <f>HYPERLINK("http://www.worldcat.org/oclc/18322129","WorldCat Record")</f>
        <v>WorldCat Record</v>
      </c>
      <c r="AU107" s="3" t="s">
        <v>1534</v>
      </c>
      <c r="AV107" s="3" t="s">
        <v>1535</v>
      </c>
      <c r="AW107" s="3" t="s">
        <v>1536</v>
      </c>
      <c r="AX107" s="3" t="s">
        <v>1536</v>
      </c>
      <c r="AY107" s="3" t="s">
        <v>1537</v>
      </c>
      <c r="AZ107" s="3" t="s">
        <v>73</v>
      </c>
      <c r="BB107" s="3" t="s">
        <v>1538</v>
      </c>
      <c r="BC107" s="3" t="s">
        <v>1539</v>
      </c>
      <c r="BD107" s="3" t="s">
        <v>1540</v>
      </c>
    </row>
    <row r="108" spans="1:56" ht="38.25" customHeight="1" x14ac:dyDescent="0.25">
      <c r="A108" s="7" t="s">
        <v>58</v>
      </c>
      <c r="B108" s="2" t="s">
        <v>1541</v>
      </c>
      <c r="C108" s="2" t="s">
        <v>1542</v>
      </c>
      <c r="D108" s="2" t="s">
        <v>1543</v>
      </c>
      <c r="F108" s="3" t="s">
        <v>58</v>
      </c>
      <c r="G108" s="3" t="s">
        <v>59</v>
      </c>
      <c r="H108" s="3" t="s">
        <v>58</v>
      </c>
      <c r="I108" s="3" t="s">
        <v>58</v>
      </c>
      <c r="J108" s="3" t="s">
        <v>60</v>
      </c>
      <c r="K108" s="2" t="s">
        <v>1544</v>
      </c>
      <c r="L108" s="2" t="s">
        <v>1545</v>
      </c>
      <c r="M108" s="3" t="s">
        <v>206</v>
      </c>
      <c r="O108" s="3" t="s">
        <v>64</v>
      </c>
      <c r="P108" s="3" t="s">
        <v>162</v>
      </c>
      <c r="Q108" s="2" t="s">
        <v>1546</v>
      </c>
      <c r="R108" s="3" t="s">
        <v>1531</v>
      </c>
      <c r="S108" s="4">
        <v>5</v>
      </c>
      <c r="T108" s="4">
        <v>5</v>
      </c>
      <c r="U108" s="5" t="s">
        <v>1547</v>
      </c>
      <c r="V108" s="5" t="s">
        <v>1547</v>
      </c>
      <c r="W108" s="5" t="s">
        <v>1548</v>
      </c>
      <c r="X108" s="5" t="s">
        <v>1548</v>
      </c>
      <c r="Y108" s="4">
        <v>437</v>
      </c>
      <c r="Z108" s="4">
        <v>344</v>
      </c>
      <c r="AA108" s="4">
        <v>352</v>
      </c>
      <c r="AB108" s="4">
        <v>3</v>
      </c>
      <c r="AC108" s="4">
        <v>3</v>
      </c>
      <c r="AD108" s="4">
        <v>18</v>
      </c>
      <c r="AE108" s="4">
        <v>18</v>
      </c>
      <c r="AF108" s="4">
        <v>5</v>
      </c>
      <c r="AG108" s="4">
        <v>5</v>
      </c>
      <c r="AH108" s="4">
        <v>5</v>
      </c>
      <c r="AI108" s="4">
        <v>5</v>
      </c>
      <c r="AJ108" s="4">
        <v>10</v>
      </c>
      <c r="AK108" s="4">
        <v>10</v>
      </c>
      <c r="AL108" s="4">
        <v>2</v>
      </c>
      <c r="AM108" s="4">
        <v>2</v>
      </c>
      <c r="AN108" s="4">
        <v>0</v>
      </c>
      <c r="AO108" s="4">
        <v>0</v>
      </c>
      <c r="AP108" s="3" t="s">
        <v>58</v>
      </c>
      <c r="AQ108" s="3" t="s">
        <v>68</v>
      </c>
      <c r="AR108" s="6" t="str">
        <f>HYPERLINK("http://catalog.hathitrust.org/Record/001155872","HathiTrust Record")</f>
        <v>HathiTrust Record</v>
      </c>
      <c r="AS108" s="6" t="str">
        <f>HYPERLINK("https://creighton-primo.hosted.exlibrisgroup.com/primo-explore/search?tab=default_tab&amp;search_scope=EVERYTHING&amp;vid=01CRU&amp;lang=en_US&amp;offset=0&amp;query=any,contains,991002790769702656","Catalog Record")</f>
        <v>Catalog Record</v>
      </c>
      <c r="AT108" s="6" t="str">
        <f>HYPERLINK("http://www.worldcat.org/oclc/443255","WorldCat Record")</f>
        <v>WorldCat Record</v>
      </c>
      <c r="AU108" s="3" t="s">
        <v>1549</v>
      </c>
      <c r="AV108" s="3" t="s">
        <v>1550</v>
      </c>
      <c r="AW108" s="3" t="s">
        <v>1551</v>
      </c>
      <c r="AX108" s="3" t="s">
        <v>1551</v>
      </c>
      <c r="AY108" s="3" t="s">
        <v>1552</v>
      </c>
      <c r="AZ108" s="3" t="s">
        <v>73</v>
      </c>
      <c r="BC108" s="3" t="s">
        <v>1553</v>
      </c>
      <c r="BD108" s="3" t="s">
        <v>1554</v>
      </c>
    </row>
    <row r="109" spans="1:56" ht="38.25" customHeight="1" x14ac:dyDescent="0.25">
      <c r="A109" s="7" t="s">
        <v>58</v>
      </c>
      <c r="B109" s="2" t="s">
        <v>1555</v>
      </c>
      <c r="C109" s="2" t="s">
        <v>1556</v>
      </c>
      <c r="D109" s="2" t="s">
        <v>1557</v>
      </c>
      <c r="F109" s="3" t="s">
        <v>58</v>
      </c>
      <c r="G109" s="3" t="s">
        <v>59</v>
      </c>
      <c r="H109" s="3" t="s">
        <v>58</v>
      </c>
      <c r="I109" s="3" t="s">
        <v>58</v>
      </c>
      <c r="J109" s="3" t="s">
        <v>60</v>
      </c>
      <c r="K109" s="2" t="s">
        <v>1558</v>
      </c>
      <c r="L109" s="2" t="s">
        <v>1559</v>
      </c>
      <c r="M109" s="3" t="s">
        <v>206</v>
      </c>
      <c r="O109" s="3" t="s">
        <v>64</v>
      </c>
      <c r="P109" s="3" t="s">
        <v>1560</v>
      </c>
      <c r="R109" s="3" t="s">
        <v>1531</v>
      </c>
      <c r="S109" s="4">
        <v>1</v>
      </c>
      <c r="T109" s="4">
        <v>1</v>
      </c>
      <c r="U109" s="5" t="s">
        <v>1561</v>
      </c>
      <c r="V109" s="5" t="s">
        <v>1561</v>
      </c>
      <c r="W109" s="5" t="s">
        <v>1548</v>
      </c>
      <c r="X109" s="5" t="s">
        <v>1548</v>
      </c>
      <c r="Y109" s="4">
        <v>619</v>
      </c>
      <c r="Z109" s="4">
        <v>504</v>
      </c>
      <c r="AA109" s="4">
        <v>511</v>
      </c>
      <c r="AB109" s="4">
        <v>4</v>
      </c>
      <c r="AC109" s="4">
        <v>4</v>
      </c>
      <c r="AD109" s="4">
        <v>28</v>
      </c>
      <c r="AE109" s="4">
        <v>28</v>
      </c>
      <c r="AF109" s="4">
        <v>7</v>
      </c>
      <c r="AG109" s="4">
        <v>7</v>
      </c>
      <c r="AH109" s="4">
        <v>5</v>
      </c>
      <c r="AI109" s="4">
        <v>5</v>
      </c>
      <c r="AJ109" s="4">
        <v>17</v>
      </c>
      <c r="AK109" s="4">
        <v>17</v>
      </c>
      <c r="AL109" s="4">
        <v>3</v>
      </c>
      <c r="AM109" s="4">
        <v>3</v>
      </c>
      <c r="AN109" s="4">
        <v>1</v>
      </c>
      <c r="AO109" s="4">
        <v>1</v>
      </c>
      <c r="AP109" s="3" t="s">
        <v>58</v>
      </c>
      <c r="AQ109" s="3" t="s">
        <v>68</v>
      </c>
      <c r="AR109" s="6" t="str">
        <f>HYPERLINK("http://catalog.hathitrust.org/Record/001152548","HathiTrust Record")</f>
        <v>HathiTrust Record</v>
      </c>
      <c r="AS109" s="6" t="str">
        <f>HYPERLINK("https://creighton-primo.hosted.exlibrisgroup.com/primo-explore/search?tab=default_tab&amp;search_scope=EVERYTHING&amp;vid=01CRU&amp;lang=en_US&amp;offset=0&amp;query=any,contains,991002052919702656","Catalog Record")</f>
        <v>Catalog Record</v>
      </c>
      <c r="AT109" s="6" t="str">
        <f>HYPERLINK("http://www.worldcat.org/oclc/262101","WorldCat Record")</f>
        <v>WorldCat Record</v>
      </c>
      <c r="AU109" s="3" t="s">
        <v>1562</v>
      </c>
      <c r="AV109" s="3" t="s">
        <v>1563</v>
      </c>
      <c r="AW109" s="3" t="s">
        <v>1564</v>
      </c>
      <c r="AX109" s="3" t="s">
        <v>1564</v>
      </c>
      <c r="AY109" s="3" t="s">
        <v>1565</v>
      </c>
      <c r="AZ109" s="3" t="s">
        <v>73</v>
      </c>
      <c r="BC109" s="3" t="s">
        <v>1566</v>
      </c>
      <c r="BD109" s="3" t="s">
        <v>1567</v>
      </c>
    </row>
    <row r="110" spans="1:56" ht="38.25" customHeight="1" x14ac:dyDescent="0.25">
      <c r="A110" s="7" t="s">
        <v>58</v>
      </c>
      <c r="B110" s="2" t="s">
        <v>1568</v>
      </c>
      <c r="C110" s="2" t="s">
        <v>1569</v>
      </c>
      <c r="D110" s="2" t="s">
        <v>1570</v>
      </c>
      <c r="F110" s="3" t="s">
        <v>58</v>
      </c>
      <c r="G110" s="3" t="s">
        <v>59</v>
      </c>
      <c r="H110" s="3" t="s">
        <v>58</v>
      </c>
      <c r="I110" s="3" t="s">
        <v>58</v>
      </c>
      <c r="J110" s="3" t="s">
        <v>60</v>
      </c>
      <c r="L110" s="2" t="s">
        <v>1571</v>
      </c>
      <c r="M110" s="3" t="s">
        <v>309</v>
      </c>
      <c r="O110" s="3" t="s">
        <v>64</v>
      </c>
      <c r="P110" s="3" t="s">
        <v>594</v>
      </c>
      <c r="Q110" s="2" t="s">
        <v>1572</v>
      </c>
      <c r="R110" s="3" t="s">
        <v>1531</v>
      </c>
      <c r="S110" s="4">
        <v>3</v>
      </c>
      <c r="T110" s="4">
        <v>3</v>
      </c>
      <c r="U110" s="5" t="s">
        <v>1573</v>
      </c>
      <c r="V110" s="5" t="s">
        <v>1573</v>
      </c>
      <c r="W110" s="5" t="s">
        <v>1574</v>
      </c>
      <c r="X110" s="5" t="s">
        <v>1574</v>
      </c>
      <c r="Y110" s="4">
        <v>618</v>
      </c>
      <c r="Z110" s="4">
        <v>533</v>
      </c>
      <c r="AA110" s="4">
        <v>590</v>
      </c>
      <c r="AB110" s="4">
        <v>7</v>
      </c>
      <c r="AC110" s="4">
        <v>7</v>
      </c>
      <c r="AD110" s="4">
        <v>25</v>
      </c>
      <c r="AE110" s="4">
        <v>27</v>
      </c>
      <c r="AF110" s="4">
        <v>7</v>
      </c>
      <c r="AG110" s="4">
        <v>9</v>
      </c>
      <c r="AH110" s="4">
        <v>4</v>
      </c>
      <c r="AI110" s="4">
        <v>4</v>
      </c>
      <c r="AJ110" s="4">
        <v>12</v>
      </c>
      <c r="AK110" s="4">
        <v>12</v>
      </c>
      <c r="AL110" s="4">
        <v>5</v>
      </c>
      <c r="AM110" s="4">
        <v>5</v>
      </c>
      <c r="AN110" s="4">
        <v>1</v>
      </c>
      <c r="AO110" s="4">
        <v>1</v>
      </c>
      <c r="AP110" s="3" t="s">
        <v>58</v>
      </c>
      <c r="AQ110" s="3" t="s">
        <v>68</v>
      </c>
      <c r="AR110" s="6" t="str">
        <f>HYPERLINK("http://catalog.hathitrust.org/Record/102071007","HathiTrust Record")</f>
        <v>HathiTrust Record</v>
      </c>
      <c r="AS110" s="6" t="str">
        <f>HYPERLINK("https://creighton-primo.hosted.exlibrisgroup.com/primo-explore/search?tab=default_tab&amp;search_scope=EVERYTHING&amp;vid=01CRU&amp;lang=en_US&amp;offset=0&amp;query=any,contains,991002344239702656","Catalog Record")</f>
        <v>Catalog Record</v>
      </c>
      <c r="AT110" s="6" t="str">
        <f>HYPERLINK("http://www.worldcat.org/oclc/324267","WorldCat Record")</f>
        <v>WorldCat Record</v>
      </c>
      <c r="AU110" s="3" t="s">
        <v>1575</v>
      </c>
      <c r="AV110" s="3" t="s">
        <v>1576</v>
      </c>
      <c r="AW110" s="3" t="s">
        <v>1577</v>
      </c>
      <c r="AX110" s="3" t="s">
        <v>1577</v>
      </c>
      <c r="AY110" s="3" t="s">
        <v>1578</v>
      </c>
      <c r="AZ110" s="3" t="s">
        <v>73</v>
      </c>
      <c r="BB110" s="3" t="s">
        <v>1579</v>
      </c>
      <c r="BC110" s="3" t="s">
        <v>1580</v>
      </c>
      <c r="BD110" s="3" t="s">
        <v>1581</v>
      </c>
    </row>
    <row r="111" spans="1:56" ht="38.25" customHeight="1" x14ac:dyDescent="0.25">
      <c r="A111" s="7" t="s">
        <v>58</v>
      </c>
      <c r="B111" s="2" t="s">
        <v>1582</v>
      </c>
      <c r="C111" s="2" t="s">
        <v>1583</v>
      </c>
      <c r="D111" s="2" t="s">
        <v>1584</v>
      </c>
      <c r="F111" s="3" t="s">
        <v>58</v>
      </c>
      <c r="G111" s="3" t="s">
        <v>59</v>
      </c>
      <c r="H111" s="3" t="s">
        <v>58</v>
      </c>
      <c r="I111" s="3" t="s">
        <v>58</v>
      </c>
      <c r="J111" s="3" t="s">
        <v>60</v>
      </c>
      <c r="K111" s="2" t="s">
        <v>1585</v>
      </c>
      <c r="L111" s="2" t="s">
        <v>1586</v>
      </c>
      <c r="M111" s="3" t="s">
        <v>961</v>
      </c>
      <c r="O111" s="3" t="s">
        <v>64</v>
      </c>
      <c r="P111" s="3" t="s">
        <v>65</v>
      </c>
      <c r="R111" s="3" t="s">
        <v>1531</v>
      </c>
      <c r="S111" s="4">
        <v>4</v>
      </c>
      <c r="T111" s="4">
        <v>4</v>
      </c>
      <c r="U111" s="5" t="s">
        <v>1587</v>
      </c>
      <c r="V111" s="5" t="s">
        <v>1587</v>
      </c>
      <c r="W111" s="5" t="s">
        <v>1588</v>
      </c>
      <c r="X111" s="5" t="s">
        <v>1588</v>
      </c>
      <c r="Y111" s="4">
        <v>833</v>
      </c>
      <c r="Z111" s="4">
        <v>655</v>
      </c>
      <c r="AA111" s="4">
        <v>662</v>
      </c>
      <c r="AB111" s="4">
        <v>6</v>
      </c>
      <c r="AC111" s="4">
        <v>6</v>
      </c>
      <c r="AD111" s="4">
        <v>38</v>
      </c>
      <c r="AE111" s="4">
        <v>38</v>
      </c>
      <c r="AF111" s="4">
        <v>12</v>
      </c>
      <c r="AG111" s="4">
        <v>12</v>
      </c>
      <c r="AH111" s="4">
        <v>7</v>
      </c>
      <c r="AI111" s="4">
        <v>7</v>
      </c>
      <c r="AJ111" s="4">
        <v>20</v>
      </c>
      <c r="AK111" s="4">
        <v>20</v>
      </c>
      <c r="AL111" s="4">
        <v>5</v>
      </c>
      <c r="AM111" s="4">
        <v>5</v>
      </c>
      <c r="AN111" s="4">
        <v>1</v>
      </c>
      <c r="AO111" s="4">
        <v>1</v>
      </c>
      <c r="AP111" s="3" t="s">
        <v>58</v>
      </c>
      <c r="AQ111" s="3" t="s">
        <v>68</v>
      </c>
      <c r="AR111" s="6" t="str">
        <f>HYPERLINK("http://catalog.hathitrust.org/Record/001152707","HathiTrust Record")</f>
        <v>HathiTrust Record</v>
      </c>
      <c r="AS111" s="6" t="str">
        <f>HYPERLINK("https://creighton-primo.hosted.exlibrisgroup.com/primo-explore/search?tab=default_tab&amp;search_scope=EVERYTHING&amp;vid=01CRU&amp;lang=en_US&amp;offset=0&amp;query=any,contains,991001045279702656","Catalog Record")</f>
        <v>Catalog Record</v>
      </c>
      <c r="AT111" s="6" t="str">
        <f>HYPERLINK("http://www.worldcat.org/oclc/175943","WorldCat Record")</f>
        <v>WorldCat Record</v>
      </c>
      <c r="AU111" s="3" t="s">
        <v>1589</v>
      </c>
      <c r="AV111" s="3" t="s">
        <v>1590</v>
      </c>
      <c r="AW111" s="3" t="s">
        <v>1591</v>
      </c>
      <c r="AX111" s="3" t="s">
        <v>1591</v>
      </c>
      <c r="AY111" s="3" t="s">
        <v>1592</v>
      </c>
      <c r="AZ111" s="3" t="s">
        <v>73</v>
      </c>
      <c r="BC111" s="3" t="s">
        <v>1593</v>
      </c>
      <c r="BD111" s="3" t="s">
        <v>1594</v>
      </c>
    </row>
    <row r="112" spans="1:56" ht="38.25" customHeight="1" x14ac:dyDescent="0.25">
      <c r="A112" s="7" t="s">
        <v>58</v>
      </c>
      <c r="B112" s="2" t="s">
        <v>1595</v>
      </c>
      <c r="C112" s="2" t="s">
        <v>1596</v>
      </c>
      <c r="D112" s="2" t="s">
        <v>1597</v>
      </c>
      <c r="F112" s="3" t="s">
        <v>58</v>
      </c>
      <c r="G112" s="3" t="s">
        <v>59</v>
      </c>
      <c r="H112" s="3" t="s">
        <v>58</v>
      </c>
      <c r="I112" s="3" t="s">
        <v>58</v>
      </c>
      <c r="J112" s="3" t="s">
        <v>60</v>
      </c>
      <c r="K112" s="2" t="s">
        <v>1598</v>
      </c>
      <c r="L112" s="2" t="s">
        <v>1599</v>
      </c>
      <c r="M112" s="3" t="s">
        <v>466</v>
      </c>
      <c r="O112" s="3" t="s">
        <v>64</v>
      </c>
      <c r="P112" s="3" t="s">
        <v>130</v>
      </c>
      <c r="R112" s="3" t="s">
        <v>1531</v>
      </c>
      <c r="S112" s="4">
        <v>5</v>
      </c>
      <c r="T112" s="4">
        <v>5</v>
      </c>
      <c r="U112" s="5" t="s">
        <v>1600</v>
      </c>
      <c r="V112" s="5" t="s">
        <v>1600</v>
      </c>
      <c r="W112" s="5" t="s">
        <v>1601</v>
      </c>
      <c r="X112" s="5" t="s">
        <v>1601</v>
      </c>
      <c r="Y112" s="4">
        <v>281</v>
      </c>
      <c r="Z112" s="4">
        <v>189</v>
      </c>
      <c r="AA112" s="4">
        <v>371</v>
      </c>
      <c r="AB112" s="4">
        <v>3</v>
      </c>
      <c r="AC112" s="4">
        <v>4</v>
      </c>
      <c r="AD112" s="4">
        <v>13</v>
      </c>
      <c r="AE112" s="4">
        <v>15</v>
      </c>
      <c r="AF112" s="4">
        <v>1</v>
      </c>
      <c r="AG112" s="4">
        <v>3</v>
      </c>
      <c r="AH112" s="4">
        <v>5</v>
      </c>
      <c r="AI112" s="4">
        <v>5</v>
      </c>
      <c r="AJ112" s="4">
        <v>5</v>
      </c>
      <c r="AK112" s="4">
        <v>5</v>
      </c>
      <c r="AL112" s="4">
        <v>2</v>
      </c>
      <c r="AM112" s="4">
        <v>2</v>
      </c>
      <c r="AN112" s="4">
        <v>3</v>
      </c>
      <c r="AO112" s="4">
        <v>3</v>
      </c>
      <c r="AP112" s="3" t="s">
        <v>58</v>
      </c>
      <c r="AQ112" s="3" t="s">
        <v>58</v>
      </c>
      <c r="AS112" s="6" t="str">
        <f>HYPERLINK("https://creighton-primo.hosted.exlibrisgroup.com/primo-explore/search?tab=default_tab&amp;search_scope=EVERYTHING&amp;vid=01CRU&amp;lang=en_US&amp;offset=0&amp;query=any,contains,991001849399702656","Catalog Record")</f>
        <v>Catalog Record</v>
      </c>
      <c r="AT112" s="6" t="str">
        <f>HYPERLINK("http://www.worldcat.org/oclc/23215416","WorldCat Record")</f>
        <v>WorldCat Record</v>
      </c>
      <c r="AU112" s="3" t="s">
        <v>1602</v>
      </c>
      <c r="AV112" s="3" t="s">
        <v>1603</v>
      </c>
      <c r="AW112" s="3" t="s">
        <v>1604</v>
      </c>
      <c r="AX112" s="3" t="s">
        <v>1604</v>
      </c>
      <c r="AY112" s="3" t="s">
        <v>1605</v>
      </c>
      <c r="AZ112" s="3" t="s">
        <v>73</v>
      </c>
      <c r="BB112" s="3" t="s">
        <v>1606</v>
      </c>
      <c r="BC112" s="3" t="s">
        <v>1607</v>
      </c>
      <c r="BD112" s="3" t="s">
        <v>1608</v>
      </c>
    </row>
    <row r="113" spans="1:56" ht="38.25" customHeight="1" x14ac:dyDescent="0.25">
      <c r="A113" s="7" t="s">
        <v>58</v>
      </c>
      <c r="B113" s="2" t="s">
        <v>1609</v>
      </c>
      <c r="C113" s="2" t="s">
        <v>1610</v>
      </c>
      <c r="D113" s="2" t="s">
        <v>1611</v>
      </c>
      <c r="F113" s="3" t="s">
        <v>58</v>
      </c>
      <c r="G113" s="3" t="s">
        <v>59</v>
      </c>
      <c r="H113" s="3" t="s">
        <v>58</v>
      </c>
      <c r="I113" s="3" t="s">
        <v>58</v>
      </c>
      <c r="J113" s="3" t="s">
        <v>60</v>
      </c>
      <c r="K113" s="2" t="s">
        <v>1612</v>
      </c>
      <c r="L113" s="2" t="s">
        <v>1613</v>
      </c>
      <c r="M113" s="3" t="s">
        <v>609</v>
      </c>
      <c r="O113" s="3" t="s">
        <v>64</v>
      </c>
      <c r="P113" s="3" t="s">
        <v>147</v>
      </c>
      <c r="R113" s="3" t="s">
        <v>1531</v>
      </c>
      <c r="S113" s="4">
        <v>5</v>
      </c>
      <c r="T113" s="4">
        <v>5</v>
      </c>
      <c r="U113" s="5" t="s">
        <v>1614</v>
      </c>
      <c r="V113" s="5" t="s">
        <v>1614</v>
      </c>
      <c r="W113" s="5" t="s">
        <v>1548</v>
      </c>
      <c r="X113" s="5" t="s">
        <v>1548</v>
      </c>
      <c r="Y113" s="4">
        <v>472</v>
      </c>
      <c r="Z113" s="4">
        <v>354</v>
      </c>
      <c r="AA113" s="4">
        <v>373</v>
      </c>
      <c r="AB113" s="4">
        <v>2</v>
      </c>
      <c r="AC113" s="4">
        <v>2</v>
      </c>
      <c r="AD113" s="4">
        <v>12</v>
      </c>
      <c r="AE113" s="4">
        <v>12</v>
      </c>
      <c r="AF113" s="4">
        <v>3</v>
      </c>
      <c r="AG113" s="4">
        <v>3</v>
      </c>
      <c r="AH113" s="4">
        <v>4</v>
      </c>
      <c r="AI113" s="4">
        <v>4</v>
      </c>
      <c r="AJ113" s="4">
        <v>7</v>
      </c>
      <c r="AK113" s="4">
        <v>7</v>
      </c>
      <c r="AL113" s="4">
        <v>1</v>
      </c>
      <c r="AM113" s="4">
        <v>1</v>
      </c>
      <c r="AN113" s="4">
        <v>0</v>
      </c>
      <c r="AO113" s="4">
        <v>0</v>
      </c>
      <c r="AP113" s="3" t="s">
        <v>58</v>
      </c>
      <c r="AQ113" s="3" t="s">
        <v>68</v>
      </c>
      <c r="AR113" s="6" t="str">
        <f>HYPERLINK("http://catalog.hathitrust.org/Record/000030408","HathiTrust Record")</f>
        <v>HathiTrust Record</v>
      </c>
      <c r="AS113" s="6" t="str">
        <f>HYPERLINK("https://creighton-primo.hosted.exlibrisgroup.com/primo-explore/search?tab=default_tab&amp;search_scope=EVERYTHING&amp;vid=01CRU&amp;lang=en_US&amp;offset=0&amp;query=any,contains,991003530919702656","Catalog Record")</f>
        <v>Catalog Record</v>
      </c>
      <c r="AT113" s="6" t="str">
        <f>HYPERLINK("http://www.worldcat.org/oclc/1093629","WorldCat Record")</f>
        <v>WorldCat Record</v>
      </c>
      <c r="AU113" s="3" t="s">
        <v>1615</v>
      </c>
      <c r="AV113" s="3" t="s">
        <v>1616</v>
      </c>
      <c r="AW113" s="3" t="s">
        <v>1617</v>
      </c>
      <c r="AX113" s="3" t="s">
        <v>1617</v>
      </c>
      <c r="AY113" s="3" t="s">
        <v>1618</v>
      </c>
      <c r="AZ113" s="3" t="s">
        <v>73</v>
      </c>
      <c r="BB113" s="3" t="s">
        <v>1619</v>
      </c>
      <c r="BC113" s="3" t="s">
        <v>1620</v>
      </c>
      <c r="BD113" s="3" t="s">
        <v>1621</v>
      </c>
    </row>
    <row r="114" spans="1:56" ht="38.25" customHeight="1" x14ac:dyDescent="0.25">
      <c r="A114" s="7" t="s">
        <v>58</v>
      </c>
      <c r="B114" s="2" t="s">
        <v>1622</v>
      </c>
      <c r="C114" s="2" t="s">
        <v>1623</v>
      </c>
      <c r="D114" s="2" t="s">
        <v>1624</v>
      </c>
      <c r="F114" s="3" t="s">
        <v>58</v>
      </c>
      <c r="G114" s="3" t="s">
        <v>59</v>
      </c>
      <c r="H114" s="3" t="s">
        <v>58</v>
      </c>
      <c r="I114" s="3" t="s">
        <v>58</v>
      </c>
      <c r="J114" s="3" t="s">
        <v>60</v>
      </c>
      <c r="K114" s="2" t="s">
        <v>1625</v>
      </c>
      <c r="L114" s="2" t="s">
        <v>1626</v>
      </c>
      <c r="M114" s="3" t="s">
        <v>975</v>
      </c>
      <c r="O114" s="3" t="s">
        <v>64</v>
      </c>
      <c r="P114" s="3" t="s">
        <v>1627</v>
      </c>
      <c r="R114" s="3" t="s">
        <v>1531</v>
      </c>
      <c r="S114" s="4">
        <v>3</v>
      </c>
      <c r="T114" s="4">
        <v>3</v>
      </c>
      <c r="U114" s="5" t="s">
        <v>1628</v>
      </c>
      <c r="V114" s="5" t="s">
        <v>1628</v>
      </c>
      <c r="W114" s="5" t="s">
        <v>1629</v>
      </c>
      <c r="X114" s="5" t="s">
        <v>1629</v>
      </c>
      <c r="Y114" s="4">
        <v>453</v>
      </c>
      <c r="Z114" s="4">
        <v>370</v>
      </c>
      <c r="AA114" s="4">
        <v>391</v>
      </c>
      <c r="AB114" s="4">
        <v>5</v>
      </c>
      <c r="AC114" s="4">
        <v>5</v>
      </c>
      <c r="AD114" s="4">
        <v>15</v>
      </c>
      <c r="AE114" s="4">
        <v>15</v>
      </c>
      <c r="AF114" s="4">
        <v>2</v>
      </c>
      <c r="AG114" s="4">
        <v>2</v>
      </c>
      <c r="AH114" s="4">
        <v>4</v>
      </c>
      <c r="AI114" s="4">
        <v>4</v>
      </c>
      <c r="AJ114" s="4">
        <v>7</v>
      </c>
      <c r="AK114" s="4">
        <v>7</v>
      </c>
      <c r="AL114" s="4">
        <v>4</v>
      </c>
      <c r="AM114" s="4">
        <v>4</v>
      </c>
      <c r="AN114" s="4">
        <v>0</v>
      </c>
      <c r="AO114" s="4">
        <v>0</v>
      </c>
      <c r="AP114" s="3" t="s">
        <v>58</v>
      </c>
      <c r="AQ114" s="3" t="s">
        <v>68</v>
      </c>
      <c r="AR114" s="6" t="str">
        <f>HYPERLINK("http://catalog.hathitrust.org/Record/000722495","HathiTrust Record")</f>
        <v>HathiTrust Record</v>
      </c>
      <c r="AS114" s="6" t="str">
        <f>HYPERLINK("https://creighton-primo.hosted.exlibrisgroup.com/primo-explore/search?tab=default_tab&amp;search_scope=EVERYTHING&amp;vid=01CRU&amp;lang=en_US&amp;offset=0&amp;query=any,contains,991004101029702656","Catalog Record")</f>
        <v>Catalog Record</v>
      </c>
      <c r="AT114" s="6" t="str">
        <f>HYPERLINK("http://www.worldcat.org/oclc/2372421","WorldCat Record")</f>
        <v>WorldCat Record</v>
      </c>
      <c r="AU114" s="3" t="s">
        <v>1630</v>
      </c>
      <c r="AV114" s="3" t="s">
        <v>1631</v>
      </c>
      <c r="AW114" s="3" t="s">
        <v>1632</v>
      </c>
      <c r="AX114" s="3" t="s">
        <v>1632</v>
      </c>
      <c r="AY114" s="3" t="s">
        <v>1633</v>
      </c>
      <c r="AZ114" s="3" t="s">
        <v>73</v>
      </c>
      <c r="BB114" s="3" t="s">
        <v>1634</v>
      </c>
      <c r="BC114" s="3" t="s">
        <v>1635</v>
      </c>
      <c r="BD114" s="3" t="s">
        <v>1636</v>
      </c>
    </row>
    <row r="115" spans="1:56" ht="38.25" customHeight="1" x14ac:dyDescent="0.25">
      <c r="A115" s="7" t="s">
        <v>58</v>
      </c>
      <c r="B115" s="2" t="s">
        <v>1637</v>
      </c>
      <c r="C115" s="2" t="s">
        <v>1638</v>
      </c>
      <c r="D115" s="2" t="s">
        <v>1639</v>
      </c>
      <c r="F115" s="3" t="s">
        <v>58</v>
      </c>
      <c r="G115" s="3" t="s">
        <v>59</v>
      </c>
      <c r="H115" s="3" t="s">
        <v>58</v>
      </c>
      <c r="I115" s="3" t="s">
        <v>58</v>
      </c>
      <c r="J115" s="3" t="s">
        <v>60</v>
      </c>
      <c r="L115" s="2" t="s">
        <v>1640</v>
      </c>
      <c r="M115" s="3" t="s">
        <v>1641</v>
      </c>
      <c r="O115" s="3" t="s">
        <v>64</v>
      </c>
      <c r="P115" s="3" t="s">
        <v>114</v>
      </c>
      <c r="R115" s="3" t="s">
        <v>1531</v>
      </c>
      <c r="S115" s="4">
        <v>2</v>
      </c>
      <c r="T115" s="4">
        <v>2</v>
      </c>
      <c r="U115" s="5" t="s">
        <v>1642</v>
      </c>
      <c r="V115" s="5" t="s">
        <v>1642</v>
      </c>
      <c r="W115" s="5" t="s">
        <v>1643</v>
      </c>
      <c r="X115" s="5" t="s">
        <v>1643</v>
      </c>
      <c r="Y115" s="4">
        <v>444</v>
      </c>
      <c r="Z115" s="4">
        <v>295</v>
      </c>
      <c r="AA115" s="4">
        <v>302</v>
      </c>
      <c r="AB115" s="4">
        <v>3</v>
      </c>
      <c r="AC115" s="4">
        <v>3</v>
      </c>
      <c r="AD115" s="4">
        <v>13</v>
      </c>
      <c r="AE115" s="4">
        <v>13</v>
      </c>
      <c r="AF115" s="4">
        <v>2</v>
      </c>
      <c r="AG115" s="4">
        <v>2</v>
      </c>
      <c r="AH115" s="4">
        <v>4</v>
      </c>
      <c r="AI115" s="4">
        <v>4</v>
      </c>
      <c r="AJ115" s="4">
        <v>8</v>
      </c>
      <c r="AK115" s="4">
        <v>8</v>
      </c>
      <c r="AL115" s="4">
        <v>2</v>
      </c>
      <c r="AM115" s="4">
        <v>2</v>
      </c>
      <c r="AN115" s="4">
        <v>1</v>
      </c>
      <c r="AO115" s="4">
        <v>1</v>
      </c>
      <c r="AP115" s="3" t="s">
        <v>58</v>
      </c>
      <c r="AQ115" s="3" t="s">
        <v>68</v>
      </c>
      <c r="AR115" s="6" t="str">
        <f>HYPERLINK("http://catalog.hathitrust.org/Record/000750751","HathiTrust Record")</f>
        <v>HathiTrust Record</v>
      </c>
      <c r="AS115" s="6" t="str">
        <f>HYPERLINK("https://creighton-primo.hosted.exlibrisgroup.com/primo-explore/search?tab=default_tab&amp;search_scope=EVERYTHING&amp;vid=01CRU&amp;lang=en_US&amp;offset=0&amp;query=any,contains,991004419579702656","Catalog Record")</f>
        <v>Catalog Record</v>
      </c>
      <c r="AT115" s="6" t="str">
        <f>HYPERLINK("http://www.worldcat.org/oclc/3379977","WorldCat Record")</f>
        <v>WorldCat Record</v>
      </c>
      <c r="AU115" s="3" t="s">
        <v>1644</v>
      </c>
      <c r="AV115" s="3" t="s">
        <v>1645</v>
      </c>
      <c r="AW115" s="3" t="s">
        <v>1646</v>
      </c>
      <c r="AX115" s="3" t="s">
        <v>1646</v>
      </c>
      <c r="AY115" s="3" t="s">
        <v>1647</v>
      </c>
      <c r="AZ115" s="3" t="s">
        <v>73</v>
      </c>
      <c r="BB115" s="3" t="s">
        <v>1648</v>
      </c>
      <c r="BC115" s="3" t="s">
        <v>1649</v>
      </c>
      <c r="BD115" s="3" t="s">
        <v>1650</v>
      </c>
    </row>
    <row r="116" spans="1:56" ht="38.25" customHeight="1" x14ac:dyDescent="0.25">
      <c r="A116" s="7" t="s">
        <v>58</v>
      </c>
      <c r="B116" s="2" t="s">
        <v>1651</v>
      </c>
      <c r="C116" s="2" t="s">
        <v>1652</v>
      </c>
      <c r="D116" s="2" t="s">
        <v>1653</v>
      </c>
      <c r="F116" s="3" t="s">
        <v>58</v>
      </c>
      <c r="G116" s="3" t="s">
        <v>59</v>
      </c>
      <c r="H116" s="3" t="s">
        <v>58</v>
      </c>
      <c r="I116" s="3" t="s">
        <v>58</v>
      </c>
      <c r="J116" s="3" t="s">
        <v>60</v>
      </c>
      <c r="K116" s="2" t="s">
        <v>1654</v>
      </c>
      <c r="L116" s="2" t="s">
        <v>1655</v>
      </c>
      <c r="M116" s="3" t="s">
        <v>1036</v>
      </c>
      <c r="O116" s="3" t="s">
        <v>64</v>
      </c>
      <c r="P116" s="3" t="s">
        <v>65</v>
      </c>
      <c r="R116" s="3" t="s">
        <v>1531</v>
      </c>
      <c r="S116" s="4">
        <v>1</v>
      </c>
      <c r="T116" s="4">
        <v>1</v>
      </c>
      <c r="U116" s="5" t="s">
        <v>1656</v>
      </c>
      <c r="V116" s="5" t="s">
        <v>1656</v>
      </c>
      <c r="W116" s="5" t="s">
        <v>1657</v>
      </c>
      <c r="X116" s="5" t="s">
        <v>1657</v>
      </c>
      <c r="Y116" s="4">
        <v>614</v>
      </c>
      <c r="Z116" s="4">
        <v>485</v>
      </c>
      <c r="AA116" s="4">
        <v>503</v>
      </c>
      <c r="AB116" s="4">
        <v>3</v>
      </c>
      <c r="AC116" s="4">
        <v>3</v>
      </c>
      <c r="AD116" s="4">
        <v>23</v>
      </c>
      <c r="AE116" s="4">
        <v>24</v>
      </c>
      <c r="AF116" s="4">
        <v>6</v>
      </c>
      <c r="AG116" s="4">
        <v>7</v>
      </c>
      <c r="AH116" s="4">
        <v>7</v>
      </c>
      <c r="AI116" s="4">
        <v>7</v>
      </c>
      <c r="AJ116" s="4">
        <v>11</v>
      </c>
      <c r="AK116" s="4">
        <v>11</v>
      </c>
      <c r="AL116" s="4">
        <v>2</v>
      </c>
      <c r="AM116" s="4">
        <v>2</v>
      </c>
      <c r="AN116" s="4">
        <v>1</v>
      </c>
      <c r="AO116" s="4">
        <v>1</v>
      </c>
      <c r="AP116" s="3" t="s">
        <v>58</v>
      </c>
      <c r="AQ116" s="3" t="s">
        <v>68</v>
      </c>
      <c r="AR116" s="6" t="str">
        <f>HYPERLINK("http://catalog.hathitrust.org/Record/000803244","HathiTrust Record")</f>
        <v>HathiTrust Record</v>
      </c>
      <c r="AS116" s="6" t="str">
        <f>HYPERLINK("https://creighton-primo.hosted.exlibrisgroup.com/primo-explore/search?tab=default_tab&amp;search_scope=EVERYTHING&amp;vid=01CRU&amp;lang=en_US&amp;offset=0&amp;query=any,contains,991001235079702656","Catalog Record")</f>
        <v>Catalog Record</v>
      </c>
      <c r="AT116" s="6" t="str">
        <f>HYPERLINK("http://www.worldcat.org/oclc/205427","WorldCat Record")</f>
        <v>WorldCat Record</v>
      </c>
      <c r="AU116" s="3" t="s">
        <v>1658</v>
      </c>
      <c r="AV116" s="3" t="s">
        <v>1659</v>
      </c>
      <c r="AW116" s="3" t="s">
        <v>1660</v>
      </c>
      <c r="AX116" s="3" t="s">
        <v>1660</v>
      </c>
      <c r="AY116" s="3" t="s">
        <v>1661</v>
      </c>
      <c r="AZ116" s="3" t="s">
        <v>73</v>
      </c>
      <c r="BC116" s="3" t="s">
        <v>1662</v>
      </c>
      <c r="BD116" s="3" t="s">
        <v>1663</v>
      </c>
    </row>
    <row r="117" spans="1:56" ht="38.25" customHeight="1" x14ac:dyDescent="0.25">
      <c r="A117" s="7" t="s">
        <v>58</v>
      </c>
      <c r="B117" s="2" t="s">
        <v>1664</v>
      </c>
      <c r="C117" s="2" t="s">
        <v>1665</v>
      </c>
      <c r="D117" s="2" t="s">
        <v>1666</v>
      </c>
      <c r="F117" s="3" t="s">
        <v>58</v>
      </c>
      <c r="G117" s="3" t="s">
        <v>59</v>
      </c>
      <c r="H117" s="3" t="s">
        <v>58</v>
      </c>
      <c r="I117" s="3" t="s">
        <v>58</v>
      </c>
      <c r="J117" s="3" t="s">
        <v>60</v>
      </c>
      <c r="L117" s="2" t="s">
        <v>1667</v>
      </c>
      <c r="M117" s="3" t="s">
        <v>192</v>
      </c>
      <c r="O117" s="3" t="s">
        <v>64</v>
      </c>
      <c r="P117" s="3" t="s">
        <v>114</v>
      </c>
      <c r="R117" s="3" t="s">
        <v>1531</v>
      </c>
      <c r="S117" s="4">
        <v>4</v>
      </c>
      <c r="T117" s="4">
        <v>4</v>
      </c>
      <c r="U117" s="5" t="s">
        <v>1668</v>
      </c>
      <c r="V117" s="5" t="s">
        <v>1668</v>
      </c>
      <c r="W117" s="5" t="s">
        <v>1669</v>
      </c>
      <c r="X117" s="5" t="s">
        <v>1669</v>
      </c>
      <c r="Y117" s="4">
        <v>132</v>
      </c>
      <c r="Z117" s="4">
        <v>106</v>
      </c>
      <c r="AA117" s="4">
        <v>163</v>
      </c>
      <c r="AB117" s="4">
        <v>3</v>
      </c>
      <c r="AC117" s="4">
        <v>3</v>
      </c>
      <c r="AD117" s="4">
        <v>7</v>
      </c>
      <c r="AE117" s="4">
        <v>8</v>
      </c>
      <c r="AF117" s="4">
        <v>1</v>
      </c>
      <c r="AG117" s="4">
        <v>1</v>
      </c>
      <c r="AH117" s="4">
        <v>3</v>
      </c>
      <c r="AI117" s="4">
        <v>3</v>
      </c>
      <c r="AJ117" s="4">
        <v>3</v>
      </c>
      <c r="AK117" s="4">
        <v>4</v>
      </c>
      <c r="AL117" s="4">
        <v>2</v>
      </c>
      <c r="AM117" s="4">
        <v>2</v>
      </c>
      <c r="AN117" s="4">
        <v>0</v>
      </c>
      <c r="AO117" s="4">
        <v>0</v>
      </c>
      <c r="AP117" s="3" t="s">
        <v>58</v>
      </c>
      <c r="AQ117" s="3" t="s">
        <v>58</v>
      </c>
      <c r="AS117" s="6" t="str">
        <f>HYPERLINK("https://creighton-primo.hosted.exlibrisgroup.com/primo-explore/search?tab=default_tab&amp;search_scope=EVERYTHING&amp;vid=01CRU&amp;lang=en_US&amp;offset=0&amp;query=any,contains,991004717219702656","Catalog Record")</f>
        <v>Catalog Record</v>
      </c>
      <c r="AT117" s="6" t="str">
        <f>HYPERLINK("http://www.worldcat.org/oclc/4776763","WorldCat Record")</f>
        <v>WorldCat Record</v>
      </c>
      <c r="AU117" s="3" t="s">
        <v>1670</v>
      </c>
      <c r="AV117" s="3" t="s">
        <v>1671</v>
      </c>
      <c r="AW117" s="3" t="s">
        <v>1672</v>
      </c>
      <c r="AX117" s="3" t="s">
        <v>1672</v>
      </c>
      <c r="AY117" s="3" t="s">
        <v>1673</v>
      </c>
      <c r="AZ117" s="3" t="s">
        <v>73</v>
      </c>
      <c r="BB117" s="3" t="s">
        <v>1674</v>
      </c>
      <c r="BC117" s="3" t="s">
        <v>1675</v>
      </c>
      <c r="BD117" s="3" t="s">
        <v>1676</v>
      </c>
    </row>
    <row r="118" spans="1:56" ht="38.25" customHeight="1" x14ac:dyDescent="0.25">
      <c r="A118" s="7" t="s">
        <v>58</v>
      </c>
      <c r="B118" s="2" t="s">
        <v>1677</v>
      </c>
      <c r="C118" s="2" t="s">
        <v>1678</v>
      </c>
      <c r="D118" s="2" t="s">
        <v>1679</v>
      </c>
      <c r="F118" s="3" t="s">
        <v>58</v>
      </c>
      <c r="G118" s="3" t="s">
        <v>59</v>
      </c>
      <c r="H118" s="3" t="s">
        <v>58</v>
      </c>
      <c r="I118" s="3" t="s">
        <v>58</v>
      </c>
      <c r="J118" s="3" t="s">
        <v>60</v>
      </c>
      <c r="K118" s="2" t="s">
        <v>1680</v>
      </c>
      <c r="L118" s="2" t="s">
        <v>1681</v>
      </c>
      <c r="M118" s="3" t="s">
        <v>1682</v>
      </c>
      <c r="O118" s="3" t="s">
        <v>64</v>
      </c>
      <c r="P118" s="3" t="s">
        <v>65</v>
      </c>
      <c r="Q118" s="2" t="s">
        <v>1683</v>
      </c>
      <c r="R118" s="3" t="s">
        <v>1531</v>
      </c>
      <c r="S118" s="4">
        <v>16</v>
      </c>
      <c r="T118" s="4">
        <v>16</v>
      </c>
      <c r="U118" s="5" t="s">
        <v>1684</v>
      </c>
      <c r="V118" s="5" t="s">
        <v>1684</v>
      </c>
      <c r="W118" s="5" t="s">
        <v>1685</v>
      </c>
      <c r="X118" s="5" t="s">
        <v>1685</v>
      </c>
      <c r="Y118" s="4">
        <v>671</v>
      </c>
      <c r="Z118" s="4">
        <v>552</v>
      </c>
      <c r="AA118" s="4">
        <v>640</v>
      </c>
      <c r="AB118" s="4">
        <v>3</v>
      </c>
      <c r="AC118" s="4">
        <v>3</v>
      </c>
      <c r="AD118" s="4">
        <v>29</v>
      </c>
      <c r="AE118" s="4">
        <v>34</v>
      </c>
      <c r="AF118" s="4">
        <v>9</v>
      </c>
      <c r="AG118" s="4">
        <v>11</v>
      </c>
      <c r="AH118" s="4">
        <v>6</v>
      </c>
      <c r="AI118" s="4">
        <v>7</v>
      </c>
      <c r="AJ118" s="4">
        <v>16</v>
      </c>
      <c r="AK118" s="4">
        <v>16</v>
      </c>
      <c r="AL118" s="4">
        <v>2</v>
      </c>
      <c r="AM118" s="4">
        <v>2</v>
      </c>
      <c r="AN118" s="4">
        <v>3</v>
      </c>
      <c r="AO118" s="4">
        <v>5</v>
      </c>
      <c r="AP118" s="3" t="s">
        <v>58</v>
      </c>
      <c r="AQ118" s="3" t="s">
        <v>58</v>
      </c>
      <c r="AS118" s="6" t="str">
        <f>HYPERLINK("https://creighton-primo.hosted.exlibrisgroup.com/primo-explore/search?tab=default_tab&amp;search_scope=EVERYTHING&amp;vid=01CRU&amp;lang=en_US&amp;offset=0&amp;query=any,contains,991003017509702656","Catalog Record")</f>
        <v>Catalog Record</v>
      </c>
      <c r="AT118" s="6" t="str">
        <f>HYPERLINK("http://www.worldcat.org/oclc/582171","WorldCat Record")</f>
        <v>WorldCat Record</v>
      </c>
      <c r="AU118" s="3" t="s">
        <v>1686</v>
      </c>
      <c r="AV118" s="3" t="s">
        <v>1687</v>
      </c>
      <c r="AW118" s="3" t="s">
        <v>1688</v>
      </c>
      <c r="AX118" s="3" t="s">
        <v>1688</v>
      </c>
      <c r="AY118" s="3" t="s">
        <v>1689</v>
      </c>
      <c r="AZ118" s="3" t="s">
        <v>73</v>
      </c>
      <c r="BC118" s="3" t="s">
        <v>1690</v>
      </c>
      <c r="BD118" s="3" t="s">
        <v>1691</v>
      </c>
    </row>
    <row r="119" spans="1:56" ht="38.25" customHeight="1" x14ac:dyDescent="0.25">
      <c r="A119" s="7" t="s">
        <v>58</v>
      </c>
      <c r="B119" s="2" t="s">
        <v>1692</v>
      </c>
      <c r="C119" s="2" t="s">
        <v>1693</v>
      </c>
      <c r="D119" s="2" t="s">
        <v>1694</v>
      </c>
      <c r="F119" s="3" t="s">
        <v>58</v>
      </c>
      <c r="G119" s="3" t="s">
        <v>59</v>
      </c>
      <c r="H119" s="3" t="s">
        <v>58</v>
      </c>
      <c r="I119" s="3" t="s">
        <v>58</v>
      </c>
      <c r="J119" s="3" t="s">
        <v>60</v>
      </c>
      <c r="K119" s="2" t="s">
        <v>1695</v>
      </c>
      <c r="L119" s="2" t="s">
        <v>1696</v>
      </c>
      <c r="M119" s="3" t="s">
        <v>206</v>
      </c>
      <c r="O119" s="3" t="s">
        <v>64</v>
      </c>
      <c r="P119" s="3" t="s">
        <v>147</v>
      </c>
      <c r="R119" s="3" t="s">
        <v>1531</v>
      </c>
      <c r="S119" s="4">
        <v>1</v>
      </c>
      <c r="T119" s="4">
        <v>1</v>
      </c>
      <c r="U119" s="5" t="s">
        <v>1697</v>
      </c>
      <c r="V119" s="5" t="s">
        <v>1697</v>
      </c>
      <c r="W119" s="5" t="s">
        <v>1698</v>
      </c>
      <c r="X119" s="5" t="s">
        <v>1698</v>
      </c>
      <c r="Y119" s="4">
        <v>164</v>
      </c>
      <c r="Z119" s="4">
        <v>133</v>
      </c>
      <c r="AA119" s="4">
        <v>133</v>
      </c>
      <c r="AB119" s="4">
        <v>1</v>
      </c>
      <c r="AC119" s="4">
        <v>1</v>
      </c>
      <c r="AD119" s="4">
        <v>5</v>
      </c>
      <c r="AE119" s="4">
        <v>5</v>
      </c>
      <c r="AF119" s="4">
        <v>1</v>
      </c>
      <c r="AG119" s="4">
        <v>1</v>
      </c>
      <c r="AH119" s="4">
        <v>1</v>
      </c>
      <c r="AI119" s="4">
        <v>1</v>
      </c>
      <c r="AJ119" s="4">
        <v>5</v>
      </c>
      <c r="AK119" s="4">
        <v>5</v>
      </c>
      <c r="AL119" s="4">
        <v>0</v>
      </c>
      <c r="AM119" s="4">
        <v>0</v>
      </c>
      <c r="AN119" s="4">
        <v>0</v>
      </c>
      <c r="AO119" s="4">
        <v>0</v>
      </c>
      <c r="AP119" s="3" t="s">
        <v>58</v>
      </c>
      <c r="AQ119" s="3" t="s">
        <v>58</v>
      </c>
      <c r="AS119" s="6" t="str">
        <f>HYPERLINK("https://creighton-primo.hosted.exlibrisgroup.com/primo-explore/search?tab=default_tab&amp;search_scope=EVERYTHING&amp;vid=01CRU&amp;lang=en_US&amp;offset=0&amp;query=any,contains,991005435039702656","Catalog Record")</f>
        <v>Catalog Record</v>
      </c>
      <c r="AT119" s="6" t="str">
        <f>HYPERLINK("http://www.worldcat.org/oclc/2744","WorldCat Record")</f>
        <v>WorldCat Record</v>
      </c>
      <c r="AU119" s="3" t="s">
        <v>1699</v>
      </c>
      <c r="AV119" s="3" t="s">
        <v>1700</v>
      </c>
      <c r="AW119" s="3" t="s">
        <v>1701</v>
      </c>
      <c r="AX119" s="3" t="s">
        <v>1701</v>
      </c>
      <c r="AY119" s="3" t="s">
        <v>1702</v>
      </c>
      <c r="AZ119" s="3" t="s">
        <v>73</v>
      </c>
      <c r="BC119" s="3" t="s">
        <v>1703</v>
      </c>
      <c r="BD119" s="3" t="s">
        <v>1704</v>
      </c>
    </row>
    <row r="120" spans="1:56" ht="38.25" customHeight="1" x14ac:dyDescent="0.25">
      <c r="A120" s="7" t="s">
        <v>58</v>
      </c>
      <c r="B120" s="2" t="s">
        <v>1705</v>
      </c>
      <c r="C120" s="2" t="s">
        <v>1706</v>
      </c>
      <c r="D120" s="2" t="s">
        <v>1707</v>
      </c>
      <c r="F120" s="3" t="s">
        <v>58</v>
      </c>
      <c r="G120" s="3" t="s">
        <v>59</v>
      </c>
      <c r="H120" s="3" t="s">
        <v>58</v>
      </c>
      <c r="I120" s="3" t="s">
        <v>58</v>
      </c>
      <c r="J120" s="3" t="s">
        <v>60</v>
      </c>
      <c r="K120" s="2" t="s">
        <v>1708</v>
      </c>
      <c r="L120" s="2" t="s">
        <v>1709</v>
      </c>
      <c r="M120" s="3" t="s">
        <v>1036</v>
      </c>
      <c r="O120" s="3" t="s">
        <v>64</v>
      </c>
      <c r="P120" s="3" t="s">
        <v>162</v>
      </c>
      <c r="Q120" s="2" t="s">
        <v>1546</v>
      </c>
      <c r="R120" s="3" t="s">
        <v>1531</v>
      </c>
      <c r="S120" s="4">
        <v>1</v>
      </c>
      <c r="T120" s="4">
        <v>1</v>
      </c>
      <c r="U120" s="5" t="s">
        <v>1710</v>
      </c>
      <c r="V120" s="5" t="s">
        <v>1710</v>
      </c>
      <c r="W120" s="5" t="s">
        <v>1711</v>
      </c>
      <c r="X120" s="5" t="s">
        <v>1711</v>
      </c>
      <c r="Y120" s="4">
        <v>267</v>
      </c>
      <c r="Z120" s="4">
        <v>202</v>
      </c>
      <c r="AA120" s="4">
        <v>280</v>
      </c>
      <c r="AB120" s="4">
        <v>3</v>
      </c>
      <c r="AC120" s="4">
        <v>3</v>
      </c>
      <c r="AD120" s="4">
        <v>11</v>
      </c>
      <c r="AE120" s="4">
        <v>12</v>
      </c>
      <c r="AF120" s="4">
        <v>3</v>
      </c>
      <c r="AG120" s="4">
        <v>3</v>
      </c>
      <c r="AH120" s="4">
        <v>1</v>
      </c>
      <c r="AI120" s="4">
        <v>1</v>
      </c>
      <c r="AJ120" s="4">
        <v>8</v>
      </c>
      <c r="AK120" s="4">
        <v>8</v>
      </c>
      <c r="AL120" s="4">
        <v>2</v>
      </c>
      <c r="AM120" s="4">
        <v>2</v>
      </c>
      <c r="AN120" s="4">
        <v>0</v>
      </c>
      <c r="AO120" s="4">
        <v>1</v>
      </c>
      <c r="AP120" s="3" t="s">
        <v>58</v>
      </c>
      <c r="AQ120" s="3" t="s">
        <v>58</v>
      </c>
      <c r="AS120" s="6" t="str">
        <f>HYPERLINK("https://creighton-primo.hosted.exlibrisgroup.com/primo-explore/search?tab=default_tab&amp;search_scope=EVERYTHING&amp;vid=01CRU&amp;lang=en_US&amp;offset=0&amp;query=any,contains,991000659029702656","Catalog Record")</f>
        <v>Catalog Record</v>
      </c>
      <c r="AT120" s="6" t="str">
        <f>HYPERLINK("http://www.worldcat.org/oclc/116886","WorldCat Record")</f>
        <v>WorldCat Record</v>
      </c>
      <c r="AU120" s="3" t="s">
        <v>1712</v>
      </c>
      <c r="AV120" s="3" t="s">
        <v>1713</v>
      </c>
      <c r="AW120" s="3" t="s">
        <v>1714</v>
      </c>
      <c r="AX120" s="3" t="s">
        <v>1714</v>
      </c>
      <c r="AY120" s="3" t="s">
        <v>1715</v>
      </c>
      <c r="AZ120" s="3" t="s">
        <v>73</v>
      </c>
      <c r="BB120" s="3" t="s">
        <v>1716</v>
      </c>
      <c r="BC120" s="3" t="s">
        <v>1717</v>
      </c>
      <c r="BD120" s="3" t="s">
        <v>1718</v>
      </c>
    </row>
    <row r="121" spans="1:56" ht="38.25" customHeight="1" x14ac:dyDescent="0.25">
      <c r="A121" s="7" t="s">
        <v>58</v>
      </c>
      <c r="B121" s="2" t="s">
        <v>1719</v>
      </c>
      <c r="C121" s="2" t="s">
        <v>1720</v>
      </c>
      <c r="D121" s="2" t="s">
        <v>1721</v>
      </c>
      <c r="F121" s="3" t="s">
        <v>58</v>
      </c>
      <c r="G121" s="3" t="s">
        <v>59</v>
      </c>
      <c r="H121" s="3" t="s">
        <v>58</v>
      </c>
      <c r="I121" s="3" t="s">
        <v>58</v>
      </c>
      <c r="J121" s="3" t="s">
        <v>60</v>
      </c>
      <c r="K121" s="2" t="s">
        <v>1722</v>
      </c>
      <c r="L121" s="2" t="s">
        <v>1723</v>
      </c>
      <c r="M121" s="3" t="s">
        <v>1724</v>
      </c>
      <c r="O121" s="3" t="s">
        <v>64</v>
      </c>
      <c r="P121" s="3" t="s">
        <v>65</v>
      </c>
      <c r="R121" s="3" t="s">
        <v>1531</v>
      </c>
      <c r="S121" s="4">
        <v>4</v>
      </c>
      <c r="T121" s="4">
        <v>4</v>
      </c>
      <c r="U121" s="5" t="s">
        <v>1725</v>
      </c>
      <c r="V121" s="5" t="s">
        <v>1725</v>
      </c>
      <c r="W121" s="5" t="s">
        <v>1548</v>
      </c>
      <c r="X121" s="5" t="s">
        <v>1548</v>
      </c>
      <c r="Y121" s="4">
        <v>561</v>
      </c>
      <c r="Z121" s="4">
        <v>457</v>
      </c>
      <c r="AA121" s="4">
        <v>585</v>
      </c>
      <c r="AB121" s="4">
        <v>4</v>
      </c>
      <c r="AC121" s="4">
        <v>5</v>
      </c>
      <c r="AD121" s="4">
        <v>20</v>
      </c>
      <c r="AE121" s="4">
        <v>32</v>
      </c>
      <c r="AF121" s="4">
        <v>5</v>
      </c>
      <c r="AG121" s="4">
        <v>9</v>
      </c>
      <c r="AH121" s="4">
        <v>5</v>
      </c>
      <c r="AI121" s="4">
        <v>7</v>
      </c>
      <c r="AJ121" s="4">
        <v>11</v>
      </c>
      <c r="AK121" s="4">
        <v>17</v>
      </c>
      <c r="AL121" s="4">
        <v>3</v>
      </c>
      <c r="AM121" s="4">
        <v>4</v>
      </c>
      <c r="AN121" s="4">
        <v>1</v>
      </c>
      <c r="AO121" s="4">
        <v>3</v>
      </c>
      <c r="AP121" s="3" t="s">
        <v>58</v>
      </c>
      <c r="AQ121" s="3" t="s">
        <v>68</v>
      </c>
      <c r="AR121" s="6" t="str">
        <f>HYPERLINK("http://catalog.hathitrust.org/Record/001755597","HathiTrust Record")</f>
        <v>HathiTrust Record</v>
      </c>
      <c r="AS121" s="6" t="str">
        <f>HYPERLINK("https://creighton-primo.hosted.exlibrisgroup.com/primo-explore/search?tab=default_tab&amp;search_scope=EVERYTHING&amp;vid=01CRU&amp;lang=en_US&amp;offset=0&amp;query=any,contains,991001453089702656","Catalog Record")</f>
        <v>Catalog Record</v>
      </c>
      <c r="AT121" s="6" t="str">
        <f>HYPERLINK("http://www.worldcat.org/oclc/231287","WorldCat Record")</f>
        <v>WorldCat Record</v>
      </c>
      <c r="AU121" s="3" t="s">
        <v>1726</v>
      </c>
      <c r="AV121" s="3" t="s">
        <v>1727</v>
      </c>
      <c r="AW121" s="3" t="s">
        <v>1728</v>
      </c>
      <c r="AX121" s="3" t="s">
        <v>1728</v>
      </c>
      <c r="AY121" s="3" t="s">
        <v>1729</v>
      </c>
      <c r="AZ121" s="3" t="s">
        <v>73</v>
      </c>
      <c r="BC121" s="3" t="s">
        <v>1730</v>
      </c>
      <c r="BD121" s="3" t="s">
        <v>1731</v>
      </c>
    </row>
    <row r="122" spans="1:56" ht="38.25" customHeight="1" x14ac:dyDescent="0.25">
      <c r="A122" s="7" t="s">
        <v>58</v>
      </c>
      <c r="B122" s="2" t="s">
        <v>1732</v>
      </c>
      <c r="C122" s="2" t="s">
        <v>1733</v>
      </c>
      <c r="D122" s="2" t="s">
        <v>1734</v>
      </c>
      <c r="F122" s="3" t="s">
        <v>58</v>
      </c>
      <c r="G122" s="3" t="s">
        <v>59</v>
      </c>
      <c r="H122" s="3" t="s">
        <v>58</v>
      </c>
      <c r="I122" s="3" t="s">
        <v>58</v>
      </c>
      <c r="J122" s="3" t="s">
        <v>60</v>
      </c>
      <c r="K122" s="2" t="s">
        <v>1735</v>
      </c>
      <c r="L122" s="2" t="s">
        <v>1736</v>
      </c>
      <c r="M122" s="3" t="s">
        <v>338</v>
      </c>
      <c r="N122" s="2" t="s">
        <v>1737</v>
      </c>
      <c r="O122" s="3" t="s">
        <v>64</v>
      </c>
      <c r="P122" s="3" t="s">
        <v>580</v>
      </c>
      <c r="R122" s="3" t="s">
        <v>1531</v>
      </c>
      <c r="S122" s="4">
        <v>1</v>
      </c>
      <c r="T122" s="4">
        <v>1</v>
      </c>
      <c r="U122" s="5" t="s">
        <v>1710</v>
      </c>
      <c r="V122" s="5" t="s">
        <v>1710</v>
      </c>
      <c r="W122" s="5" t="s">
        <v>1548</v>
      </c>
      <c r="X122" s="5" t="s">
        <v>1548</v>
      </c>
      <c r="Y122" s="4">
        <v>352</v>
      </c>
      <c r="Z122" s="4">
        <v>284</v>
      </c>
      <c r="AA122" s="4">
        <v>537</v>
      </c>
      <c r="AB122" s="4">
        <v>4</v>
      </c>
      <c r="AC122" s="4">
        <v>4</v>
      </c>
      <c r="AD122" s="4">
        <v>12</v>
      </c>
      <c r="AE122" s="4">
        <v>20</v>
      </c>
      <c r="AF122" s="4">
        <v>2</v>
      </c>
      <c r="AG122" s="4">
        <v>6</v>
      </c>
      <c r="AH122" s="4">
        <v>4</v>
      </c>
      <c r="AI122" s="4">
        <v>6</v>
      </c>
      <c r="AJ122" s="4">
        <v>5</v>
      </c>
      <c r="AK122" s="4">
        <v>9</v>
      </c>
      <c r="AL122" s="4">
        <v>2</v>
      </c>
      <c r="AM122" s="4">
        <v>2</v>
      </c>
      <c r="AN122" s="4">
        <v>1</v>
      </c>
      <c r="AO122" s="4">
        <v>2</v>
      </c>
      <c r="AP122" s="3" t="s">
        <v>58</v>
      </c>
      <c r="AQ122" s="3" t="s">
        <v>68</v>
      </c>
      <c r="AR122" s="6" t="str">
        <f>HYPERLINK("http://catalog.hathitrust.org/Record/001152687","HathiTrust Record")</f>
        <v>HathiTrust Record</v>
      </c>
      <c r="AS122" s="6" t="str">
        <f>HYPERLINK("https://creighton-primo.hosted.exlibrisgroup.com/primo-explore/search?tab=default_tab&amp;search_scope=EVERYTHING&amp;vid=01CRU&amp;lang=en_US&amp;offset=0&amp;query=any,contains,991005439609702656","Catalog Record")</f>
        <v>Catalog Record</v>
      </c>
      <c r="AT122" s="6" t="str">
        <f>HYPERLINK("http://www.worldcat.org/oclc/7055","WorldCat Record")</f>
        <v>WorldCat Record</v>
      </c>
      <c r="AU122" s="3" t="s">
        <v>1738</v>
      </c>
      <c r="AV122" s="3" t="s">
        <v>1739</v>
      </c>
      <c r="AW122" s="3" t="s">
        <v>1740</v>
      </c>
      <c r="AX122" s="3" t="s">
        <v>1740</v>
      </c>
      <c r="AY122" s="3" t="s">
        <v>1741</v>
      </c>
      <c r="AZ122" s="3" t="s">
        <v>73</v>
      </c>
      <c r="BC122" s="3" t="s">
        <v>1742</v>
      </c>
      <c r="BD122" s="3" t="s">
        <v>1743</v>
      </c>
    </row>
    <row r="123" spans="1:56" ht="38.25" customHeight="1" x14ac:dyDescent="0.25">
      <c r="A123" s="7" t="s">
        <v>58</v>
      </c>
      <c r="B123" s="2" t="s">
        <v>1744</v>
      </c>
      <c r="C123" s="2" t="s">
        <v>1745</v>
      </c>
      <c r="D123" s="2" t="s">
        <v>1746</v>
      </c>
      <c r="F123" s="3" t="s">
        <v>58</v>
      </c>
      <c r="G123" s="3" t="s">
        <v>59</v>
      </c>
      <c r="H123" s="3" t="s">
        <v>58</v>
      </c>
      <c r="I123" s="3" t="s">
        <v>58</v>
      </c>
      <c r="J123" s="3" t="s">
        <v>60</v>
      </c>
      <c r="K123" s="2" t="s">
        <v>1747</v>
      </c>
      <c r="L123" s="2" t="s">
        <v>1748</v>
      </c>
      <c r="M123" s="3" t="s">
        <v>338</v>
      </c>
      <c r="N123" s="2" t="s">
        <v>992</v>
      </c>
      <c r="O123" s="3" t="s">
        <v>64</v>
      </c>
      <c r="P123" s="3" t="s">
        <v>65</v>
      </c>
      <c r="R123" s="3" t="s">
        <v>1531</v>
      </c>
      <c r="S123" s="4">
        <v>13</v>
      </c>
      <c r="T123" s="4">
        <v>13</v>
      </c>
      <c r="U123" s="5" t="s">
        <v>1749</v>
      </c>
      <c r="V123" s="5" t="s">
        <v>1749</v>
      </c>
      <c r="W123" s="5" t="s">
        <v>1750</v>
      </c>
      <c r="X123" s="5" t="s">
        <v>1750</v>
      </c>
      <c r="Y123" s="4">
        <v>865</v>
      </c>
      <c r="Z123" s="4">
        <v>667</v>
      </c>
      <c r="AA123" s="4">
        <v>849</v>
      </c>
      <c r="AB123" s="4">
        <v>7</v>
      </c>
      <c r="AC123" s="4">
        <v>8</v>
      </c>
      <c r="AD123" s="4">
        <v>35</v>
      </c>
      <c r="AE123" s="4">
        <v>43</v>
      </c>
      <c r="AF123" s="4">
        <v>15</v>
      </c>
      <c r="AG123" s="4">
        <v>17</v>
      </c>
      <c r="AH123" s="4">
        <v>6</v>
      </c>
      <c r="AI123" s="4">
        <v>8</v>
      </c>
      <c r="AJ123" s="4">
        <v>14</v>
      </c>
      <c r="AK123" s="4">
        <v>17</v>
      </c>
      <c r="AL123" s="4">
        <v>6</v>
      </c>
      <c r="AM123" s="4">
        <v>7</v>
      </c>
      <c r="AN123" s="4">
        <v>2</v>
      </c>
      <c r="AO123" s="4">
        <v>3</v>
      </c>
      <c r="AP123" s="3" t="s">
        <v>58</v>
      </c>
      <c r="AQ123" s="3" t="s">
        <v>68</v>
      </c>
      <c r="AR123" s="6" t="str">
        <f>HYPERLINK("http://catalog.hathitrust.org/Record/000803224","HathiTrust Record")</f>
        <v>HathiTrust Record</v>
      </c>
      <c r="AS123" s="6" t="str">
        <f>HYPERLINK("https://creighton-primo.hosted.exlibrisgroup.com/primo-explore/search?tab=default_tab&amp;search_scope=EVERYTHING&amp;vid=01CRU&amp;lang=en_US&amp;offset=0&amp;query=any,contains,991005436389702656","Catalog Record")</f>
        <v>Catalog Record</v>
      </c>
      <c r="AT123" s="6" t="str">
        <f>HYPERLINK("http://www.worldcat.org/oclc/4347","WorldCat Record")</f>
        <v>WorldCat Record</v>
      </c>
      <c r="AU123" s="3" t="s">
        <v>1751</v>
      </c>
      <c r="AV123" s="3" t="s">
        <v>1752</v>
      </c>
      <c r="AW123" s="3" t="s">
        <v>1753</v>
      </c>
      <c r="AX123" s="3" t="s">
        <v>1753</v>
      </c>
      <c r="AY123" s="3" t="s">
        <v>1754</v>
      </c>
      <c r="AZ123" s="3" t="s">
        <v>73</v>
      </c>
      <c r="BC123" s="3" t="s">
        <v>1755</v>
      </c>
      <c r="BD123" s="3" t="s">
        <v>1756</v>
      </c>
    </row>
    <row r="124" spans="1:56" ht="38.25" customHeight="1" x14ac:dyDescent="0.25">
      <c r="A124" s="7" t="s">
        <v>58</v>
      </c>
      <c r="B124" s="2" t="s">
        <v>1757</v>
      </c>
      <c r="C124" s="2" t="s">
        <v>1758</v>
      </c>
      <c r="D124" s="2" t="s">
        <v>1759</v>
      </c>
      <c r="F124" s="3" t="s">
        <v>58</v>
      </c>
      <c r="G124" s="3" t="s">
        <v>59</v>
      </c>
      <c r="H124" s="3" t="s">
        <v>58</v>
      </c>
      <c r="I124" s="3" t="s">
        <v>58</v>
      </c>
      <c r="J124" s="3" t="s">
        <v>60</v>
      </c>
      <c r="K124" s="2" t="s">
        <v>1760</v>
      </c>
      <c r="L124" s="2" t="s">
        <v>1761</v>
      </c>
      <c r="M124" s="3" t="s">
        <v>146</v>
      </c>
      <c r="O124" s="3" t="s">
        <v>64</v>
      </c>
      <c r="P124" s="3" t="s">
        <v>114</v>
      </c>
      <c r="R124" s="3" t="s">
        <v>1531</v>
      </c>
      <c r="S124" s="4">
        <v>12</v>
      </c>
      <c r="T124" s="4">
        <v>12</v>
      </c>
      <c r="U124" s="5" t="s">
        <v>1762</v>
      </c>
      <c r="V124" s="5" t="s">
        <v>1762</v>
      </c>
      <c r="W124" s="5" t="s">
        <v>1669</v>
      </c>
      <c r="X124" s="5" t="s">
        <v>1669</v>
      </c>
      <c r="Y124" s="4">
        <v>525</v>
      </c>
      <c r="Z124" s="4">
        <v>379</v>
      </c>
      <c r="AA124" s="4">
        <v>380</v>
      </c>
      <c r="AB124" s="4">
        <v>3</v>
      </c>
      <c r="AC124" s="4">
        <v>3</v>
      </c>
      <c r="AD124" s="4">
        <v>17</v>
      </c>
      <c r="AE124" s="4">
        <v>17</v>
      </c>
      <c r="AF124" s="4">
        <v>7</v>
      </c>
      <c r="AG124" s="4">
        <v>7</v>
      </c>
      <c r="AH124" s="4">
        <v>3</v>
      </c>
      <c r="AI124" s="4">
        <v>3</v>
      </c>
      <c r="AJ124" s="4">
        <v>9</v>
      </c>
      <c r="AK124" s="4">
        <v>9</v>
      </c>
      <c r="AL124" s="4">
        <v>2</v>
      </c>
      <c r="AM124" s="4">
        <v>2</v>
      </c>
      <c r="AN124" s="4">
        <v>1</v>
      </c>
      <c r="AO124" s="4">
        <v>1</v>
      </c>
      <c r="AP124" s="3" t="s">
        <v>58</v>
      </c>
      <c r="AQ124" s="3" t="s">
        <v>68</v>
      </c>
      <c r="AR124" s="6" t="str">
        <f>HYPERLINK("http://catalog.hathitrust.org/Record/000182273","HathiTrust Record")</f>
        <v>HathiTrust Record</v>
      </c>
      <c r="AS124" s="6" t="str">
        <f>HYPERLINK("https://creighton-primo.hosted.exlibrisgroup.com/primo-explore/search?tab=default_tab&amp;search_scope=EVERYTHING&amp;vid=01CRU&amp;lang=en_US&amp;offset=0&amp;query=any,contains,991005089289702656","Catalog Record")</f>
        <v>Catalog Record</v>
      </c>
      <c r="AT124" s="6" t="str">
        <f>HYPERLINK("http://www.worldcat.org/oclc/7206026","WorldCat Record")</f>
        <v>WorldCat Record</v>
      </c>
      <c r="AU124" s="3" t="s">
        <v>1763</v>
      </c>
      <c r="AV124" s="3" t="s">
        <v>1764</v>
      </c>
      <c r="AW124" s="3" t="s">
        <v>1765</v>
      </c>
      <c r="AX124" s="3" t="s">
        <v>1765</v>
      </c>
      <c r="AY124" s="3" t="s">
        <v>1766</v>
      </c>
      <c r="AZ124" s="3" t="s">
        <v>73</v>
      </c>
      <c r="BB124" s="3" t="s">
        <v>1767</v>
      </c>
      <c r="BC124" s="3" t="s">
        <v>1768</v>
      </c>
      <c r="BD124" s="3" t="s">
        <v>1769</v>
      </c>
    </row>
    <row r="125" spans="1:56" ht="38.25" customHeight="1" x14ac:dyDescent="0.25">
      <c r="A125" s="7" t="s">
        <v>58</v>
      </c>
      <c r="B125" s="2" t="s">
        <v>1770</v>
      </c>
      <c r="C125" s="2" t="s">
        <v>1771</v>
      </c>
      <c r="D125" s="2" t="s">
        <v>1772</v>
      </c>
      <c r="F125" s="3" t="s">
        <v>58</v>
      </c>
      <c r="G125" s="3" t="s">
        <v>59</v>
      </c>
      <c r="H125" s="3" t="s">
        <v>58</v>
      </c>
      <c r="I125" s="3" t="s">
        <v>58</v>
      </c>
      <c r="J125" s="3" t="s">
        <v>60</v>
      </c>
      <c r="L125" s="2" t="s">
        <v>1773</v>
      </c>
      <c r="M125" s="3" t="s">
        <v>365</v>
      </c>
      <c r="O125" s="3" t="s">
        <v>64</v>
      </c>
      <c r="P125" s="3" t="s">
        <v>114</v>
      </c>
      <c r="R125" s="3" t="s">
        <v>1531</v>
      </c>
      <c r="S125" s="4">
        <v>7</v>
      </c>
      <c r="T125" s="4">
        <v>7</v>
      </c>
      <c r="U125" s="5" t="s">
        <v>1774</v>
      </c>
      <c r="V125" s="5" t="s">
        <v>1774</v>
      </c>
      <c r="W125" s="5" t="s">
        <v>1775</v>
      </c>
      <c r="X125" s="5" t="s">
        <v>1775</v>
      </c>
      <c r="Y125" s="4">
        <v>535</v>
      </c>
      <c r="Z125" s="4">
        <v>377</v>
      </c>
      <c r="AA125" s="4">
        <v>416</v>
      </c>
      <c r="AB125" s="4">
        <v>4</v>
      </c>
      <c r="AC125" s="4">
        <v>4</v>
      </c>
      <c r="AD125" s="4">
        <v>16</v>
      </c>
      <c r="AE125" s="4">
        <v>18</v>
      </c>
      <c r="AF125" s="4">
        <v>4</v>
      </c>
      <c r="AG125" s="4">
        <v>5</v>
      </c>
      <c r="AH125" s="4">
        <v>5</v>
      </c>
      <c r="AI125" s="4">
        <v>5</v>
      </c>
      <c r="AJ125" s="4">
        <v>8</v>
      </c>
      <c r="AK125" s="4">
        <v>9</v>
      </c>
      <c r="AL125" s="4">
        <v>2</v>
      </c>
      <c r="AM125" s="4">
        <v>2</v>
      </c>
      <c r="AN125" s="4">
        <v>3</v>
      </c>
      <c r="AO125" s="4">
        <v>3</v>
      </c>
      <c r="AP125" s="3" t="s">
        <v>58</v>
      </c>
      <c r="AQ125" s="3" t="s">
        <v>68</v>
      </c>
      <c r="AR125" s="6" t="str">
        <f>HYPERLINK("http://catalog.hathitrust.org/Record/000208973","HathiTrust Record")</f>
        <v>HathiTrust Record</v>
      </c>
      <c r="AS125" s="6" t="str">
        <f>HYPERLINK("https://creighton-primo.hosted.exlibrisgroup.com/primo-explore/search?tab=default_tab&amp;search_scope=EVERYTHING&amp;vid=01CRU&amp;lang=en_US&amp;offset=0&amp;query=any,contains,991000327949702656","Catalog Record")</f>
        <v>Catalog Record</v>
      </c>
      <c r="AT125" s="6" t="str">
        <f>HYPERLINK("http://www.worldcat.org/oclc/10184527","WorldCat Record")</f>
        <v>WorldCat Record</v>
      </c>
      <c r="AU125" s="3" t="s">
        <v>1776</v>
      </c>
      <c r="AV125" s="3" t="s">
        <v>1777</v>
      </c>
      <c r="AW125" s="3" t="s">
        <v>1778</v>
      </c>
      <c r="AX125" s="3" t="s">
        <v>1778</v>
      </c>
      <c r="AY125" s="3" t="s">
        <v>1779</v>
      </c>
      <c r="AZ125" s="3" t="s">
        <v>73</v>
      </c>
      <c r="BB125" s="3" t="s">
        <v>1780</v>
      </c>
      <c r="BC125" s="3" t="s">
        <v>1781</v>
      </c>
      <c r="BD125" s="3" t="s">
        <v>1782</v>
      </c>
    </row>
    <row r="126" spans="1:56" ht="38.25" customHeight="1" x14ac:dyDescent="0.25">
      <c r="A126" s="7" t="s">
        <v>58</v>
      </c>
      <c r="B126" s="2" t="s">
        <v>1783</v>
      </c>
      <c r="C126" s="2" t="s">
        <v>1784</v>
      </c>
      <c r="D126" s="2" t="s">
        <v>1785</v>
      </c>
      <c r="F126" s="3" t="s">
        <v>58</v>
      </c>
      <c r="G126" s="3" t="s">
        <v>59</v>
      </c>
      <c r="H126" s="3" t="s">
        <v>58</v>
      </c>
      <c r="I126" s="3" t="s">
        <v>58</v>
      </c>
      <c r="J126" s="3" t="s">
        <v>60</v>
      </c>
      <c r="L126" s="2" t="s">
        <v>1786</v>
      </c>
      <c r="M126" s="3" t="s">
        <v>113</v>
      </c>
      <c r="O126" s="3" t="s">
        <v>64</v>
      </c>
      <c r="P126" s="3" t="s">
        <v>130</v>
      </c>
      <c r="R126" s="3" t="s">
        <v>1531</v>
      </c>
      <c r="S126" s="4">
        <v>3</v>
      </c>
      <c r="T126" s="4">
        <v>3</v>
      </c>
      <c r="U126" s="5" t="s">
        <v>1787</v>
      </c>
      <c r="V126" s="5" t="s">
        <v>1787</v>
      </c>
      <c r="W126" s="5" t="s">
        <v>1775</v>
      </c>
      <c r="X126" s="5" t="s">
        <v>1775</v>
      </c>
      <c r="Y126" s="4">
        <v>457</v>
      </c>
      <c r="Z126" s="4">
        <v>355</v>
      </c>
      <c r="AA126" s="4">
        <v>367</v>
      </c>
      <c r="AB126" s="4">
        <v>3</v>
      </c>
      <c r="AC126" s="4">
        <v>3</v>
      </c>
      <c r="AD126" s="4">
        <v>21</v>
      </c>
      <c r="AE126" s="4">
        <v>21</v>
      </c>
      <c r="AF126" s="4">
        <v>7</v>
      </c>
      <c r="AG126" s="4">
        <v>7</v>
      </c>
      <c r="AH126" s="4">
        <v>4</v>
      </c>
      <c r="AI126" s="4">
        <v>4</v>
      </c>
      <c r="AJ126" s="4">
        <v>13</v>
      </c>
      <c r="AK126" s="4">
        <v>13</v>
      </c>
      <c r="AL126" s="4">
        <v>2</v>
      </c>
      <c r="AM126" s="4">
        <v>2</v>
      </c>
      <c r="AN126" s="4">
        <v>0</v>
      </c>
      <c r="AO126" s="4">
        <v>0</v>
      </c>
      <c r="AP126" s="3" t="s">
        <v>58</v>
      </c>
      <c r="AQ126" s="3" t="s">
        <v>68</v>
      </c>
      <c r="AR126" s="6" t="str">
        <f>HYPERLINK("http://catalog.hathitrust.org/Record/000192868","HathiTrust Record")</f>
        <v>HathiTrust Record</v>
      </c>
      <c r="AS126" s="6" t="str">
        <f>HYPERLINK("https://creighton-primo.hosted.exlibrisgroup.com/primo-explore/search?tab=default_tab&amp;search_scope=EVERYTHING&amp;vid=01CRU&amp;lang=en_US&amp;offset=0&amp;query=any,contains,991000007969702656","Catalog Record")</f>
        <v>Catalog Record</v>
      </c>
      <c r="AT126" s="6" t="str">
        <f>HYPERLINK("http://www.worldcat.org/oclc/8532815","WorldCat Record")</f>
        <v>WorldCat Record</v>
      </c>
      <c r="AU126" s="3" t="s">
        <v>1788</v>
      </c>
      <c r="AV126" s="3" t="s">
        <v>1789</v>
      </c>
      <c r="AW126" s="3" t="s">
        <v>1790</v>
      </c>
      <c r="AX126" s="3" t="s">
        <v>1790</v>
      </c>
      <c r="AY126" s="3" t="s">
        <v>1791</v>
      </c>
      <c r="AZ126" s="3" t="s">
        <v>73</v>
      </c>
      <c r="BB126" s="3" t="s">
        <v>1792</v>
      </c>
      <c r="BC126" s="3" t="s">
        <v>1793</v>
      </c>
      <c r="BD126" s="3" t="s">
        <v>1794</v>
      </c>
    </row>
    <row r="127" spans="1:56" ht="38.25" customHeight="1" x14ac:dyDescent="0.25">
      <c r="A127" s="7" t="s">
        <v>58</v>
      </c>
      <c r="B127" s="2" t="s">
        <v>1795</v>
      </c>
      <c r="C127" s="2" t="s">
        <v>1796</v>
      </c>
      <c r="D127" s="2" t="s">
        <v>1797</v>
      </c>
      <c r="F127" s="3" t="s">
        <v>58</v>
      </c>
      <c r="G127" s="3" t="s">
        <v>59</v>
      </c>
      <c r="H127" s="3" t="s">
        <v>58</v>
      </c>
      <c r="I127" s="3" t="s">
        <v>58</v>
      </c>
      <c r="J127" s="3" t="s">
        <v>60</v>
      </c>
      <c r="K127" s="2" t="s">
        <v>1798</v>
      </c>
      <c r="L127" s="2" t="s">
        <v>1799</v>
      </c>
      <c r="M127" s="3" t="s">
        <v>1420</v>
      </c>
      <c r="O127" s="3" t="s">
        <v>64</v>
      </c>
      <c r="P127" s="3" t="s">
        <v>277</v>
      </c>
      <c r="Q127" s="2" t="s">
        <v>1800</v>
      </c>
      <c r="R127" s="3" t="s">
        <v>1531</v>
      </c>
      <c r="S127" s="4">
        <v>1</v>
      </c>
      <c r="T127" s="4">
        <v>1</v>
      </c>
      <c r="U127" s="5" t="s">
        <v>1801</v>
      </c>
      <c r="V127" s="5" t="s">
        <v>1801</v>
      </c>
      <c r="W127" s="5" t="s">
        <v>1802</v>
      </c>
      <c r="X127" s="5" t="s">
        <v>1802</v>
      </c>
      <c r="Y127" s="4">
        <v>347</v>
      </c>
      <c r="Z127" s="4">
        <v>284</v>
      </c>
      <c r="AA127" s="4">
        <v>330</v>
      </c>
      <c r="AB127" s="4">
        <v>2</v>
      </c>
      <c r="AC127" s="4">
        <v>2</v>
      </c>
      <c r="AD127" s="4">
        <v>14</v>
      </c>
      <c r="AE127" s="4">
        <v>15</v>
      </c>
      <c r="AF127" s="4">
        <v>3</v>
      </c>
      <c r="AG127" s="4">
        <v>4</v>
      </c>
      <c r="AH127" s="4">
        <v>5</v>
      </c>
      <c r="AI127" s="4">
        <v>5</v>
      </c>
      <c r="AJ127" s="4">
        <v>8</v>
      </c>
      <c r="AK127" s="4">
        <v>8</v>
      </c>
      <c r="AL127" s="4">
        <v>1</v>
      </c>
      <c r="AM127" s="4">
        <v>1</v>
      </c>
      <c r="AN127" s="4">
        <v>1</v>
      </c>
      <c r="AO127" s="4">
        <v>1</v>
      </c>
      <c r="AP127" s="3" t="s">
        <v>58</v>
      </c>
      <c r="AQ127" s="3" t="s">
        <v>68</v>
      </c>
      <c r="AR127" s="6" t="str">
        <f>HYPERLINK("http://catalog.hathitrust.org/Record/003065009","HathiTrust Record")</f>
        <v>HathiTrust Record</v>
      </c>
      <c r="AS127" s="6" t="str">
        <f>HYPERLINK("https://creighton-primo.hosted.exlibrisgroup.com/primo-explore/search?tab=default_tab&amp;search_scope=EVERYTHING&amp;vid=01CRU&amp;lang=en_US&amp;offset=0&amp;query=any,contains,991002514829702656","Catalog Record")</f>
        <v>Catalog Record</v>
      </c>
      <c r="AT127" s="6" t="str">
        <f>HYPERLINK("http://www.worldcat.org/oclc/32700341","WorldCat Record")</f>
        <v>WorldCat Record</v>
      </c>
      <c r="AU127" s="3" t="s">
        <v>1803</v>
      </c>
      <c r="AV127" s="3" t="s">
        <v>1804</v>
      </c>
      <c r="AW127" s="3" t="s">
        <v>1805</v>
      </c>
      <c r="AX127" s="3" t="s">
        <v>1805</v>
      </c>
      <c r="AY127" s="3" t="s">
        <v>1806</v>
      </c>
      <c r="AZ127" s="3" t="s">
        <v>73</v>
      </c>
      <c r="BB127" s="3" t="s">
        <v>1807</v>
      </c>
      <c r="BC127" s="3" t="s">
        <v>1808</v>
      </c>
      <c r="BD127" s="3" t="s">
        <v>1809</v>
      </c>
    </row>
    <row r="128" spans="1:56" ht="38.25" customHeight="1" x14ac:dyDescent="0.25">
      <c r="A128" s="7" t="s">
        <v>58</v>
      </c>
      <c r="B128" s="2" t="s">
        <v>1810</v>
      </c>
      <c r="C128" s="2" t="s">
        <v>1811</v>
      </c>
      <c r="D128" s="2" t="s">
        <v>1812</v>
      </c>
      <c r="F128" s="3" t="s">
        <v>58</v>
      </c>
      <c r="G128" s="3" t="s">
        <v>59</v>
      </c>
      <c r="H128" s="3" t="s">
        <v>58</v>
      </c>
      <c r="I128" s="3" t="s">
        <v>58</v>
      </c>
      <c r="J128" s="3" t="s">
        <v>60</v>
      </c>
      <c r="K128" s="2" t="s">
        <v>1813</v>
      </c>
      <c r="L128" s="2" t="s">
        <v>1814</v>
      </c>
      <c r="M128" s="3" t="s">
        <v>206</v>
      </c>
      <c r="N128" s="2" t="s">
        <v>1815</v>
      </c>
      <c r="O128" s="3" t="s">
        <v>64</v>
      </c>
      <c r="P128" s="3" t="s">
        <v>65</v>
      </c>
      <c r="R128" s="3" t="s">
        <v>1531</v>
      </c>
      <c r="S128" s="4">
        <v>2</v>
      </c>
      <c r="T128" s="4">
        <v>2</v>
      </c>
      <c r="U128" s="5" t="s">
        <v>1816</v>
      </c>
      <c r="V128" s="5" t="s">
        <v>1816</v>
      </c>
      <c r="W128" s="5" t="s">
        <v>1548</v>
      </c>
      <c r="X128" s="5" t="s">
        <v>1548</v>
      </c>
      <c r="Y128" s="4">
        <v>561</v>
      </c>
      <c r="Z128" s="4">
        <v>481</v>
      </c>
      <c r="AA128" s="4">
        <v>711</v>
      </c>
      <c r="AB128" s="4">
        <v>2</v>
      </c>
      <c r="AC128" s="4">
        <v>4</v>
      </c>
      <c r="AD128" s="4">
        <v>18</v>
      </c>
      <c r="AE128" s="4">
        <v>26</v>
      </c>
      <c r="AF128" s="4">
        <v>5</v>
      </c>
      <c r="AG128" s="4">
        <v>9</v>
      </c>
      <c r="AH128" s="4">
        <v>5</v>
      </c>
      <c r="AI128" s="4">
        <v>6</v>
      </c>
      <c r="AJ128" s="4">
        <v>9</v>
      </c>
      <c r="AK128" s="4">
        <v>13</v>
      </c>
      <c r="AL128" s="4">
        <v>1</v>
      </c>
      <c r="AM128" s="4">
        <v>3</v>
      </c>
      <c r="AN128" s="4">
        <v>0</v>
      </c>
      <c r="AO128" s="4">
        <v>0</v>
      </c>
      <c r="AP128" s="3" t="s">
        <v>58</v>
      </c>
      <c r="AQ128" s="3" t="s">
        <v>68</v>
      </c>
      <c r="AR128" s="6" t="str">
        <f>HYPERLINK("http://catalog.hathitrust.org/Record/001152778","HathiTrust Record")</f>
        <v>HathiTrust Record</v>
      </c>
      <c r="AS128" s="6" t="str">
        <f>HYPERLINK("https://creighton-primo.hosted.exlibrisgroup.com/primo-explore/search?tab=default_tab&amp;search_scope=EVERYTHING&amp;vid=01CRU&amp;lang=en_US&amp;offset=0&amp;query=any,contains,991002236619702656","Catalog Record")</f>
        <v>Catalog Record</v>
      </c>
      <c r="AT128" s="6" t="str">
        <f>HYPERLINK("http://www.worldcat.org/oclc/295991","WorldCat Record")</f>
        <v>WorldCat Record</v>
      </c>
      <c r="AU128" s="3" t="s">
        <v>1817</v>
      </c>
      <c r="AV128" s="3" t="s">
        <v>1818</v>
      </c>
      <c r="AW128" s="3" t="s">
        <v>1819</v>
      </c>
      <c r="AX128" s="3" t="s">
        <v>1819</v>
      </c>
      <c r="AY128" s="3" t="s">
        <v>1820</v>
      </c>
      <c r="AZ128" s="3" t="s">
        <v>73</v>
      </c>
      <c r="BC128" s="3" t="s">
        <v>1821</v>
      </c>
      <c r="BD128" s="3" t="s">
        <v>1822</v>
      </c>
    </row>
    <row r="129" spans="1:56" ht="38.25" customHeight="1" x14ac:dyDescent="0.25">
      <c r="A129" s="7" t="s">
        <v>58</v>
      </c>
      <c r="B129" s="2" t="s">
        <v>1823</v>
      </c>
      <c r="C129" s="2" t="s">
        <v>1824</v>
      </c>
      <c r="D129" s="2" t="s">
        <v>1825</v>
      </c>
      <c r="F129" s="3" t="s">
        <v>58</v>
      </c>
      <c r="G129" s="3" t="s">
        <v>59</v>
      </c>
      <c r="H129" s="3" t="s">
        <v>58</v>
      </c>
      <c r="I129" s="3" t="s">
        <v>58</v>
      </c>
      <c r="J129" s="3" t="s">
        <v>60</v>
      </c>
      <c r="K129" s="2" t="s">
        <v>1826</v>
      </c>
      <c r="L129" s="2" t="s">
        <v>1827</v>
      </c>
      <c r="M129" s="3" t="s">
        <v>206</v>
      </c>
      <c r="O129" s="3" t="s">
        <v>64</v>
      </c>
      <c r="P129" s="3" t="s">
        <v>580</v>
      </c>
      <c r="R129" s="3" t="s">
        <v>1531</v>
      </c>
      <c r="S129" s="4">
        <v>4</v>
      </c>
      <c r="T129" s="4">
        <v>4</v>
      </c>
      <c r="U129" s="5" t="s">
        <v>1828</v>
      </c>
      <c r="V129" s="5" t="s">
        <v>1828</v>
      </c>
      <c r="W129" s="5" t="s">
        <v>1548</v>
      </c>
      <c r="X129" s="5" t="s">
        <v>1548</v>
      </c>
      <c r="Y129" s="4">
        <v>398</v>
      </c>
      <c r="Z129" s="4">
        <v>326</v>
      </c>
      <c r="AA129" s="4">
        <v>328</v>
      </c>
      <c r="AB129" s="4">
        <v>4</v>
      </c>
      <c r="AC129" s="4">
        <v>4</v>
      </c>
      <c r="AD129" s="4">
        <v>17</v>
      </c>
      <c r="AE129" s="4">
        <v>17</v>
      </c>
      <c r="AF129" s="4">
        <v>2</v>
      </c>
      <c r="AG129" s="4">
        <v>2</v>
      </c>
      <c r="AH129" s="4">
        <v>3</v>
      </c>
      <c r="AI129" s="4">
        <v>3</v>
      </c>
      <c r="AJ129" s="4">
        <v>6</v>
      </c>
      <c r="AK129" s="4">
        <v>6</v>
      </c>
      <c r="AL129" s="4">
        <v>3</v>
      </c>
      <c r="AM129" s="4">
        <v>3</v>
      </c>
      <c r="AN129" s="4">
        <v>4</v>
      </c>
      <c r="AO129" s="4">
        <v>4</v>
      </c>
      <c r="AP129" s="3" t="s">
        <v>58</v>
      </c>
      <c r="AQ129" s="3" t="s">
        <v>68</v>
      </c>
      <c r="AR129" s="6" t="str">
        <f>HYPERLINK("http://catalog.hathitrust.org/Record/001152780","HathiTrust Record")</f>
        <v>HathiTrust Record</v>
      </c>
      <c r="AS129" s="6" t="str">
        <f>HYPERLINK("https://creighton-primo.hosted.exlibrisgroup.com/primo-explore/search?tab=default_tab&amp;search_scope=EVERYTHING&amp;vid=01CRU&amp;lang=en_US&amp;offset=0&amp;query=any,contains,991002785909702656","Catalog Record")</f>
        <v>Catalog Record</v>
      </c>
      <c r="AT129" s="6" t="str">
        <f>HYPERLINK("http://www.worldcat.org/oclc/441644","WorldCat Record")</f>
        <v>WorldCat Record</v>
      </c>
      <c r="AU129" s="3" t="s">
        <v>1829</v>
      </c>
      <c r="AV129" s="3" t="s">
        <v>1830</v>
      </c>
      <c r="AW129" s="3" t="s">
        <v>1831</v>
      </c>
      <c r="AX129" s="3" t="s">
        <v>1831</v>
      </c>
      <c r="AY129" s="3" t="s">
        <v>1832</v>
      </c>
      <c r="AZ129" s="3" t="s">
        <v>73</v>
      </c>
      <c r="BC129" s="3" t="s">
        <v>1833</v>
      </c>
      <c r="BD129" s="3" t="s">
        <v>1834</v>
      </c>
    </row>
    <row r="130" spans="1:56" ht="38.25" customHeight="1" x14ac:dyDescent="0.25">
      <c r="A130" s="7" t="s">
        <v>58</v>
      </c>
      <c r="B130" s="2" t="s">
        <v>1835</v>
      </c>
      <c r="C130" s="2" t="s">
        <v>1836</v>
      </c>
      <c r="D130" s="2" t="s">
        <v>1837</v>
      </c>
      <c r="F130" s="3" t="s">
        <v>58</v>
      </c>
      <c r="G130" s="3" t="s">
        <v>59</v>
      </c>
      <c r="H130" s="3" t="s">
        <v>58</v>
      </c>
      <c r="I130" s="3" t="s">
        <v>58</v>
      </c>
      <c r="J130" s="3" t="s">
        <v>60</v>
      </c>
      <c r="L130" s="2" t="s">
        <v>1838</v>
      </c>
      <c r="M130" s="3" t="s">
        <v>508</v>
      </c>
      <c r="O130" s="3" t="s">
        <v>64</v>
      </c>
      <c r="P130" s="3" t="s">
        <v>114</v>
      </c>
      <c r="R130" s="3" t="s">
        <v>1531</v>
      </c>
      <c r="S130" s="4">
        <v>6</v>
      </c>
      <c r="T130" s="4">
        <v>6</v>
      </c>
      <c r="U130" s="5" t="s">
        <v>1839</v>
      </c>
      <c r="V130" s="5" t="s">
        <v>1839</v>
      </c>
      <c r="W130" s="5" t="s">
        <v>1840</v>
      </c>
      <c r="X130" s="5" t="s">
        <v>1840</v>
      </c>
      <c r="Y130" s="4">
        <v>462</v>
      </c>
      <c r="Z130" s="4">
        <v>313</v>
      </c>
      <c r="AA130" s="4">
        <v>322</v>
      </c>
      <c r="AB130" s="4">
        <v>3</v>
      </c>
      <c r="AC130" s="4">
        <v>3</v>
      </c>
      <c r="AD130" s="4">
        <v>20</v>
      </c>
      <c r="AE130" s="4">
        <v>21</v>
      </c>
      <c r="AF130" s="4">
        <v>5</v>
      </c>
      <c r="AG130" s="4">
        <v>5</v>
      </c>
      <c r="AH130" s="4">
        <v>5</v>
      </c>
      <c r="AI130" s="4">
        <v>5</v>
      </c>
      <c r="AJ130" s="4">
        <v>12</v>
      </c>
      <c r="AK130" s="4">
        <v>13</v>
      </c>
      <c r="AL130" s="4">
        <v>2</v>
      </c>
      <c r="AM130" s="4">
        <v>2</v>
      </c>
      <c r="AN130" s="4">
        <v>3</v>
      </c>
      <c r="AO130" s="4">
        <v>3</v>
      </c>
      <c r="AP130" s="3" t="s">
        <v>58</v>
      </c>
      <c r="AQ130" s="3" t="s">
        <v>68</v>
      </c>
      <c r="AR130" s="6" t="str">
        <f>HYPERLINK("http://catalog.hathitrust.org/Record/002738201","HathiTrust Record")</f>
        <v>HathiTrust Record</v>
      </c>
      <c r="AS130" s="6" t="str">
        <f>HYPERLINK("https://creighton-primo.hosted.exlibrisgroup.com/primo-explore/search?tab=default_tab&amp;search_scope=EVERYTHING&amp;vid=01CRU&amp;lang=en_US&amp;offset=0&amp;query=any,contains,991002162629702656","Catalog Record")</f>
        <v>Catalog Record</v>
      </c>
      <c r="AT130" s="6" t="str">
        <f>HYPERLINK("http://www.worldcat.org/oclc/27815117","WorldCat Record")</f>
        <v>WorldCat Record</v>
      </c>
      <c r="AU130" s="3" t="s">
        <v>1841</v>
      </c>
      <c r="AV130" s="3" t="s">
        <v>1842</v>
      </c>
      <c r="AW130" s="3" t="s">
        <v>1843</v>
      </c>
      <c r="AX130" s="3" t="s">
        <v>1843</v>
      </c>
      <c r="AY130" s="3" t="s">
        <v>1844</v>
      </c>
      <c r="AZ130" s="3" t="s">
        <v>73</v>
      </c>
      <c r="BB130" s="3" t="s">
        <v>1845</v>
      </c>
      <c r="BC130" s="3" t="s">
        <v>1846</v>
      </c>
      <c r="BD130" s="3" t="s">
        <v>1847</v>
      </c>
    </row>
    <row r="131" spans="1:56" ht="38.25" customHeight="1" x14ac:dyDescent="0.25">
      <c r="A131" s="7" t="s">
        <v>58</v>
      </c>
      <c r="B131" s="2" t="s">
        <v>1848</v>
      </c>
      <c r="C131" s="2" t="s">
        <v>1849</v>
      </c>
      <c r="D131" s="2" t="s">
        <v>1850</v>
      </c>
      <c r="F131" s="3" t="s">
        <v>58</v>
      </c>
      <c r="G131" s="3" t="s">
        <v>59</v>
      </c>
      <c r="H131" s="3" t="s">
        <v>58</v>
      </c>
      <c r="I131" s="3" t="s">
        <v>58</v>
      </c>
      <c r="J131" s="3" t="s">
        <v>60</v>
      </c>
      <c r="K131" s="2" t="s">
        <v>1851</v>
      </c>
      <c r="L131" s="2" t="s">
        <v>1852</v>
      </c>
      <c r="M131" s="3" t="s">
        <v>177</v>
      </c>
      <c r="O131" s="3" t="s">
        <v>64</v>
      </c>
      <c r="P131" s="3" t="s">
        <v>65</v>
      </c>
      <c r="R131" s="3" t="s">
        <v>1531</v>
      </c>
      <c r="S131" s="4">
        <v>4</v>
      </c>
      <c r="T131" s="4">
        <v>4</v>
      </c>
      <c r="U131" s="5" t="s">
        <v>1853</v>
      </c>
      <c r="V131" s="5" t="s">
        <v>1853</v>
      </c>
      <c r="W131" s="5" t="s">
        <v>1854</v>
      </c>
      <c r="X131" s="5" t="s">
        <v>1854</v>
      </c>
      <c r="Y131" s="4">
        <v>460</v>
      </c>
      <c r="Z131" s="4">
        <v>350</v>
      </c>
      <c r="AA131" s="4">
        <v>355</v>
      </c>
      <c r="AB131" s="4">
        <v>3</v>
      </c>
      <c r="AC131" s="4">
        <v>3</v>
      </c>
      <c r="AD131" s="4">
        <v>19</v>
      </c>
      <c r="AE131" s="4">
        <v>19</v>
      </c>
      <c r="AF131" s="4">
        <v>3</v>
      </c>
      <c r="AG131" s="4">
        <v>3</v>
      </c>
      <c r="AH131" s="4">
        <v>8</v>
      </c>
      <c r="AI131" s="4">
        <v>8</v>
      </c>
      <c r="AJ131" s="4">
        <v>10</v>
      </c>
      <c r="AK131" s="4">
        <v>10</v>
      </c>
      <c r="AL131" s="4">
        <v>2</v>
      </c>
      <c r="AM131" s="4">
        <v>2</v>
      </c>
      <c r="AN131" s="4">
        <v>2</v>
      </c>
      <c r="AO131" s="4">
        <v>2</v>
      </c>
      <c r="AP131" s="3" t="s">
        <v>58</v>
      </c>
      <c r="AQ131" s="3" t="s">
        <v>68</v>
      </c>
      <c r="AR131" s="6" t="str">
        <f>HYPERLINK("http://catalog.hathitrust.org/Record/002372236","HathiTrust Record")</f>
        <v>HathiTrust Record</v>
      </c>
      <c r="AS131" s="6" t="str">
        <f>HYPERLINK("https://creighton-primo.hosted.exlibrisgroup.com/primo-explore/search?tab=default_tab&amp;search_scope=EVERYTHING&amp;vid=01CRU&amp;lang=en_US&amp;offset=0&amp;query=any,contains,991001706219702656","Catalog Record")</f>
        <v>Catalog Record</v>
      </c>
      <c r="AT131" s="6" t="str">
        <f>HYPERLINK("http://www.worldcat.org/oclc/21562387","WorldCat Record")</f>
        <v>WorldCat Record</v>
      </c>
      <c r="AU131" s="3" t="s">
        <v>1855</v>
      </c>
      <c r="AV131" s="3" t="s">
        <v>1856</v>
      </c>
      <c r="AW131" s="3" t="s">
        <v>1857</v>
      </c>
      <c r="AX131" s="3" t="s">
        <v>1857</v>
      </c>
      <c r="AY131" s="3" t="s">
        <v>1858</v>
      </c>
      <c r="AZ131" s="3" t="s">
        <v>73</v>
      </c>
      <c r="BB131" s="3" t="s">
        <v>1859</v>
      </c>
      <c r="BC131" s="3" t="s">
        <v>1860</v>
      </c>
      <c r="BD131" s="3" t="s">
        <v>1861</v>
      </c>
    </row>
    <row r="132" spans="1:56" ht="38.25" customHeight="1" x14ac:dyDescent="0.25">
      <c r="A132" s="7" t="s">
        <v>58</v>
      </c>
      <c r="B132" s="2" t="s">
        <v>1862</v>
      </c>
      <c r="C132" s="2" t="s">
        <v>1863</v>
      </c>
      <c r="D132" s="2" t="s">
        <v>1864</v>
      </c>
      <c r="F132" s="3" t="s">
        <v>58</v>
      </c>
      <c r="G132" s="3" t="s">
        <v>59</v>
      </c>
      <c r="H132" s="3" t="s">
        <v>58</v>
      </c>
      <c r="I132" s="3" t="s">
        <v>58</v>
      </c>
      <c r="J132" s="3" t="s">
        <v>60</v>
      </c>
      <c r="K132" s="2" t="s">
        <v>1865</v>
      </c>
      <c r="L132" s="2" t="s">
        <v>1866</v>
      </c>
      <c r="M132" s="3" t="s">
        <v>609</v>
      </c>
      <c r="O132" s="3" t="s">
        <v>64</v>
      </c>
      <c r="P132" s="3" t="s">
        <v>580</v>
      </c>
      <c r="R132" s="3" t="s">
        <v>1531</v>
      </c>
      <c r="S132" s="4">
        <v>3</v>
      </c>
      <c r="T132" s="4">
        <v>3</v>
      </c>
      <c r="U132" s="5" t="s">
        <v>1867</v>
      </c>
      <c r="V132" s="5" t="s">
        <v>1867</v>
      </c>
      <c r="W132" s="5" t="s">
        <v>1868</v>
      </c>
      <c r="X132" s="5" t="s">
        <v>1868</v>
      </c>
      <c r="Y132" s="4">
        <v>578</v>
      </c>
      <c r="Z132" s="4">
        <v>496</v>
      </c>
      <c r="AA132" s="4">
        <v>512</v>
      </c>
      <c r="AB132" s="4">
        <v>3</v>
      </c>
      <c r="AC132" s="4">
        <v>3</v>
      </c>
      <c r="AD132" s="4">
        <v>18</v>
      </c>
      <c r="AE132" s="4">
        <v>18</v>
      </c>
      <c r="AF132" s="4">
        <v>2</v>
      </c>
      <c r="AG132" s="4">
        <v>2</v>
      </c>
      <c r="AH132" s="4">
        <v>4</v>
      </c>
      <c r="AI132" s="4">
        <v>4</v>
      </c>
      <c r="AJ132" s="4">
        <v>6</v>
      </c>
      <c r="AK132" s="4">
        <v>6</v>
      </c>
      <c r="AL132" s="4">
        <v>2</v>
      </c>
      <c r="AM132" s="4">
        <v>2</v>
      </c>
      <c r="AN132" s="4">
        <v>6</v>
      </c>
      <c r="AO132" s="4">
        <v>6</v>
      </c>
      <c r="AP132" s="3" t="s">
        <v>58</v>
      </c>
      <c r="AQ132" s="3" t="s">
        <v>68</v>
      </c>
      <c r="AR132" s="6" t="str">
        <f>HYPERLINK("http://catalog.hathitrust.org/Record/000024436","HathiTrust Record")</f>
        <v>HathiTrust Record</v>
      </c>
      <c r="AS132" s="6" t="str">
        <f>HYPERLINK("https://creighton-primo.hosted.exlibrisgroup.com/primo-explore/search?tab=default_tab&amp;search_scope=EVERYTHING&amp;vid=01CRU&amp;lang=en_US&amp;offset=0&amp;query=any,contains,991003870699702656","Catalog Record")</f>
        <v>Catalog Record</v>
      </c>
      <c r="AT132" s="6" t="str">
        <f>HYPERLINK("http://www.worldcat.org/oclc/1692448","WorldCat Record")</f>
        <v>WorldCat Record</v>
      </c>
      <c r="AU132" s="3" t="s">
        <v>1869</v>
      </c>
      <c r="AV132" s="3" t="s">
        <v>1870</v>
      </c>
      <c r="AW132" s="3" t="s">
        <v>1871</v>
      </c>
      <c r="AX132" s="3" t="s">
        <v>1871</v>
      </c>
      <c r="AY132" s="3" t="s">
        <v>1872</v>
      </c>
      <c r="AZ132" s="3" t="s">
        <v>73</v>
      </c>
      <c r="BB132" s="3" t="s">
        <v>1873</v>
      </c>
      <c r="BC132" s="3" t="s">
        <v>1874</v>
      </c>
      <c r="BD132" s="3" t="s">
        <v>1875</v>
      </c>
    </row>
    <row r="133" spans="1:56" ht="38.25" customHeight="1" x14ac:dyDescent="0.25">
      <c r="A133" s="7" t="s">
        <v>58</v>
      </c>
      <c r="B133" s="2" t="s">
        <v>1876</v>
      </c>
      <c r="C133" s="2" t="s">
        <v>1877</v>
      </c>
      <c r="D133" s="2" t="s">
        <v>1878</v>
      </c>
      <c r="F133" s="3" t="s">
        <v>58</v>
      </c>
      <c r="G133" s="3" t="s">
        <v>59</v>
      </c>
      <c r="H133" s="3" t="s">
        <v>58</v>
      </c>
      <c r="I133" s="3" t="s">
        <v>68</v>
      </c>
      <c r="J133" s="3" t="s">
        <v>60</v>
      </c>
      <c r="K133" s="2" t="s">
        <v>1879</v>
      </c>
      <c r="L133" s="2" t="s">
        <v>1880</v>
      </c>
      <c r="M133" s="3" t="s">
        <v>206</v>
      </c>
      <c r="O133" s="3" t="s">
        <v>64</v>
      </c>
      <c r="P133" s="3" t="s">
        <v>65</v>
      </c>
      <c r="R133" s="3" t="s">
        <v>1531</v>
      </c>
      <c r="S133" s="4">
        <v>2</v>
      </c>
      <c r="T133" s="4">
        <v>2</v>
      </c>
      <c r="U133" s="5" t="s">
        <v>1881</v>
      </c>
      <c r="V133" s="5" t="s">
        <v>1881</v>
      </c>
      <c r="W133" s="5" t="s">
        <v>1882</v>
      </c>
      <c r="X133" s="5" t="s">
        <v>1882</v>
      </c>
      <c r="Y133" s="4">
        <v>561</v>
      </c>
      <c r="Z133" s="4">
        <v>496</v>
      </c>
      <c r="AA133" s="4">
        <v>927</v>
      </c>
      <c r="AB133" s="4">
        <v>5</v>
      </c>
      <c r="AC133" s="4">
        <v>6</v>
      </c>
      <c r="AD133" s="4">
        <v>24</v>
      </c>
      <c r="AE133" s="4">
        <v>54</v>
      </c>
      <c r="AF133" s="4">
        <v>6</v>
      </c>
      <c r="AG133" s="4">
        <v>14</v>
      </c>
      <c r="AH133" s="4">
        <v>4</v>
      </c>
      <c r="AI133" s="4">
        <v>8</v>
      </c>
      <c r="AJ133" s="4">
        <v>10</v>
      </c>
      <c r="AK133" s="4">
        <v>19</v>
      </c>
      <c r="AL133" s="4">
        <v>3</v>
      </c>
      <c r="AM133" s="4">
        <v>3</v>
      </c>
      <c r="AN133" s="4">
        <v>5</v>
      </c>
      <c r="AO133" s="4">
        <v>20</v>
      </c>
      <c r="AP133" s="3" t="s">
        <v>58</v>
      </c>
      <c r="AQ133" s="3" t="s">
        <v>68</v>
      </c>
      <c r="AR133" s="6" t="str">
        <f>HYPERLINK("http://catalog.hathitrust.org/Record/001152881","HathiTrust Record")</f>
        <v>HathiTrust Record</v>
      </c>
      <c r="AS133" s="6" t="str">
        <f>HYPERLINK("https://creighton-primo.hosted.exlibrisgroup.com/primo-explore/search?tab=default_tab&amp;search_scope=EVERYTHING&amp;vid=01CRU&amp;lang=en_US&amp;offset=0&amp;query=any,contains,991002876279702656","Catalog Record")</f>
        <v>Catalog Record</v>
      </c>
      <c r="AT133" s="6" t="str">
        <f>HYPERLINK("http://www.worldcat.org/oclc/503040","WorldCat Record")</f>
        <v>WorldCat Record</v>
      </c>
      <c r="AU133" s="3" t="s">
        <v>1883</v>
      </c>
      <c r="AV133" s="3" t="s">
        <v>1884</v>
      </c>
      <c r="AW133" s="3" t="s">
        <v>1885</v>
      </c>
      <c r="AX133" s="3" t="s">
        <v>1885</v>
      </c>
      <c r="AY133" s="3" t="s">
        <v>1886</v>
      </c>
      <c r="AZ133" s="3" t="s">
        <v>73</v>
      </c>
      <c r="BC133" s="3" t="s">
        <v>1887</v>
      </c>
      <c r="BD133" s="3" t="s">
        <v>1888</v>
      </c>
    </row>
    <row r="134" spans="1:56" ht="38.25" customHeight="1" x14ac:dyDescent="0.25">
      <c r="A134" s="7" t="s">
        <v>58</v>
      </c>
      <c r="B134" s="2" t="s">
        <v>1889</v>
      </c>
      <c r="C134" s="2" t="s">
        <v>1890</v>
      </c>
      <c r="D134" s="2" t="s">
        <v>1891</v>
      </c>
      <c r="F134" s="3" t="s">
        <v>58</v>
      </c>
      <c r="G134" s="3" t="s">
        <v>59</v>
      </c>
      <c r="H134" s="3" t="s">
        <v>58</v>
      </c>
      <c r="I134" s="3" t="s">
        <v>58</v>
      </c>
      <c r="J134" s="3" t="s">
        <v>60</v>
      </c>
      <c r="K134" s="2" t="s">
        <v>1892</v>
      </c>
      <c r="L134" s="2" t="s">
        <v>1893</v>
      </c>
      <c r="M134" s="3" t="s">
        <v>1641</v>
      </c>
      <c r="O134" s="3" t="s">
        <v>64</v>
      </c>
      <c r="P134" s="3" t="s">
        <v>1627</v>
      </c>
      <c r="R134" s="3" t="s">
        <v>1531</v>
      </c>
      <c r="S134" s="4">
        <v>2</v>
      </c>
      <c r="T134" s="4">
        <v>2</v>
      </c>
      <c r="U134" s="5" t="s">
        <v>1711</v>
      </c>
      <c r="V134" s="5" t="s">
        <v>1711</v>
      </c>
      <c r="W134" s="5" t="s">
        <v>1775</v>
      </c>
      <c r="X134" s="5" t="s">
        <v>1775</v>
      </c>
      <c r="Y134" s="4">
        <v>311</v>
      </c>
      <c r="Z134" s="4">
        <v>258</v>
      </c>
      <c r="AA134" s="4">
        <v>267</v>
      </c>
      <c r="AB134" s="4">
        <v>3</v>
      </c>
      <c r="AC134" s="4">
        <v>3</v>
      </c>
      <c r="AD134" s="4">
        <v>13</v>
      </c>
      <c r="AE134" s="4">
        <v>14</v>
      </c>
      <c r="AF134" s="4">
        <v>3</v>
      </c>
      <c r="AG134" s="4">
        <v>4</v>
      </c>
      <c r="AH134" s="4">
        <v>2</v>
      </c>
      <c r="AI134" s="4">
        <v>2</v>
      </c>
      <c r="AJ134" s="4">
        <v>7</v>
      </c>
      <c r="AK134" s="4">
        <v>8</v>
      </c>
      <c r="AL134" s="4">
        <v>2</v>
      </c>
      <c r="AM134" s="4">
        <v>2</v>
      </c>
      <c r="AN134" s="4">
        <v>1</v>
      </c>
      <c r="AO134" s="4">
        <v>1</v>
      </c>
      <c r="AP134" s="3" t="s">
        <v>58</v>
      </c>
      <c r="AQ134" s="3" t="s">
        <v>58</v>
      </c>
      <c r="AS134" s="6" t="str">
        <f>HYPERLINK("https://creighton-primo.hosted.exlibrisgroup.com/primo-explore/search?tab=default_tab&amp;search_scope=EVERYTHING&amp;vid=01CRU&amp;lang=en_US&amp;offset=0&amp;query=any,contains,991004475599702656","Catalog Record")</f>
        <v>Catalog Record</v>
      </c>
      <c r="AT134" s="6" t="str">
        <f>HYPERLINK("http://www.worldcat.org/oclc/3609094","WorldCat Record")</f>
        <v>WorldCat Record</v>
      </c>
      <c r="AU134" s="3" t="s">
        <v>1894</v>
      </c>
      <c r="AV134" s="3" t="s">
        <v>1895</v>
      </c>
      <c r="AW134" s="3" t="s">
        <v>1896</v>
      </c>
      <c r="AX134" s="3" t="s">
        <v>1896</v>
      </c>
      <c r="AY134" s="3" t="s">
        <v>1897</v>
      </c>
      <c r="AZ134" s="3" t="s">
        <v>73</v>
      </c>
      <c r="BB134" s="3" t="s">
        <v>1898</v>
      </c>
      <c r="BC134" s="3" t="s">
        <v>1899</v>
      </c>
      <c r="BD134" s="3" t="s">
        <v>1900</v>
      </c>
    </row>
    <row r="135" spans="1:56" ht="38.25" customHeight="1" x14ac:dyDescent="0.25">
      <c r="A135" s="7" t="s">
        <v>58</v>
      </c>
      <c r="B135" s="2" t="s">
        <v>1901</v>
      </c>
      <c r="C135" s="2" t="s">
        <v>1902</v>
      </c>
      <c r="D135" s="2" t="s">
        <v>1903</v>
      </c>
      <c r="F135" s="3" t="s">
        <v>58</v>
      </c>
      <c r="G135" s="3" t="s">
        <v>59</v>
      </c>
      <c r="H135" s="3" t="s">
        <v>58</v>
      </c>
      <c r="I135" s="3" t="s">
        <v>58</v>
      </c>
      <c r="J135" s="3" t="s">
        <v>60</v>
      </c>
      <c r="K135" s="2" t="s">
        <v>1904</v>
      </c>
      <c r="L135" s="2" t="s">
        <v>1905</v>
      </c>
      <c r="M135" s="3" t="s">
        <v>206</v>
      </c>
      <c r="O135" s="3" t="s">
        <v>64</v>
      </c>
      <c r="P135" s="3" t="s">
        <v>594</v>
      </c>
      <c r="Q135" s="2" t="s">
        <v>1906</v>
      </c>
      <c r="R135" s="3" t="s">
        <v>1531</v>
      </c>
      <c r="S135" s="4">
        <v>1</v>
      </c>
      <c r="T135" s="4">
        <v>1</v>
      </c>
      <c r="U135" s="5" t="s">
        <v>1111</v>
      </c>
      <c r="V135" s="5" t="s">
        <v>1111</v>
      </c>
      <c r="W135" s="5" t="s">
        <v>1548</v>
      </c>
      <c r="X135" s="5" t="s">
        <v>1548</v>
      </c>
      <c r="Y135" s="4">
        <v>426</v>
      </c>
      <c r="Z135" s="4">
        <v>341</v>
      </c>
      <c r="AA135" s="4">
        <v>348</v>
      </c>
      <c r="AB135" s="4">
        <v>3</v>
      </c>
      <c r="AC135" s="4">
        <v>3</v>
      </c>
      <c r="AD135" s="4">
        <v>18</v>
      </c>
      <c r="AE135" s="4">
        <v>18</v>
      </c>
      <c r="AF135" s="4">
        <v>7</v>
      </c>
      <c r="AG135" s="4">
        <v>7</v>
      </c>
      <c r="AH135" s="4">
        <v>4</v>
      </c>
      <c r="AI135" s="4">
        <v>4</v>
      </c>
      <c r="AJ135" s="4">
        <v>12</v>
      </c>
      <c r="AK135" s="4">
        <v>12</v>
      </c>
      <c r="AL135" s="4">
        <v>2</v>
      </c>
      <c r="AM135" s="4">
        <v>2</v>
      </c>
      <c r="AN135" s="4">
        <v>0</v>
      </c>
      <c r="AO135" s="4">
        <v>0</v>
      </c>
      <c r="AP135" s="3" t="s">
        <v>58</v>
      </c>
      <c r="AQ135" s="3" t="s">
        <v>68</v>
      </c>
      <c r="AR135" s="6" t="str">
        <f>HYPERLINK("http://catalog.hathitrust.org/Record/001152896","HathiTrust Record")</f>
        <v>HathiTrust Record</v>
      </c>
      <c r="AS135" s="6" t="str">
        <f>HYPERLINK("https://creighton-primo.hosted.exlibrisgroup.com/primo-explore/search?tab=default_tab&amp;search_scope=EVERYTHING&amp;vid=01CRU&amp;lang=en_US&amp;offset=0&amp;query=any,contains,991002879589702656","Catalog Record")</f>
        <v>Catalog Record</v>
      </c>
      <c r="AT135" s="6" t="str">
        <f>HYPERLINK("http://www.worldcat.org/oclc/504756","WorldCat Record")</f>
        <v>WorldCat Record</v>
      </c>
      <c r="AU135" s="3" t="s">
        <v>1907</v>
      </c>
      <c r="AV135" s="3" t="s">
        <v>1908</v>
      </c>
      <c r="AW135" s="3" t="s">
        <v>1909</v>
      </c>
      <c r="AX135" s="3" t="s">
        <v>1909</v>
      </c>
      <c r="AY135" s="3" t="s">
        <v>1910</v>
      </c>
      <c r="AZ135" s="3" t="s">
        <v>73</v>
      </c>
      <c r="BC135" s="3" t="s">
        <v>1911</v>
      </c>
      <c r="BD135" s="3" t="s">
        <v>1912</v>
      </c>
    </row>
    <row r="136" spans="1:56" ht="38.25" customHeight="1" x14ac:dyDescent="0.25">
      <c r="A136" s="7" t="s">
        <v>58</v>
      </c>
      <c r="B136" s="2" t="s">
        <v>1913</v>
      </c>
      <c r="C136" s="2" t="s">
        <v>1914</v>
      </c>
      <c r="D136" s="2" t="s">
        <v>1915</v>
      </c>
      <c r="F136" s="3" t="s">
        <v>58</v>
      </c>
      <c r="G136" s="3" t="s">
        <v>59</v>
      </c>
      <c r="H136" s="3" t="s">
        <v>58</v>
      </c>
      <c r="I136" s="3" t="s">
        <v>58</v>
      </c>
      <c r="J136" s="3" t="s">
        <v>60</v>
      </c>
      <c r="L136" s="2" t="s">
        <v>1916</v>
      </c>
      <c r="M136" s="3" t="s">
        <v>113</v>
      </c>
      <c r="O136" s="3" t="s">
        <v>64</v>
      </c>
      <c r="P136" s="3" t="s">
        <v>147</v>
      </c>
      <c r="Q136" s="2" t="s">
        <v>1917</v>
      </c>
      <c r="R136" s="3" t="s">
        <v>1531</v>
      </c>
      <c r="S136" s="4">
        <v>1</v>
      </c>
      <c r="T136" s="4">
        <v>1</v>
      </c>
      <c r="U136" s="5" t="s">
        <v>1828</v>
      </c>
      <c r="V136" s="5" t="s">
        <v>1828</v>
      </c>
      <c r="W136" s="5" t="s">
        <v>1918</v>
      </c>
      <c r="X136" s="5" t="s">
        <v>1918</v>
      </c>
      <c r="Y136" s="4">
        <v>311</v>
      </c>
      <c r="Z136" s="4">
        <v>215</v>
      </c>
      <c r="AA136" s="4">
        <v>216</v>
      </c>
      <c r="AB136" s="4">
        <v>3</v>
      </c>
      <c r="AC136" s="4">
        <v>3</v>
      </c>
      <c r="AD136" s="4">
        <v>7</v>
      </c>
      <c r="AE136" s="4">
        <v>7</v>
      </c>
      <c r="AF136" s="4">
        <v>1</v>
      </c>
      <c r="AG136" s="4">
        <v>1</v>
      </c>
      <c r="AH136" s="4">
        <v>1</v>
      </c>
      <c r="AI136" s="4">
        <v>1</v>
      </c>
      <c r="AJ136" s="4">
        <v>4</v>
      </c>
      <c r="AK136" s="4">
        <v>4</v>
      </c>
      <c r="AL136" s="4">
        <v>2</v>
      </c>
      <c r="AM136" s="4">
        <v>2</v>
      </c>
      <c r="AN136" s="4">
        <v>0</v>
      </c>
      <c r="AO136" s="4">
        <v>0</v>
      </c>
      <c r="AP136" s="3" t="s">
        <v>58</v>
      </c>
      <c r="AQ136" s="3" t="s">
        <v>68</v>
      </c>
      <c r="AR136" s="6" t="str">
        <f>HYPERLINK("http://catalog.hathitrust.org/Record/000311632","HathiTrust Record")</f>
        <v>HathiTrust Record</v>
      </c>
      <c r="AS136" s="6" t="str">
        <f>HYPERLINK("https://creighton-primo.hosted.exlibrisgroup.com/primo-explore/search?tab=default_tab&amp;search_scope=EVERYTHING&amp;vid=01CRU&amp;lang=en_US&amp;offset=0&amp;query=any,contains,991005244479702656","Catalog Record")</f>
        <v>Catalog Record</v>
      </c>
      <c r="AT136" s="6" t="str">
        <f>HYPERLINK("http://www.worldcat.org/oclc/8451484","WorldCat Record")</f>
        <v>WorldCat Record</v>
      </c>
      <c r="AU136" s="3" t="s">
        <v>1919</v>
      </c>
      <c r="AV136" s="3" t="s">
        <v>1920</v>
      </c>
      <c r="AW136" s="3" t="s">
        <v>1921</v>
      </c>
      <c r="AX136" s="3" t="s">
        <v>1921</v>
      </c>
      <c r="AY136" s="3" t="s">
        <v>1922</v>
      </c>
      <c r="AZ136" s="3" t="s">
        <v>73</v>
      </c>
      <c r="BB136" s="3" t="s">
        <v>1923</v>
      </c>
      <c r="BC136" s="3" t="s">
        <v>1924</v>
      </c>
      <c r="BD136" s="3" t="s">
        <v>1925</v>
      </c>
    </row>
    <row r="137" spans="1:56" ht="38.25" customHeight="1" x14ac:dyDescent="0.25">
      <c r="A137" s="7" t="s">
        <v>58</v>
      </c>
      <c r="B137" s="2" t="s">
        <v>1926</v>
      </c>
      <c r="C137" s="2" t="s">
        <v>1927</v>
      </c>
      <c r="D137" s="2" t="s">
        <v>1928</v>
      </c>
      <c r="F137" s="3" t="s">
        <v>58</v>
      </c>
      <c r="G137" s="3" t="s">
        <v>59</v>
      </c>
      <c r="H137" s="3" t="s">
        <v>58</v>
      </c>
      <c r="I137" s="3" t="s">
        <v>58</v>
      </c>
      <c r="J137" s="3" t="s">
        <v>60</v>
      </c>
      <c r="K137" s="2" t="s">
        <v>1929</v>
      </c>
      <c r="L137" s="2" t="s">
        <v>1930</v>
      </c>
      <c r="M137" s="3" t="s">
        <v>146</v>
      </c>
      <c r="O137" s="3" t="s">
        <v>64</v>
      </c>
      <c r="P137" s="3" t="s">
        <v>65</v>
      </c>
      <c r="R137" s="3" t="s">
        <v>1531</v>
      </c>
      <c r="S137" s="4">
        <v>8</v>
      </c>
      <c r="T137" s="4">
        <v>8</v>
      </c>
      <c r="U137" s="5" t="s">
        <v>1931</v>
      </c>
      <c r="V137" s="5" t="s">
        <v>1931</v>
      </c>
      <c r="W137" s="5" t="s">
        <v>1932</v>
      </c>
      <c r="X137" s="5" t="s">
        <v>1932</v>
      </c>
      <c r="Y137" s="4">
        <v>554</v>
      </c>
      <c r="Z137" s="4">
        <v>431</v>
      </c>
      <c r="AA137" s="4">
        <v>431</v>
      </c>
      <c r="AB137" s="4">
        <v>4</v>
      </c>
      <c r="AC137" s="4">
        <v>4</v>
      </c>
      <c r="AD137" s="4">
        <v>22</v>
      </c>
      <c r="AE137" s="4">
        <v>22</v>
      </c>
      <c r="AF137" s="4">
        <v>8</v>
      </c>
      <c r="AG137" s="4">
        <v>8</v>
      </c>
      <c r="AH137" s="4">
        <v>6</v>
      </c>
      <c r="AI137" s="4">
        <v>6</v>
      </c>
      <c r="AJ137" s="4">
        <v>11</v>
      </c>
      <c r="AK137" s="4">
        <v>11</v>
      </c>
      <c r="AL137" s="4">
        <v>3</v>
      </c>
      <c r="AM137" s="4">
        <v>3</v>
      </c>
      <c r="AN137" s="4">
        <v>1</v>
      </c>
      <c r="AO137" s="4">
        <v>1</v>
      </c>
      <c r="AP137" s="3" t="s">
        <v>58</v>
      </c>
      <c r="AQ137" s="3" t="s">
        <v>58</v>
      </c>
      <c r="AS137" s="6" t="str">
        <f>HYPERLINK("https://creighton-primo.hosted.exlibrisgroup.com/primo-explore/search?tab=default_tab&amp;search_scope=EVERYTHING&amp;vid=01CRU&amp;lang=en_US&amp;offset=0&amp;query=any,contains,991005003019702656","Catalog Record")</f>
        <v>Catalog Record</v>
      </c>
      <c r="AT137" s="6" t="str">
        <f>HYPERLINK("http://www.worldcat.org/oclc/6555017","WorldCat Record")</f>
        <v>WorldCat Record</v>
      </c>
      <c r="AU137" s="3" t="s">
        <v>1933</v>
      </c>
      <c r="AV137" s="3" t="s">
        <v>1934</v>
      </c>
      <c r="AW137" s="3" t="s">
        <v>1935</v>
      </c>
      <c r="AX137" s="3" t="s">
        <v>1935</v>
      </c>
      <c r="AY137" s="3" t="s">
        <v>1936</v>
      </c>
      <c r="AZ137" s="3" t="s">
        <v>73</v>
      </c>
      <c r="BB137" s="3" t="s">
        <v>1937</v>
      </c>
      <c r="BC137" s="3" t="s">
        <v>1938</v>
      </c>
      <c r="BD137" s="3" t="s">
        <v>1939</v>
      </c>
    </row>
    <row r="138" spans="1:56" ht="38.25" customHeight="1" x14ac:dyDescent="0.25">
      <c r="A138" s="7" t="s">
        <v>58</v>
      </c>
      <c r="B138" s="2" t="s">
        <v>1940</v>
      </c>
      <c r="C138" s="2" t="s">
        <v>1941</v>
      </c>
      <c r="D138" s="2" t="s">
        <v>1942</v>
      </c>
      <c r="F138" s="3" t="s">
        <v>58</v>
      </c>
      <c r="G138" s="3" t="s">
        <v>59</v>
      </c>
      <c r="H138" s="3" t="s">
        <v>58</v>
      </c>
      <c r="I138" s="3" t="s">
        <v>58</v>
      </c>
      <c r="J138" s="3" t="s">
        <v>60</v>
      </c>
      <c r="K138" s="2" t="s">
        <v>1929</v>
      </c>
      <c r="L138" s="2" t="s">
        <v>1943</v>
      </c>
      <c r="M138" s="3" t="s">
        <v>856</v>
      </c>
      <c r="O138" s="3" t="s">
        <v>64</v>
      </c>
      <c r="P138" s="3" t="s">
        <v>83</v>
      </c>
      <c r="R138" s="3" t="s">
        <v>1531</v>
      </c>
      <c r="S138" s="4">
        <v>1</v>
      </c>
      <c r="T138" s="4">
        <v>1</v>
      </c>
      <c r="U138" s="5" t="s">
        <v>1299</v>
      </c>
      <c r="V138" s="5" t="s">
        <v>1299</v>
      </c>
      <c r="W138" s="5" t="s">
        <v>1750</v>
      </c>
      <c r="X138" s="5" t="s">
        <v>1750</v>
      </c>
      <c r="Y138" s="4">
        <v>543</v>
      </c>
      <c r="Z138" s="4">
        <v>413</v>
      </c>
      <c r="AA138" s="4">
        <v>422</v>
      </c>
      <c r="AB138" s="4">
        <v>3</v>
      </c>
      <c r="AC138" s="4">
        <v>3</v>
      </c>
      <c r="AD138" s="4">
        <v>16</v>
      </c>
      <c r="AE138" s="4">
        <v>16</v>
      </c>
      <c r="AF138" s="4">
        <v>3</v>
      </c>
      <c r="AG138" s="4">
        <v>3</v>
      </c>
      <c r="AH138" s="4">
        <v>5</v>
      </c>
      <c r="AI138" s="4">
        <v>5</v>
      </c>
      <c r="AJ138" s="4">
        <v>10</v>
      </c>
      <c r="AK138" s="4">
        <v>10</v>
      </c>
      <c r="AL138" s="4">
        <v>2</v>
      </c>
      <c r="AM138" s="4">
        <v>2</v>
      </c>
      <c r="AN138" s="4">
        <v>0</v>
      </c>
      <c r="AO138" s="4">
        <v>0</v>
      </c>
      <c r="AP138" s="3" t="s">
        <v>58</v>
      </c>
      <c r="AQ138" s="3" t="s">
        <v>68</v>
      </c>
      <c r="AR138" s="6" t="str">
        <f>HYPERLINK("http://catalog.hathitrust.org/Record/000039175","HathiTrust Record")</f>
        <v>HathiTrust Record</v>
      </c>
      <c r="AS138" s="6" t="str">
        <f>HYPERLINK("https://creighton-primo.hosted.exlibrisgroup.com/primo-explore/search?tab=default_tab&amp;search_scope=EVERYTHING&amp;vid=01CRU&amp;lang=en_US&amp;offset=0&amp;query=any,contains,991003884729702656","Catalog Record")</f>
        <v>Catalog Record</v>
      </c>
      <c r="AT138" s="6" t="str">
        <f>HYPERLINK("http://www.worldcat.org/oclc/1733771","WorldCat Record")</f>
        <v>WorldCat Record</v>
      </c>
      <c r="AU138" s="3" t="s">
        <v>1944</v>
      </c>
      <c r="AV138" s="3" t="s">
        <v>1945</v>
      </c>
      <c r="AW138" s="3" t="s">
        <v>1946</v>
      </c>
      <c r="AX138" s="3" t="s">
        <v>1946</v>
      </c>
      <c r="AY138" s="3" t="s">
        <v>1947</v>
      </c>
      <c r="AZ138" s="3" t="s">
        <v>73</v>
      </c>
      <c r="BC138" s="3" t="s">
        <v>1948</v>
      </c>
      <c r="BD138" s="3" t="s">
        <v>1949</v>
      </c>
    </row>
    <row r="139" spans="1:56" ht="38.25" customHeight="1" x14ac:dyDescent="0.25">
      <c r="A139" s="7" t="s">
        <v>58</v>
      </c>
      <c r="B139" s="2" t="s">
        <v>1950</v>
      </c>
      <c r="C139" s="2" t="s">
        <v>1951</v>
      </c>
      <c r="D139" s="2" t="s">
        <v>1952</v>
      </c>
      <c r="F139" s="3" t="s">
        <v>58</v>
      </c>
      <c r="G139" s="3" t="s">
        <v>59</v>
      </c>
      <c r="H139" s="3" t="s">
        <v>58</v>
      </c>
      <c r="I139" s="3" t="s">
        <v>58</v>
      </c>
      <c r="J139" s="3" t="s">
        <v>60</v>
      </c>
      <c r="K139" s="2" t="s">
        <v>1953</v>
      </c>
      <c r="L139" s="2" t="s">
        <v>1954</v>
      </c>
      <c r="M139" s="3" t="s">
        <v>408</v>
      </c>
      <c r="O139" s="3" t="s">
        <v>64</v>
      </c>
      <c r="P139" s="3" t="s">
        <v>114</v>
      </c>
      <c r="Q139" s="2" t="s">
        <v>1955</v>
      </c>
      <c r="R139" s="3" t="s">
        <v>1531</v>
      </c>
      <c r="S139" s="4">
        <v>5</v>
      </c>
      <c r="T139" s="4">
        <v>5</v>
      </c>
      <c r="U139" s="5" t="s">
        <v>1956</v>
      </c>
      <c r="V139" s="5" t="s">
        <v>1956</v>
      </c>
      <c r="W139" s="5" t="s">
        <v>1957</v>
      </c>
      <c r="X139" s="5" t="s">
        <v>1957</v>
      </c>
      <c r="Y139" s="4">
        <v>532</v>
      </c>
      <c r="Z139" s="4">
        <v>358</v>
      </c>
      <c r="AA139" s="4">
        <v>374</v>
      </c>
      <c r="AB139" s="4">
        <v>3</v>
      </c>
      <c r="AC139" s="4">
        <v>3</v>
      </c>
      <c r="AD139" s="4">
        <v>17</v>
      </c>
      <c r="AE139" s="4">
        <v>18</v>
      </c>
      <c r="AF139" s="4">
        <v>6</v>
      </c>
      <c r="AG139" s="4">
        <v>6</v>
      </c>
      <c r="AH139" s="4">
        <v>5</v>
      </c>
      <c r="AI139" s="4">
        <v>5</v>
      </c>
      <c r="AJ139" s="4">
        <v>8</v>
      </c>
      <c r="AK139" s="4">
        <v>9</v>
      </c>
      <c r="AL139" s="4">
        <v>2</v>
      </c>
      <c r="AM139" s="4">
        <v>2</v>
      </c>
      <c r="AN139" s="4">
        <v>1</v>
      </c>
      <c r="AO139" s="4">
        <v>1</v>
      </c>
      <c r="AP139" s="3" t="s">
        <v>58</v>
      </c>
      <c r="AQ139" s="3" t="s">
        <v>58</v>
      </c>
      <c r="AS139" s="6" t="str">
        <f>HYPERLINK("https://creighton-primo.hosted.exlibrisgroup.com/primo-explore/search?tab=default_tab&amp;search_scope=EVERYTHING&amp;vid=01CRU&amp;lang=en_US&amp;offset=0&amp;query=any,contains,991001354139702656","Catalog Record")</f>
        <v>Catalog Record</v>
      </c>
      <c r="AT139" s="6" t="str">
        <f>HYPERLINK("http://www.worldcat.org/oclc/18463496","WorldCat Record")</f>
        <v>WorldCat Record</v>
      </c>
      <c r="AU139" s="3" t="s">
        <v>1958</v>
      </c>
      <c r="AV139" s="3" t="s">
        <v>1959</v>
      </c>
      <c r="AW139" s="3" t="s">
        <v>1960</v>
      </c>
      <c r="AX139" s="3" t="s">
        <v>1960</v>
      </c>
      <c r="AY139" s="3" t="s">
        <v>1961</v>
      </c>
      <c r="AZ139" s="3" t="s">
        <v>73</v>
      </c>
      <c r="BB139" s="3" t="s">
        <v>1962</v>
      </c>
      <c r="BC139" s="3" t="s">
        <v>1963</v>
      </c>
      <c r="BD139" s="3" t="s">
        <v>1964</v>
      </c>
    </row>
    <row r="140" spans="1:56" ht="38.25" customHeight="1" x14ac:dyDescent="0.25">
      <c r="A140" s="7" t="s">
        <v>58</v>
      </c>
      <c r="B140" s="2" t="s">
        <v>1965</v>
      </c>
      <c r="C140" s="2" t="s">
        <v>1966</v>
      </c>
      <c r="D140" s="2" t="s">
        <v>1967</v>
      </c>
      <c r="F140" s="3" t="s">
        <v>58</v>
      </c>
      <c r="G140" s="3" t="s">
        <v>59</v>
      </c>
      <c r="H140" s="3" t="s">
        <v>58</v>
      </c>
      <c r="I140" s="3" t="s">
        <v>58</v>
      </c>
      <c r="J140" s="3" t="s">
        <v>60</v>
      </c>
      <c r="K140" s="2" t="s">
        <v>1968</v>
      </c>
      <c r="L140" s="2" t="s">
        <v>1969</v>
      </c>
      <c r="M140" s="3" t="s">
        <v>309</v>
      </c>
      <c r="O140" s="3" t="s">
        <v>64</v>
      </c>
      <c r="P140" s="3" t="s">
        <v>65</v>
      </c>
      <c r="R140" s="3" t="s">
        <v>1531</v>
      </c>
      <c r="S140" s="4">
        <v>16</v>
      </c>
      <c r="T140" s="4">
        <v>16</v>
      </c>
      <c r="U140" s="5" t="s">
        <v>1970</v>
      </c>
      <c r="V140" s="5" t="s">
        <v>1970</v>
      </c>
      <c r="W140" s="5" t="s">
        <v>1971</v>
      </c>
      <c r="X140" s="5" t="s">
        <v>1971</v>
      </c>
      <c r="Y140" s="4">
        <v>699</v>
      </c>
      <c r="Z140" s="4">
        <v>556</v>
      </c>
      <c r="AA140" s="4">
        <v>559</v>
      </c>
      <c r="AB140" s="4">
        <v>5</v>
      </c>
      <c r="AC140" s="4">
        <v>5</v>
      </c>
      <c r="AD140" s="4">
        <v>28</v>
      </c>
      <c r="AE140" s="4">
        <v>28</v>
      </c>
      <c r="AF140" s="4">
        <v>6</v>
      </c>
      <c r="AG140" s="4">
        <v>6</v>
      </c>
      <c r="AH140" s="4">
        <v>7</v>
      </c>
      <c r="AI140" s="4">
        <v>7</v>
      </c>
      <c r="AJ140" s="4">
        <v>17</v>
      </c>
      <c r="AK140" s="4">
        <v>17</v>
      </c>
      <c r="AL140" s="4">
        <v>4</v>
      </c>
      <c r="AM140" s="4">
        <v>4</v>
      </c>
      <c r="AN140" s="4">
        <v>0</v>
      </c>
      <c r="AO140" s="4">
        <v>0</v>
      </c>
      <c r="AP140" s="3" t="s">
        <v>58</v>
      </c>
      <c r="AQ140" s="3" t="s">
        <v>68</v>
      </c>
      <c r="AR140" s="6" t="str">
        <f>HYPERLINK("http://catalog.hathitrust.org/Record/000803256","HathiTrust Record")</f>
        <v>HathiTrust Record</v>
      </c>
      <c r="AS140" s="6" t="str">
        <f>HYPERLINK("https://creighton-primo.hosted.exlibrisgroup.com/primo-explore/search?tab=default_tab&amp;search_scope=EVERYTHING&amp;vid=01CRU&amp;lang=en_US&amp;offset=0&amp;query=any,contains,991005355189702656","Catalog Record")</f>
        <v>Catalog Record</v>
      </c>
      <c r="AT140" s="6" t="str">
        <f>HYPERLINK("http://www.worldcat.org/oclc/402144","WorldCat Record")</f>
        <v>WorldCat Record</v>
      </c>
      <c r="AU140" s="3" t="s">
        <v>1972</v>
      </c>
      <c r="AV140" s="3" t="s">
        <v>1973</v>
      </c>
      <c r="AW140" s="3" t="s">
        <v>1974</v>
      </c>
      <c r="AX140" s="3" t="s">
        <v>1974</v>
      </c>
      <c r="AY140" s="3" t="s">
        <v>1975</v>
      </c>
      <c r="AZ140" s="3" t="s">
        <v>73</v>
      </c>
      <c r="BC140" s="3" t="s">
        <v>1976</v>
      </c>
      <c r="BD140" s="3" t="s">
        <v>1977</v>
      </c>
    </row>
    <row r="141" spans="1:56" ht="38.25" customHeight="1" x14ac:dyDescent="0.25">
      <c r="A141" s="7" t="s">
        <v>58</v>
      </c>
      <c r="B141" s="2" t="s">
        <v>1978</v>
      </c>
      <c r="C141" s="2" t="s">
        <v>1979</v>
      </c>
      <c r="D141" s="2" t="s">
        <v>1980</v>
      </c>
      <c r="F141" s="3" t="s">
        <v>58</v>
      </c>
      <c r="G141" s="3" t="s">
        <v>59</v>
      </c>
      <c r="H141" s="3" t="s">
        <v>58</v>
      </c>
      <c r="I141" s="3" t="s">
        <v>58</v>
      </c>
      <c r="J141" s="3" t="s">
        <v>60</v>
      </c>
      <c r="L141" s="2" t="s">
        <v>1981</v>
      </c>
      <c r="M141" s="3" t="s">
        <v>856</v>
      </c>
      <c r="O141" s="3" t="s">
        <v>64</v>
      </c>
      <c r="P141" s="3" t="s">
        <v>65</v>
      </c>
      <c r="R141" s="3" t="s">
        <v>1531</v>
      </c>
      <c r="S141" s="4">
        <v>1</v>
      </c>
      <c r="T141" s="4">
        <v>1</v>
      </c>
      <c r="U141" s="5" t="s">
        <v>1982</v>
      </c>
      <c r="V141" s="5" t="s">
        <v>1982</v>
      </c>
      <c r="W141" s="5" t="s">
        <v>1983</v>
      </c>
      <c r="X141" s="5" t="s">
        <v>1983</v>
      </c>
      <c r="Y141" s="4">
        <v>384</v>
      </c>
      <c r="Z141" s="4">
        <v>252</v>
      </c>
      <c r="AA141" s="4">
        <v>258</v>
      </c>
      <c r="AB141" s="4">
        <v>3</v>
      </c>
      <c r="AC141" s="4">
        <v>3</v>
      </c>
      <c r="AD141" s="4">
        <v>9</v>
      </c>
      <c r="AE141" s="4">
        <v>9</v>
      </c>
      <c r="AF141" s="4">
        <v>3</v>
      </c>
      <c r="AG141" s="4">
        <v>3</v>
      </c>
      <c r="AH141" s="4">
        <v>3</v>
      </c>
      <c r="AI141" s="4">
        <v>3</v>
      </c>
      <c r="AJ141" s="4">
        <v>4</v>
      </c>
      <c r="AK141" s="4">
        <v>4</v>
      </c>
      <c r="AL141" s="4">
        <v>2</v>
      </c>
      <c r="AM141" s="4">
        <v>2</v>
      </c>
      <c r="AN141" s="4">
        <v>0</v>
      </c>
      <c r="AO141" s="4">
        <v>0</v>
      </c>
      <c r="AP141" s="3" t="s">
        <v>58</v>
      </c>
      <c r="AQ141" s="3" t="s">
        <v>68</v>
      </c>
      <c r="AR141" s="6" t="str">
        <f>HYPERLINK("http://catalog.hathitrust.org/Record/000704788","HathiTrust Record")</f>
        <v>HathiTrust Record</v>
      </c>
      <c r="AS141" s="6" t="str">
        <f>HYPERLINK("https://creighton-primo.hosted.exlibrisgroup.com/primo-explore/search?tab=default_tab&amp;search_scope=EVERYTHING&amp;vid=01CRU&amp;lang=en_US&amp;offset=0&amp;query=any,contains,991004013509702656","Catalog Record")</f>
        <v>Catalog Record</v>
      </c>
      <c r="AT141" s="6" t="str">
        <f>HYPERLINK("http://www.worldcat.org/oclc/2098372","WorldCat Record")</f>
        <v>WorldCat Record</v>
      </c>
      <c r="AU141" s="3" t="s">
        <v>1984</v>
      </c>
      <c r="AV141" s="3" t="s">
        <v>1985</v>
      </c>
      <c r="AW141" s="3" t="s">
        <v>1986</v>
      </c>
      <c r="AX141" s="3" t="s">
        <v>1986</v>
      </c>
      <c r="AY141" s="3" t="s">
        <v>1987</v>
      </c>
      <c r="AZ141" s="3" t="s">
        <v>73</v>
      </c>
      <c r="BB141" s="3" t="s">
        <v>1988</v>
      </c>
      <c r="BC141" s="3" t="s">
        <v>1989</v>
      </c>
      <c r="BD141" s="3" t="s">
        <v>1990</v>
      </c>
    </row>
    <row r="142" spans="1:56" ht="38.25" customHeight="1" x14ac:dyDescent="0.25">
      <c r="A142" s="7" t="s">
        <v>58</v>
      </c>
      <c r="B142" s="2" t="s">
        <v>1991</v>
      </c>
      <c r="C142" s="2" t="s">
        <v>1992</v>
      </c>
      <c r="D142" s="2" t="s">
        <v>1993</v>
      </c>
      <c r="F142" s="3" t="s">
        <v>58</v>
      </c>
      <c r="G142" s="3" t="s">
        <v>59</v>
      </c>
      <c r="H142" s="3" t="s">
        <v>58</v>
      </c>
      <c r="I142" s="3" t="s">
        <v>58</v>
      </c>
      <c r="J142" s="3" t="s">
        <v>60</v>
      </c>
      <c r="K142" s="2" t="s">
        <v>1994</v>
      </c>
      <c r="L142" s="2" t="s">
        <v>1995</v>
      </c>
      <c r="M142" s="3" t="s">
        <v>1108</v>
      </c>
      <c r="O142" s="3" t="s">
        <v>64</v>
      </c>
      <c r="P142" s="3" t="s">
        <v>65</v>
      </c>
      <c r="R142" s="3" t="s">
        <v>1531</v>
      </c>
      <c r="S142" s="4">
        <v>1</v>
      </c>
      <c r="T142" s="4">
        <v>1</v>
      </c>
      <c r="U142" s="5" t="s">
        <v>1996</v>
      </c>
      <c r="V142" s="5" t="s">
        <v>1996</v>
      </c>
      <c r="W142" s="5" t="s">
        <v>1997</v>
      </c>
      <c r="X142" s="5" t="s">
        <v>1997</v>
      </c>
      <c r="Y142" s="4">
        <v>342</v>
      </c>
      <c r="Z142" s="4">
        <v>313</v>
      </c>
      <c r="AA142" s="4">
        <v>728</v>
      </c>
      <c r="AB142" s="4">
        <v>2</v>
      </c>
      <c r="AC142" s="4">
        <v>3</v>
      </c>
      <c r="AD142" s="4">
        <v>15</v>
      </c>
      <c r="AE142" s="4">
        <v>35</v>
      </c>
      <c r="AF142" s="4">
        <v>5</v>
      </c>
      <c r="AG142" s="4">
        <v>15</v>
      </c>
      <c r="AH142" s="4">
        <v>3</v>
      </c>
      <c r="AI142" s="4">
        <v>7</v>
      </c>
      <c r="AJ142" s="4">
        <v>10</v>
      </c>
      <c r="AK142" s="4">
        <v>20</v>
      </c>
      <c r="AL142" s="4">
        <v>0</v>
      </c>
      <c r="AM142" s="4">
        <v>1</v>
      </c>
      <c r="AN142" s="4">
        <v>0</v>
      </c>
      <c r="AO142" s="4">
        <v>1</v>
      </c>
      <c r="AP142" s="3" t="s">
        <v>68</v>
      </c>
      <c r="AQ142" s="3" t="s">
        <v>58</v>
      </c>
      <c r="AR142" s="6" t="str">
        <f>HYPERLINK("http://catalog.hathitrust.org/Record/001153001","HathiTrust Record")</f>
        <v>HathiTrust Record</v>
      </c>
      <c r="AS142" s="6" t="str">
        <f>HYPERLINK("https://creighton-primo.hosted.exlibrisgroup.com/primo-explore/search?tab=default_tab&amp;search_scope=EVERYTHING&amp;vid=01CRU&amp;lang=en_US&amp;offset=0&amp;query=any,contains,991004518259702656","Catalog Record")</f>
        <v>Catalog Record</v>
      </c>
      <c r="AT142" s="6" t="str">
        <f>HYPERLINK("http://www.worldcat.org/oclc/3797290","WorldCat Record")</f>
        <v>WorldCat Record</v>
      </c>
      <c r="AU142" s="3" t="s">
        <v>1998</v>
      </c>
      <c r="AV142" s="3" t="s">
        <v>1999</v>
      </c>
      <c r="AW142" s="3" t="s">
        <v>2000</v>
      </c>
      <c r="AX142" s="3" t="s">
        <v>2000</v>
      </c>
      <c r="AY142" s="3" t="s">
        <v>2001</v>
      </c>
      <c r="AZ142" s="3" t="s">
        <v>73</v>
      </c>
      <c r="BC142" s="3" t="s">
        <v>2002</v>
      </c>
      <c r="BD142" s="3" t="s">
        <v>2003</v>
      </c>
    </row>
    <row r="143" spans="1:56" ht="38.25" customHeight="1" x14ac:dyDescent="0.25">
      <c r="A143" s="7" t="s">
        <v>58</v>
      </c>
      <c r="B143" s="2" t="s">
        <v>2004</v>
      </c>
      <c r="C143" s="2" t="s">
        <v>2005</v>
      </c>
      <c r="D143" s="2" t="s">
        <v>2006</v>
      </c>
      <c r="F143" s="3" t="s">
        <v>58</v>
      </c>
      <c r="G143" s="3" t="s">
        <v>59</v>
      </c>
      <c r="H143" s="3" t="s">
        <v>58</v>
      </c>
      <c r="I143" s="3" t="s">
        <v>58</v>
      </c>
      <c r="J143" s="3" t="s">
        <v>60</v>
      </c>
      <c r="K143" s="2" t="s">
        <v>2007</v>
      </c>
      <c r="L143" s="2" t="s">
        <v>2008</v>
      </c>
      <c r="M143" s="3" t="s">
        <v>856</v>
      </c>
      <c r="N143" s="2" t="s">
        <v>524</v>
      </c>
      <c r="O143" s="3" t="s">
        <v>64</v>
      </c>
      <c r="P143" s="3" t="s">
        <v>580</v>
      </c>
      <c r="R143" s="3" t="s">
        <v>1531</v>
      </c>
      <c r="S143" s="4">
        <v>1</v>
      </c>
      <c r="T143" s="4">
        <v>1</v>
      </c>
      <c r="U143" s="5" t="s">
        <v>2009</v>
      </c>
      <c r="V143" s="5" t="s">
        <v>2009</v>
      </c>
      <c r="W143" s="5" t="s">
        <v>2010</v>
      </c>
      <c r="X143" s="5" t="s">
        <v>2010</v>
      </c>
      <c r="Y143" s="4">
        <v>909</v>
      </c>
      <c r="Z143" s="4">
        <v>811</v>
      </c>
      <c r="AA143" s="4">
        <v>818</v>
      </c>
      <c r="AB143" s="4">
        <v>8</v>
      </c>
      <c r="AC143" s="4">
        <v>8</v>
      </c>
      <c r="AD143" s="4">
        <v>34</v>
      </c>
      <c r="AE143" s="4">
        <v>34</v>
      </c>
      <c r="AF143" s="4">
        <v>12</v>
      </c>
      <c r="AG143" s="4">
        <v>12</v>
      </c>
      <c r="AH143" s="4">
        <v>5</v>
      </c>
      <c r="AI143" s="4">
        <v>5</v>
      </c>
      <c r="AJ143" s="4">
        <v>16</v>
      </c>
      <c r="AK143" s="4">
        <v>16</v>
      </c>
      <c r="AL143" s="4">
        <v>4</v>
      </c>
      <c r="AM143" s="4">
        <v>4</v>
      </c>
      <c r="AN143" s="4">
        <v>4</v>
      </c>
      <c r="AO143" s="4">
        <v>4</v>
      </c>
      <c r="AP143" s="3" t="s">
        <v>58</v>
      </c>
      <c r="AQ143" s="3" t="s">
        <v>58</v>
      </c>
      <c r="AS143" s="6" t="str">
        <f>HYPERLINK("https://creighton-primo.hosted.exlibrisgroup.com/primo-explore/search?tab=default_tab&amp;search_scope=EVERYTHING&amp;vid=01CRU&amp;lang=en_US&amp;offset=0&amp;query=any,contains,991004009389702656","Catalog Record")</f>
        <v>Catalog Record</v>
      </c>
      <c r="AT143" s="6" t="str">
        <f>HYPERLINK("http://www.worldcat.org/oclc/2089637","WorldCat Record")</f>
        <v>WorldCat Record</v>
      </c>
      <c r="AU143" s="3" t="s">
        <v>2011</v>
      </c>
      <c r="AV143" s="3" t="s">
        <v>2012</v>
      </c>
      <c r="AW143" s="3" t="s">
        <v>2013</v>
      </c>
      <c r="AX143" s="3" t="s">
        <v>2013</v>
      </c>
      <c r="AY143" s="3" t="s">
        <v>2014</v>
      </c>
      <c r="AZ143" s="3" t="s">
        <v>73</v>
      </c>
      <c r="BB143" s="3" t="s">
        <v>2015</v>
      </c>
      <c r="BC143" s="3" t="s">
        <v>2016</v>
      </c>
      <c r="BD143" s="3" t="s">
        <v>2017</v>
      </c>
    </row>
    <row r="144" spans="1:56" ht="38.25" customHeight="1" x14ac:dyDescent="0.25">
      <c r="A144" s="7" t="s">
        <v>58</v>
      </c>
      <c r="B144" s="2" t="s">
        <v>2018</v>
      </c>
      <c r="C144" s="2" t="s">
        <v>2019</v>
      </c>
      <c r="D144" s="2" t="s">
        <v>2020</v>
      </c>
      <c r="F144" s="3" t="s">
        <v>58</v>
      </c>
      <c r="G144" s="3" t="s">
        <v>59</v>
      </c>
      <c r="H144" s="3" t="s">
        <v>58</v>
      </c>
      <c r="I144" s="3" t="s">
        <v>58</v>
      </c>
      <c r="J144" s="3" t="s">
        <v>60</v>
      </c>
      <c r="K144" s="2" t="s">
        <v>2021</v>
      </c>
      <c r="L144" s="2" t="s">
        <v>2022</v>
      </c>
      <c r="M144" s="3" t="s">
        <v>365</v>
      </c>
      <c r="O144" s="3" t="s">
        <v>64</v>
      </c>
      <c r="P144" s="3" t="s">
        <v>580</v>
      </c>
      <c r="R144" s="3" t="s">
        <v>1531</v>
      </c>
      <c r="S144" s="4">
        <v>8</v>
      </c>
      <c r="T144" s="4">
        <v>8</v>
      </c>
      <c r="U144" s="5" t="s">
        <v>2023</v>
      </c>
      <c r="V144" s="5" t="s">
        <v>2023</v>
      </c>
      <c r="W144" s="5" t="s">
        <v>1669</v>
      </c>
      <c r="X144" s="5" t="s">
        <v>1669</v>
      </c>
      <c r="Y144" s="4">
        <v>543</v>
      </c>
      <c r="Z144" s="4">
        <v>451</v>
      </c>
      <c r="AA144" s="4">
        <v>457</v>
      </c>
      <c r="AB144" s="4">
        <v>4</v>
      </c>
      <c r="AC144" s="4">
        <v>4</v>
      </c>
      <c r="AD144" s="4">
        <v>31</v>
      </c>
      <c r="AE144" s="4">
        <v>31</v>
      </c>
      <c r="AF144" s="4">
        <v>12</v>
      </c>
      <c r="AG144" s="4">
        <v>12</v>
      </c>
      <c r="AH144" s="4">
        <v>7</v>
      </c>
      <c r="AI144" s="4">
        <v>7</v>
      </c>
      <c r="AJ144" s="4">
        <v>15</v>
      </c>
      <c r="AK144" s="4">
        <v>15</v>
      </c>
      <c r="AL144" s="4">
        <v>3</v>
      </c>
      <c r="AM144" s="4">
        <v>3</v>
      </c>
      <c r="AN144" s="4">
        <v>4</v>
      </c>
      <c r="AO144" s="4">
        <v>4</v>
      </c>
      <c r="AP144" s="3" t="s">
        <v>58</v>
      </c>
      <c r="AQ144" s="3" t="s">
        <v>68</v>
      </c>
      <c r="AR144" s="6" t="str">
        <f>HYPERLINK("http://catalog.hathitrust.org/Record/000168335","HathiTrust Record")</f>
        <v>HathiTrust Record</v>
      </c>
      <c r="AS144" s="6" t="str">
        <f>HYPERLINK("https://creighton-primo.hosted.exlibrisgroup.com/primo-explore/search?tab=default_tab&amp;search_scope=EVERYTHING&amp;vid=01CRU&amp;lang=en_US&amp;offset=0&amp;query=any,contains,991000362319702656","Catalog Record")</f>
        <v>Catalog Record</v>
      </c>
      <c r="AT144" s="6" t="str">
        <f>HYPERLINK("http://www.worldcat.org/oclc/10375089","WorldCat Record")</f>
        <v>WorldCat Record</v>
      </c>
      <c r="AU144" s="3" t="s">
        <v>2024</v>
      </c>
      <c r="AV144" s="3" t="s">
        <v>2025</v>
      </c>
      <c r="AW144" s="3" t="s">
        <v>2026</v>
      </c>
      <c r="AX144" s="3" t="s">
        <v>2026</v>
      </c>
      <c r="AY144" s="3" t="s">
        <v>2027</v>
      </c>
      <c r="AZ144" s="3" t="s">
        <v>73</v>
      </c>
      <c r="BB144" s="3" t="s">
        <v>2028</v>
      </c>
      <c r="BC144" s="3" t="s">
        <v>2029</v>
      </c>
      <c r="BD144" s="3" t="s">
        <v>2030</v>
      </c>
    </row>
    <row r="145" spans="1:56" ht="38.25" customHeight="1" x14ac:dyDescent="0.25">
      <c r="A145" s="7" t="s">
        <v>58</v>
      </c>
      <c r="B145" s="2" t="s">
        <v>2031</v>
      </c>
      <c r="C145" s="2" t="s">
        <v>2032</v>
      </c>
      <c r="D145" s="2" t="s">
        <v>2033</v>
      </c>
      <c r="F145" s="3" t="s">
        <v>58</v>
      </c>
      <c r="G145" s="3" t="s">
        <v>59</v>
      </c>
      <c r="H145" s="3" t="s">
        <v>58</v>
      </c>
      <c r="I145" s="3" t="s">
        <v>58</v>
      </c>
      <c r="J145" s="3" t="s">
        <v>60</v>
      </c>
      <c r="K145" s="2" t="s">
        <v>2034</v>
      </c>
      <c r="L145" s="2" t="s">
        <v>2035</v>
      </c>
      <c r="M145" s="3" t="s">
        <v>2036</v>
      </c>
      <c r="O145" s="3" t="s">
        <v>64</v>
      </c>
      <c r="P145" s="3" t="s">
        <v>83</v>
      </c>
      <c r="R145" s="3" t="s">
        <v>1531</v>
      </c>
      <c r="S145" s="4">
        <v>1</v>
      </c>
      <c r="T145" s="4">
        <v>1</v>
      </c>
      <c r="U145" s="5" t="s">
        <v>2037</v>
      </c>
      <c r="V145" s="5" t="s">
        <v>2037</v>
      </c>
      <c r="W145" s="5" t="s">
        <v>1918</v>
      </c>
      <c r="X145" s="5" t="s">
        <v>1918</v>
      </c>
      <c r="Y145" s="4">
        <v>188</v>
      </c>
      <c r="Z145" s="4">
        <v>132</v>
      </c>
      <c r="AA145" s="4">
        <v>134</v>
      </c>
      <c r="AB145" s="4">
        <v>3</v>
      </c>
      <c r="AC145" s="4">
        <v>3</v>
      </c>
      <c r="AD145" s="4">
        <v>4</v>
      </c>
      <c r="AE145" s="4">
        <v>4</v>
      </c>
      <c r="AF145" s="4">
        <v>2</v>
      </c>
      <c r="AG145" s="4">
        <v>2</v>
      </c>
      <c r="AH145" s="4">
        <v>0</v>
      </c>
      <c r="AI145" s="4">
        <v>0</v>
      </c>
      <c r="AJ145" s="4">
        <v>2</v>
      </c>
      <c r="AK145" s="4">
        <v>2</v>
      </c>
      <c r="AL145" s="4">
        <v>2</v>
      </c>
      <c r="AM145" s="4">
        <v>2</v>
      </c>
      <c r="AN145" s="4">
        <v>0</v>
      </c>
      <c r="AO145" s="4">
        <v>0</v>
      </c>
      <c r="AP145" s="3" t="s">
        <v>58</v>
      </c>
      <c r="AQ145" s="3" t="s">
        <v>68</v>
      </c>
      <c r="AR145" s="6" t="str">
        <f>HYPERLINK("http://catalog.hathitrust.org/Record/003141355","HathiTrust Record")</f>
        <v>HathiTrust Record</v>
      </c>
      <c r="AS145" s="6" t="str">
        <f>HYPERLINK("https://creighton-primo.hosted.exlibrisgroup.com/primo-explore/search?tab=default_tab&amp;search_scope=EVERYTHING&amp;vid=01CRU&amp;lang=en_US&amp;offset=0&amp;query=any,contains,991000509409702656","Catalog Record")</f>
        <v>Catalog Record</v>
      </c>
      <c r="AT145" s="6" t="str">
        <f>HYPERLINK("http://www.worldcat.org/oclc/11234431","WorldCat Record")</f>
        <v>WorldCat Record</v>
      </c>
      <c r="AU145" s="3" t="s">
        <v>2038</v>
      </c>
      <c r="AV145" s="3" t="s">
        <v>2039</v>
      </c>
      <c r="AW145" s="3" t="s">
        <v>2040</v>
      </c>
      <c r="AX145" s="3" t="s">
        <v>2040</v>
      </c>
      <c r="AY145" s="3" t="s">
        <v>2041</v>
      </c>
      <c r="AZ145" s="3" t="s">
        <v>73</v>
      </c>
      <c r="BB145" s="3" t="s">
        <v>2042</v>
      </c>
      <c r="BC145" s="3" t="s">
        <v>2043</v>
      </c>
      <c r="BD145" s="3" t="s">
        <v>2044</v>
      </c>
    </row>
    <row r="146" spans="1:56" ht="38.25" customHeight="1" x14ac:dyDescent="0.25">
      <c r="A146" s="7" t="s">
        <v>58</v>
      </c>
      <c r="B146" s="2" t="s">
        <v>2045</v>
      </c>
      <c r="C146" s="2" t="s">
        <v>2046</v>
      </c>
      <c r="D146" s="2" t="s">
        <v>2047</v>
      </c>
      <c r="F146" s="3" t="s">
        <v>58</v>
      </c>
      <c r="G146" s="3" t="s">
        <v>59</v>
      </c>
      <c r="H146" s="3" t="s">
        <v>58</v>
      </c>
      <c r="I146" s="3" t="s">
        <v>58</v>
      </c>
      <c r="J146" s="3" t="s">
        <v>60</v>
      </c>
      <c r="K146" s="2" t="s">
        <v>2048</v>
      </c>
      <c r="L146" s="2" t="s">
        <v>2049</v>
      </c>
      <c r="M146" s="3" t="s">
        <v>177</v>
      </c>
      <c r="O146" s="3" t="s">
        <v>64</v>
      </c>
      <c r="P146" s="3" t="s">
        <v>130</v>
      </c>
      <c r="R146" s="3" t="s">
        <v>1531</v>
      </c>
      <c r="S146" s="4">
        <v>10</v>
      </c>
      <c r="T146" s="4">
        <v>10</v>
      </c>
      <c r="U146" s="5" t="s">
        <v>2050</v>
      </c>
      <c r="V146" s="5" t="s">
        <v>2050</v>
      </c>
      <c r="W146" s="5" t="s">
        <v>2051</v>
      </c>
      <c r="X146" s="5" t="s">
        <v>2051</v>
      </c>
      <c r="Y146" s="4">
        <v>405</v>
      </c>
      <c r="Z146" s="4">
        <v>322</v>
      </c>
      <c r="AA146" s="4">
        <v>322</v>
      </c>
      <c r="AB146" s="4">
        <v>4</v>
      </c>
      <c r="AC146" s="4">
        <v>4</v>
      </c>
      <c r="AD146" s="4">
        <v>25</v>
      </c>
      <c r="AE146" s="4">
        <v>25</v>
      </c>
      <c r="AF146" s="4">
        <v>6</v>
      </c>
      <c r="AG146" s="4">
        <v>6</v>
      </c>
      <c r="AH146" s="4">
        <v>4</v>
      </c>
      <c r="AI146" s="4">
        <v>4</v>
      </c>
      <c r="AJ146" s="4">
        <v>10</v>
      </c>
      <c r="AK146" s="4">
        <v>10</v>
      </c>
      <c r="AL146" s="4">
        <v>3</v>
      </c>
      <c r="AM146" s="4">
        <v>3</v>
      </c>
      <c r="AN146" s="4">
        <v>6</v>
      </c>
      <c r="AO146" s="4">
        <v>6</v>
      </c>
      <c r="AP146" s="3" t="s">
        <v>58</v>
      </c>
      <c r="AQ146" s="3" t="s">
        <v>58</v>
      </c>
      <c r="AS146" s="6" t="str">
        <f>HYPERLINK("https://creighton-primo.hosted.exlibrisgroup.com/primo-explore/search?tab=default_tab&amp;search_scope=EVERYTHING&amp;vid=01CRU&amp;lang=en_US&amp;offset=0&amp;query=any,contains,991001658559702656","Catalog Record")</f>
        <v>Catalog Record</v>
      </c>
      <c r="AT146" s="6" t="str">
        <f>HYPERLINK("http://www.worldcat.org/oclc/21153512","WorldCat Record")</f>
        <v>WorldCat Record</v>
      </c>
      <c r="AU146" s="3" t="s">
        <v>2052</v>
      </c>
      <c r="AV146" s="3" t="s">
        <v>2053</v>
      </c>
      <c r="AW146" s="3" t="s">
        <v>2054</v>
      </c>
      <c r="AX146" s="3" t="s">
        <v>2054</v>
      </c>
      <c r="AY146" s="3" t="s">
        <v>2055</v>
      </c>
      <c r="AZ146" s="3" t="s">
        <v>73</v>
      </c>
      <c r="BB146" s="3" t="s">
        <v>2056</v>
      </c>
      <c r="BC146" s="3" t="s">
        <v>2057</v>
      </c>
      <c r="BD146" s="3" t="s">
        <v>2058</v>
      </c>
    </row>
    <row r="147" spans="1:56" ht="38.25" customHeight="1" x14ac:dyDescent="0.25">
      <c r="A147" s="7" t="s">
        <v>58</v>
      </c>
      <c r="B147" s="2" t="s">
        <v>2059</v>
      </c>
      <c r="C147" s="2" t="s">
        <v>2060</v>
      </c>
      <c r="D147" s="2" t="s">
        <v>2061</v>
      </c>
      <c r="F147" s="3" t="s">
        <v>58</v>
      </c>
      <c r="G147" s="3" t="s">
        <v>59</v>
      </c>
      <c r="H147" s="3" t="s">
        <v>58</v>
      </c>
      <c r="I147" s="3" t="s">
        <v>58</v>
      </c>
      <c r="J147" s="3" t="s">
        <v>60</v>
      </c>
      <c r="K147" s="2" t="s">
        <v>2062</v>
      </c>
      <c r="L147" s="2" t="s">
        <v>2063</v>
      </c>
      <c r="M147" s="3" t="s">
        <v>466</v>
      </c>
      <c r="O147" s="3" t="s">
        <v>64</v>
      </c>
      <c r="P147" s="3" t="s">
        <v>802</v>
      </c>
      <c r="R147" s="3" t="s">
        <v>1531</v>
      </c>
      <c r="S147" s="4">
        <v>9</v>
      </c>
      <c r="T147" s="4">
        <v>9</v>
      </c>
      <c r="U147" s="5" t="s">
        <v>2064</v>
      </c>
      <c r="V147" s="5" t="s">
        <v>2064</v>
      </c>
      <c r="W147" s="5" t="s">
        <v>2065</v>
      </c>
      <c r="X147" s="5" t="s">
        <v>2065</v>
      </c>
      <c r="Y147" s="4">
        <v>456</v>
      </c>
      <c r="Z147" s="4">
        <v>364</v>
      </c>
      <c r="AA147" s="4">
        <v>425</v>
      </c>
      <c r="AB147" s="4">
        <v>3</v>
      </c>
      <c r="AC147" s="4">
        <v>3</v>
      </c>
      <c r="AD147" s="4">
        <v>21</v>
      </c>
      <c r="AE147" s="4">
        <v>25</v>
      </c>
      <c r="AF147" s="4">
        <v>6</v>
      </c>
      <c r="AG147" s="4">
        <v>7</v>
      </c>
      <c r="AH147" s="4">
        <v>6</v>
      </c>
      <c r="AI147" s="4">
        <v>6</v>
      </c>
      <c r="AJ147" s="4">
        <v>11</v>
      </c>
      <c r="AK147" s="4">
        <v>12</v>
      </c>
      <c r="AL147" s="4">
        <v>2</v>
      </c>
      <c r="AM147" s="4">
        <v>2</v>
      </c>
      <c r="AN147" s="4">
        <v>2</v>
      </c>
      <c r="AO147" s="4">
        <v>4</v>
      </c>
      <c r="AP147" s="3" t="s">
        <v>58</v>
      </c>
      <c r="AQ147" s="3" t="s">
        <v>68</v>
      </c>
      <c r="AR147" s="6" t="str">
        <f>HYPERLINK("http://catalog.hathitrust.org/Record/002527305","HathiTrust Record")</f>
        <v>HathiTrust Record</v>
      </c>
      <c r="AS147" s="6" t="str">
        <f>HYPERLINK("https://creighton-primo.hosted.exlibrisgroup.com/primo-explore/search?tab=default_tab&amp;search_scope=EVERYTHING&amp;vid=01CRU&amp;lang=en_US&amp;offset=0&amp;query=any,contains,991001970199702656","Catalog Record")</f>
        <v>Catalog Record</v>
      </c>
      <c r="AT147" s="6" t="str">
        <f>HYPERLINK("http://www.worldcat.org/oclc/25007765","WorldCat Record")</f>
        <v>WorldCat Record</v>
      </c>
      <c r="AU147" s="3" t="s">
        <v>2066</v>
      </c>
      <c r="AV147" s="3" t="s">
        <v>2067</v>
      </c>
      <c r="AW147" s="3" t="s">
        <v>2068</v>
      </c>
      <c r="AX147" s="3" t="s">
        <v>2068</v>
      </c>
      <c r="AY147" s="3" t="s">
        <v>2069</v>
      </c>
      <c r="AZ147" s="3" t="s">
        <v>73</v>
      </c>
      <c r="BB147" s="3" t="s">
        <v>2070</v>
      </c>
      <c r="BC147" s="3" t="s">
        <v>2071</v>
      </c>
      <c r="BD147" s="3" t="s">
        <v>2072</v>
      </c>
    </row>
    <row r="148" spans="1:56" ht="38.25" customHeight="1" x14ac:dyDescent="0.25">
      <c r="A148" s="7" t="s">
        <v>58</v>
      </c>
      <c r="B148" s="2" t="s">
        <v>2073</v>
      </c>
      <c r="C148" s="2" t="s">
        <v>2074</v>
      </c>
      <c r="D148" s="2" t="s">
        <v>2075</v>
      </c>
      <c r="F148" s="3" t="s">
        <v>58</v>
      </c>
      <c r="G148" s="3" t="s">
        <v>59</v>
      </c>
      <c r="H148" s="3" t="s">
        <v>58</v>
      </c>
      <c r="I148" s="3" t="s">
        <v>58</v>
      </c>
      <c r="J148" s="3" t="s">
        <v>60</v>
      </c>
      <c r="K148" s="2" t="s">
        <v>2076</v>
      </c>
      <c r="L148" s="2" t="s">
        <v>2077</v>
      </c>
      <c r="M148" s="3" t="s">
        <v>113</v>
      </c>
      <c r="O148" s="3" t="s">
        <v>64</v>
      </c>
      <c r="P148" s="3" t="s">
        <v>580</v>
      </c>
      <c r="R148" s="3" t="s">
        <v>1531</v>
      </c>
      <c r="S148" s="4">
        <v>4</v>
      </c>
      <c r="T148" s="4">
        <v>4</v>
      </c>
      <c r="U148" s="5" t="s">
        <v>2078</v>
      </c>
      <c r="V148" s="5" t="s">
        <v>2078</v>
      </c>
      <c r="W148" s="5" t="s">
        <v>1918</v>
      </c>
      <c r="X148" s="5" t="s">
        <v>1918</v>
      </c>
      <c r="Y148" s="4">
        <v>790</v>
      </c>
      <c r="Z148" s="4">
        <v>690</v>
      </c>
      <c r="AA148" s="4">
        <v>705</v>
      </c>
      <c r="AB148" s="4">
        <v>4</v>
      </c>
      <c r="AC148" s="4">
        <v>4</v>
      </c>
      <c r="AD148" s="4">
        <v>31</v>
      </c>
      <c r="AE148" s="4">
        <v>31</v>
      </c>
      <c r="AF148" s="4">
        <v>12</v>
      </c>
      <c r="AG148" s="4">
        <v>12</v>
      </c>
      <c r="AH148" s="4">
        <v>6</v>
      </c>
      <c r="AI148" s="4">
        <v>6</v>
      </c>
      <c r="AJ148" s="4">
        <v>15</v>
      </c>
      <c r="AK148" s="4">
        <v>15</v>
      </c>
      <c r="AL148" s="4">
        <v>3</v>
      </c>
      <c r="AM148" s="4">
        <v>3</v>
      </c>
      <c r="AN148" s="4">
        <v>1</v>
      </c>
      <c r="AO148" s="4">
        <v>1</v>
      </c>
      <c r="AP148" s="3" t="s">
        <v>58</v>
      </c>
      <c r="AQ148" s="3" t="s">
        <v>68</v>
      </c>
      <c r="AR148" s="6" t="str">
        <f>HYPERLINK("http://catalog.hathitrust.org/Record/000149232","HathiTrust Record")</f>
        <v>HathiTrust Record</v>
      </c>
      <c r="AS148" s="6" t="str">
        <f>HYPERLINK("https://creighton-primo.hosted.exlibrisgroup.com/primo-explore/search?tab=default_tab&amp;search_scope=EVERYTHING&amp;vid=01CRU&amp;lang=en_US&amp;offset=0&amp;query=any,contains,991000020929702656","Catalog Record")</f>
        <v>Catalog Record</v>
      </c>
      <c r="AT148" s="6" t="str">
        <f>HYPERLINK("http://www.worldcat.org/oclc/8569021","WorldCat Record")</f>
        <v>WorldCat Record</v>
      </c>
      <c r="AU148" s="3" t="s">
        <v>2079</v>
      </c>
      <c r="AV148" s="3" t="s">
        <v>2080</v>
      </c>
      <c r="AW148" s="3" t="s">
        <v>2081</v>
      </c>
      <c r="AX148" s="3" t="s">
        <v>2081</v>
      </c>
      <c r="AY148" s="3" t="s">
        <v>2082</v>
      </c>
      <c r="AZ148" s="3" t="s">
        <v>73</v>
      </c>
      <c r="BB148" s="3" t="s">
        <v>2083</v>
      </c>
      <c r="BC148" s="3" t="s">
        <v>2084</v>
      </c>
      <c r="BD148" s="3" t="s">
        <v>2085</v>
      </c>
    </row>
    <row r="149" spans="1:56" ht="38.25" customHeight="1" x14ac:dyDescent="0.25">
      <c r="A149" s="7" t="s">
        <v>58</v>
      </c>
      <c r="B149" s="2" t="s">
        <v>2086</v>
      </c>
      <c r="C149" s="2" t="s">
        <v>2087</v>
      </c>
      <c r="D149" s="2" t="s">
        <v>2088</v>
      </c>
      <c r="F149" s="3" t="s">
        <v>58</v>
      </c>
      <c r="G149" s="3" t="s">
        <v>59</v>
      </c>
      <c r="H149" s="3" t="s">
        <v>58</v>
      </c>
      <c r="I149" s="3" t="s">
        <v>58</v>
      </c>
      <c r="J149" s="3" t="s">
        <v>60</v>
      </c>
      <c r="K149" s="2" t="s">
        <v>2089</v>
      </c>
      <c r="L149" s="2" t="s">
        <v>2090</v>
      </c>
      <c r="M149" s="3" t="s">
        <v>1641</v>
      </c>
      <c r="O149" s="3" t="s">
        <v>64</v>
      </c>
      <c r="P149" s="3" t="s">
        <v>147</v>
      </c>
      <c r="Q149" s="2" t="s">
        <v>2091</v>
      </c>
      <c r="R149" s="3" t="s">
        <v>1531</v>
      </c>
      <c r="S149" s="4">
        <v>3</v>
      </c>
      <c r="T149" s="4">
        <v>3</v>
      </c>
      <c r="U149" s="5" t="s">
        <v>2092</v>
      </c>
      <c r="V149" s="5" t="s">
        <v>2092</v>
      </c>
      <c r="W149" s="5" t="s">
        <v>2010</v>
      </c>
      <c r="X149" s="5" t="s">
        <v>2010</v>
      </c>
      <c r="Y149" s="4">
        <v>525</v>
      </c>
      <c r="Z149" s="4">
        <v>424</v>
      </c>
      <c r="AA149" s="4">
        <v>429</v>
      </c>
      <c r="AB149" s="4">
        <v>6</v>
      </c>
      <c r="AC149" s="4">
        <v>6</v>
      </c>
      <c r="AD149" s="4">
        <v>22</v>
      </c>
      <c r="AE149" s="4">
        <v>22</v>
      </c>
      <c r="AF149" s="4">
        <v>4</v>
      </c>
      <c r="AG149" s="4">
        <v>4</v>
      </c>
      <c r="AH149" s="4">
        <v>5</v>
      </c>
      <c r="AI149" s="4">
        <v>5</v>
      </c>
      <c r="AJ149" s="4">
        <v>10</v>
      </c>
      <c r="AK149" s="4">
        <v>10</v>
      </c>
      <c r="AL149" s="4">
        <v>5</v>
      </c>
      <c r="AM149" s="4">
        <v>5</v>
      </c>
      <c r="AN149" s="4">
        <v>2</v>
      </c>
      <c r="AO149" s="4">
        <v>2</v>
      </c>
      <c r="AP149" s="3" t="s">
        <v>58</v>
      </c>
      <c r="AQ149" s="3" t="s">
        <v>58</v>
      </c>
      <c r="AS149" s="6" t="str">
        <f>HYPERLINK("https://creighton-primo.hosted.exlibrisgroup.com/primo-explore/search?tab=default_tab&amp;search_scope=EVERYTHING&amp;vid=01CRU&amp;lang=en_US&amp;offset=0&amp;query=any,contains,991004438509702656","Catalog Record")</f>
        <v>Catalog Record</v>
      </c>
      <c r="AT149" s="6" t="str">
        <f>HYPERLINK("http://www.worldcat.org/oclc/3447504","WorldCat Record")</f>
        <v>WorldCat Record</v>
      </c>
      <c r="AU149" s="3" t="s">
        <v>2093</v>
      </c>
      <c r="AV149" s="3" t="s">
        <v>2094</v>
      </c>
      <c r="AW149" s="3" t="s">
        <v>2095</v>
      </c>
      <c r="AX149" s="3" t="s">
        <v>2095</v>
      </c>
      <c r="AY149" s="3" t="s">
        <v>2096</v>
      </c>
      <c r="AZ149" s="3" t="s">
        <v>73</v>
      </c>
      <c r="BB149" s="3" t="s">
        <v>2097</v>
      </c>
      <c r="BC149" s="3" t="s">
        <v>2098</v>
      </c>
      <c r="BD149" s="3" t="s">
        <v>2099</v>
      </c>
    </row>
    <row r="150" spans="1:56" ht="38.25" customHeight="1" x14ac:dyDescent="0.25">
      <c r="A150" s="7" t="s">
        <v>58</v>
      </c>
      <c r="B150" s="2" t="s">
        <v>2100</v>
      </c>
      <c r="C150" s="2" t="s">
        <v>2101</v>
      </c>
      <c r="D150" s="2" t="s">
        <v>2102</v>
      </c>
      <c r="F150" s="3" t="s">
        <v>58</v>
      </c>
      <c r="G150" s="3" t="s">
        <v>59</v>
      </c>
      <c r="H150" s="3" t="s">
        <v>58</v>
      </c>
      <c r="I150" s="3" t="s">
        <v>58</v>
      </c>
      <c r="J150" s="3" t="s">
        <v>60</v>
      </c>
      <c r="K150" s="2" t="s">
        <v>2103</v>
      </c>
      <c r="L150" s="2" t="s">
        <v>2104</v>
      </c>
      <c r="M150" s="3" t="s">
        <v>609</v>
      </c>
      <c r="O150" s="3" t="s">
        <v>64</v>
      </c>
      <c r="P150" s="3" t="s">
        <v>802</v>
      </c>
      <c r="Q150" s="2" t="s">
        <v>2105</v>
      </c>
      <c r="R150" s="3" t="s">
        <v>1531</v>
      </c>
      <c r="S150" s="4">
        <v>1</v>
      </c>
      <c r="T150" s="4">
        <v>1</v>
      </c>
      <c r="U150" s="5" t="s">
        <v>2106</v>
      </c>
      <c r="V150" s="5" t="s">
        <v>2106</v>
      </c>
      <c r="W150" s="5" t="s">
        <v>2010</v>
      </c>
      <c r="X150" s="5" t="s">
        <v>2010</v>
      </c>
      <c r="Y150" s="4">
        <v>526</v>
      </c>
      <c r="Z150" s="4">
        <v>466</v>
      </c>
      <c r="AA150" s="4">
        <v>488</v>
      </c>
      <c r="AB150" s="4">
        <v>3</v>
      </c>
      <c r="AC150" s="4">
        <v>3</v>
      </c>
      <c r="AD150" s="4">
        <v>21</v>
      </c>
      <c r="AE150" s="4">
        <v>22</v>
      </c>
      <c r="AF150" s="4">
        <v>6</v>
      </c>
      <c r="AG150" s="4">
        <v>6</v>
      </c>
      <c r="AH150" s="4">
        <v>5</v>
      </c>
      <c r="AI150" s="4">
        <v>5</v>
      </c>
      <c r="AJ150" s="4">
        <v>11</v>
      </c>
      <c r="AK150" s="4">
        <v>11</v>
      </c>
      <c r="AL150" s="4">
        <v>2</v>
      </c>
      <c r="AM150" s="4">
        <v>2</v>
      </c>
      <c r="AN150" s="4">
        <v>1</v>
      </c>
      <c r="AO150" s="4">
        <v>2</v>
      </c>
      <c r="AP150" s="3" t="s">
        <v>58</v>
      </c>
      <c r="AQ150" s="3" t="s">
        <v>68</v>
      </c>
      <c r="AR150" s="6" t="str">
        <f>HYPERLINK("http://catalog.hathitrust.org/Record/000031874","HathiTrust Record")</f>
        <v>HathiTrust Record</v>
      </c>
      <c r="AS150" s="6" t="str">
        <f>HYPERLINK("https://creighton-primo.hosted.exlibrisgroup.com/primo-explore/search?tab=default_tab&amp;search_scope=EVERYTHING&amp;vid=01CRU&amp;lang=en_US&amp;offset=0&amp;query=any,contains,991003876819702656","Catalog Record")</f>
        <v>Catalog Record</v>
      </c>
      <c r="AT150" s="6" t="str">
        <f>HYPERLINK("http://www.worldcat.org/oclc/1708904","WorldCat Record")</f>
        <v>WorldCat Record</v>
      </c>
      <c r="AU150" s="3" t="s">
        <v>2107</v>
      </c>
      <c r="AV150" s="3" t="s">
        <v>2108</v>
      </c>
      <c r="AW150" s="3" t="s">
        <v>2109</v>
      </c>
      <c r="AX150" s="3" t="s">
        <v>2109</v>
      </c>
      <c r="AY150" s="3" t="s">
        <v>2110</v>
      </c>
      <c r="AZ150" s="3" t="s">
        <v>73</v>
      </c>
      <c r="BB150" s="3" t="s">
        <v>2111</v>
      </c>
      <c r="BC150" s="3" t="s">
        <v>2112</v>
      </c>
      <c r="BD150" s="3" t="s">
        <v>2113</v>
      </c>
    </row>
    <row r="151" spans="1:56" ht="38.25" customHeight="1" x14ac:dyDescent="0.25">
      <c r="A151" s="7" t="s">
        <v>58</v>
      </c>
      <c r="B151" s="2" t="s">
        <v>2114</v>
      </c>
      <c r="C151" s="2" t="s">
        <v>2115</v>
      </c>
      <c r="D151" s="2" t="s">
        <v>2116</v>
      </c>
      <c r="F151" s="3" t="s">
        <v>58</v>
      </c>
      <c r="G151" s="3" t="s">
        <v>59</v>
      </c>
      <c r="H151" s="3" t="s">
        <v>58</v>
      </c>
      <c r="I151" s="3" t="s">
        <v>58</v>
      </c>
      <c r="J151" s="3" t="s">
        <v>60</v>
      </c>
      <c r="K151" s="2" t="s">
        <v>2117</v>
      </c>
      <c r="L151" s="2" t="s">
        <v>2118</v>
      </c>
      <c r="M151" s="3" t="s">
        <v>991</v>
      </c>
      <c r="O151" s="3" t="s">
        <v>64</v>
      </c>
      <c r="P151" s="3" t="s">
        <v>65</v>
      </c>
      <c r="R151" s="3" t="s">
        <v>1531</v>
      </c>
      <c r="S151" s="4">
        <v>2</v>
      </c>
      <c r="T151" s="4">
        <v>2</v>
      </c>
      <c r="U151" s="5" t="s">
        <v>1272</v>
      </c>
      <c r="V151" s="5" t="s">
        <v>1272</v>
      </c>
      <c r="W151" s="5" t="s">
        <v>2010</v>
      </c>
      <c r="X151" s="5" t="s">
        <v>2010</v>
      </c>
      <c r="Y151" s="4">
        <v>503</v>
      </c>
      <c r="Z151" s="4">
        <v>452</v>
      </c>
      <c r="AA151" s="4">
        <v>594</v>
      </c>
      <c r="AB151" s="4">
        <v>3</v>
      </c>
      <c r="AC151" s="4">
        <v>3</v>
      </c>
      <c r="AD151" s="4">
        <v>28</v>
      </c>
      <c r="AE151" s="4">
        <v>32</v>
      </c>
      <c r="AF151" s="4">
        <v>11</v>
      </c>
      <c r="AG151" s="4">
        <v>13</v>
      </c>
      <c r="AH151" s="4">
        <v>8</v>
      </c>
      <c r="AI151" s="4">
        <v>9</v>
      </c>
      <c r="AJ151" s="4">
        <v>16</v>
      </c>
      <c r="AK151" s="4">
        <v>18</v>
      </c>
      <c r="AL151" s="4">
        <v>2</v>
      </c>
      <c r="AM151" s="4">
        <v>2</v>
      </c>
      <c r="AN151" s="4">
        <v>0</v>
      </c>
      <c r="AO151" s="4">
        <v>0</v>
      </c>
      <c r="AP151" s="3" t="s">
        <v>58</v>
      </c>
      <c r="AQ151" s="3" t="s">
        <v>68</v>
      </c>
      <c r="AR151" s="6" t="str">
        <f>HYPERLINK("http://catalog.hathitrust.org/Record/004441108","HathiTrust Record")</f>
        <v>HathiTrust Record</v>
      </c>
      <c r="AS151" s="6" t="str">
        <f>HYPERLINK("https://creighton-primo.hosted.exlibrisgroup.com/primo-explore/search?tab=default_tab&amp;search_scope=EVERYTHING&amp;vid=01CRU&amp;lang=en_US&amp;offset=0&amp;query=any,contains,991002877309702656","Catalog Record")</f>
        <v>Catalog Record</v>
      </c>
      <c r="AT151" s="6" t="str">
        <f>HYPERLINK("http://www.worldcat.org/oclc/503677","WorldCat Record")</f>
        <v>WorldCat Record</v>
      </c>
      <c r="AU151" s="3" t="s">
        <v>2119</v>
      </c>
      <c r="AV151" s="3" t="s">
        <v>2120</v>
      </c>
      <c r="AW151" s="3" t="s">
        <v>2121</v>
      </c>
      <c r="AX151" s="3" t="s">
        <v>2121</v>
      </c>
      <c r="AY151" s="3" t="s">
        <v>2122</v>
      </c>
      <c r="AZ151" s="3" t="s">
        <v>73</v>
      </c>
      <c r="BC151" s="3" t="s">
        <v>2123</v>
      </c>
      <c r="BD151" s="3" t="s">
        <v>2124</v>
      </c>
    </row>
    <row r="152" spans="1:56" ht="38.25" customHeight="1" x14ac:dyDescent="0.25">
      <c r="A152" s="7" t="s">
        <v>58</v>
      </c>
      <c r="B152" s="2" t="s">
        <v>2125</v>
      </c>
      <c r="C152" s="2" t="s">
        <v>2126</v>
      </c>
      <c r="D152" s="2" t="s">
        <v>2127</v>
      </c>
      <c r="F152" s="3" t="s">
        <v>58</v>
      </c>
      <c r="G152" s="3" t="s">
        <v>59</v>
      </c>
      <c r="H152" s="3" t="s">
        <v>58</v>
      </c>
      <c r="I152" s="3" t="s">
        <v>58</v>
      </c>
      <c r="J152" s="3" t="s">
        <v>60</v>
      </c>
      <c r="L152" s="2" t="s">
        <v>2128</v>
      </c>
      <c r="M152" s="3" t="s">
        <v>408</v>
      </c>
      <c r="O152" s="3" t="s">
        <v>64</v>
      </c>
      <c r="P152" s="3" t="s">
        <v>130</v>
      </c>
      <c r="R152" s="3" t="s">
        <v>1531</v>
      </c>
      <c r="S152" s="4">
        <v>3</v>
      </c>
      <c r="T152" s="4">
        <v>3</v>
      </c>
      <c r="U152" s="5" t="s">
        <v>2129</v>
      </c>
      <c r="V152" s="5" t="s">
        <v>2129</v>
      </c>
      <c r="W152" s="5" t="s">
        <v>2130</v>
      </c>
      <c r="X152" s="5" t="s">
        <v>2130</v>
      </c>
      <c r="Y152" s="4">
        <v>461</v>
      </c>
      <c r="Z152" s="4">
        <v>394</v>
      </c>
      <c r="AA152" s="4">
        <v>411</v>
      </c>
      <c r="AB152" s="4">
        <v>3</v>
      </c>
      <c r="AC152" s="4">
        <v>3</v>
      </c>
      <c r="AD152" s="4">
        <v>17</v>
      </c>
      <c r="AE152" s="4">
        <v>17</v>
      </c>
      <c r="AF152" s="4">
        <v>5</v>
      </c>
      <c r="AG152" s="4">
        <v>5</v>
      </c>
      <c r="AH152" s="4">
        <v>6</v>
      </c>
      <c r="AI152" s="4">
        <v>6</v>
      </c>
      <c r="AJ152" s="4">
        <v>7</v>
      </c>
      <c r="AK152" s="4">
        <v>7</v>
      </c>
      <c r="AL152" s="4">
        <v>2</v>
      </c>
      <c r="AM152" s="4">
        <v>2</v>
      </c>
      <c r="AN152" s="4">
        <v>1</v>
      </c>
      <c r="AO152" s="4">
        <v>1</v>
      </c>
      <c r="AP152" s="3" t="s">
        <v>58</v>
      </c>
      <c r="AQ152" s="3" t="s">
        <v>68</v>
      </c>
      <c r="AR152" s="6" t="str">
        <f>HYPERLINK("http://catalog.hathitrust.org/Record/001836074","HathiTrust Record")</f>
        <v>HathiTrust Record</v>
      </c>
      <c r="AS152" s="6" t="str">
        <f>HYPERLINK("https://creighton-primo.hosted.exlibrisgroup.com/primo-explore/search?tab=default_tab&amp;search_scope=EVERYTHING&amp;vid=01CRU&amp;lang=en_US&amp;offset=0&amp;query=any,contains,991001419949702656","Catalog Record")</f>
        <v>Catalog Record</v>
      </c>
      <c r="AT152" s="6" t="str">
        <f>HYPERLINK("http://www.worldcat.org/oclc/18962737","WorldCat Record")</f>
        <v>WorldCat Record</v>
      </c>
      <c r="AU152" s="3" t="s">
        <v>2131</v>
      </c>
      <c r="AV152" s="3" t="s">
        <v>2132</v>
      </c>
      <c r="AW152" s="3" t="s">
        <v>2133</v>
      </c>
      <c r="AX152" s="3" t="s">
        <v>2133</v>
      </c>
      <c r="AY152" s="3" t="s">
        <v>2134</v>
      </c>
      <c r="AZ152" s="3" t="s">
        <v>73</v>
      </c>
      <c r="BB152" s="3" t="s">
        <v>2135</v>
      </c>
      <c r="BC152" s="3" t="s">
        <v>2136</v>
      </c>
      <c r="BD152" s="3" t="s">
        <v>2137</v>
      </c>
    </row>
    <row r="153" spans="1:56" ht="38.25" customHeight="1" x14ac:dyDescent="0.25">
      <c r="A153" s="7" t="s">
        <v>58</v>
      </c>
      <c r="B153" s="2" t="s">
        <v>2138</v>
      </c>
      <c r="C153" s="2" t="s">
        <v>2139</v>
      </c>
      <c r="D153" s="2" t="s">
        <v>2140</v>
      </c>
      <c r="F153" s="3" t="s">
        <v>58</v>
      </c>
      <c r="G153" s="3" t="s">
        <v>59</v>
      </c>
      <c r="H153" s="3" t="s">
        <v>58</v>
      </c>
      <c r="I153" s="3" t="s">
        <v>58</v>
      </c>
      <c r="J153" s="3" t="s">
        <v>60</v>
      </c>
      <c r="K153" s="2" t="s">
        <v>2141</v>
      </c>
      <c r="L153" s="2" t="s">
        <v>1571</v>
      </c>
      <c r="M153" s="3" t="s">
        <v>309</v>
      </c>
      <c r="O153" s="3" t="s">
        <v>64</v>
      </c>
      <c r="P153" s="3" t="s">
        <v>594</v>
      </c>
      <c r="R153" s="3" t="s">
        <v>1531</v>
      </c>
      <c r="S153" s="4">
        <v>4</v>
      </c>
      <c r="T153" s="4">
        <v>4</v>
      </c>
      <c r="U153" s="5" t="s">
        <v>2142</v>
      </c>
      <c r="V153" s="5" t="s">
        <v>2142</v>
      </c>
      <c r="W153" s="5" t="s">
        <v>2143</v>
      </c>
      <c r="X153" s="5" t="s">
        <v>2143</v>
      </c>
      <c r="Y153" s="4">
        <v>762</v>
      </c>
      <c r="Z153" s="4">
        <v>651</v>
      </c>
      <c r="AA153" s="4">
        <v>661</v>
      </c>
      <c r="AB153" s="4">
        <v>4</v>
      </c>
      <c r="AC153" s="4">
        <v>4</v>
      </c>
      <c r="AD153" s="4">
        <v>34</v>
      </c>
      <c r="AE153" s="4">
        <v>34</v>
      </c>
      <c r="AF153" s="4">
        <v>10</v>
      </c>
      <c r="AG153" s="4">
        <v>10</v>
      </c>
      <c r="AH153" s="4">
        <v>4</v>
      </c>
      <c r="AI153" s="4">
        <v>4</v>
      </c>
      <c r="AJ153" s="4">
        <v>13</v>
      </c>
      <c r="AK153" s="4">
        <v>13</v>
      </c>
      <c r="AL153" s="4">
        <v>3</v>
      </c>
      <c r="AM153" s="4">
        <v>3</v>
      </c>
      <c r="AN153" s="4">
        <v>10</v>
      </c>
      <c r="AO153" s="4">
        <v>10</v>
      </c>
      <c r="AP153" s="3" t="s">
        <v>58</v>
      </c>
      <c r="AQ153" s="3" t="s">
        <v>68</v>
      </c>
      <c r="AR153" s="6" t="str">
        <f>HYPERLINK("http://catalog.hathitrust.org/Record/001153164","HathiTrust Record")</f>
        <v>HathiTrust Record</v>
      </c>
      <c r="AS153" s="6" t="str">
        <f>HYPERLINK("https://creighton-primo.hosted.exlibrisgroup.com/primo-explore/search?tab=default_tab&amp;search_scope=EVERYTHING&amp;vid=01CRU&amp;lang=en_US&amp;offset=0&amp;query=any,contains,991002966649702656","Catalog Record")</f>
        <v>Catalog Record</v>
      </c>
      <c r="AT153" s="6" t="str">
        <f>HYPERLINK("http://www.worldcat.org/oclc/546369","WorldCat Record")</f>
        <v>WorldCat Record</v>
      </c>
      <c r="AU153" s="3" t="s">
        <v>2144</v>
      </c>
      <c r="AV153" s="3" t="s">
        <v>2145</v>
      </c>
      <c r="AW153" s="3" t="s">
        <v>2146</v>
      </c>
      <c r="AX153" s="3" t="s">
        <v>2146</v>
      </c>
      <c r="AY153" s="3" t="s">
        <v>2147</v>
      </c>
      <c r="AZ153" s="3" t="s">
        <v>73</v>
      </c>
      <c r="BB153" s="3" t="s">
        <v>2148</v>
      </c>
      <c r="BC153" s="3" t="s">
        <v>2149</v>
      </c>
      <c r="BD153" s="3" t="s">
        <v>2150</v>
      </c>
    </row>
    <row r="154" spans="1:56" ht="38.25" customHeight="1" x14ac:dyDescent="0.25">
      <c r="A154" s="7" t="s">
        <v>58</v>
      </c>
      <c r="B154" s="2" t="s">
        <v>2151</v>
      </c>
      <c r="C154" s="2" t="s">
        <v>2152</v>
      </c>
      <c r="D154" s="2" t="s">
        <v>2153</v>
      </c>
      <c r="F154" s="3" t="s">
        <v>58</v>
      </c>
      <c r="G154" s="3" t="s">
        <v>59</v>
      </c>
      <c r="H154" s="3" t="s">
        <v>58</v>
      </c>
      <c r="I154" s="3" t="s">
        <v>58</v>
      </c>
      <c r="J154" s="3" t="s">
        <v>60</v>
      </c>
      <c r="L154" s="2" t="s">
        <v>2154</v>
      </c>
      <c r="M154" s="3" t="s">
        <v>276</v>
      </c>
      <c r="O154" s="3" t="s">
        <v>64</v>
      </c>
      <c r="P154" s="3" t="s">
        <v>130</v>
      </c>
      <c r="R154" s="3" t="s">
        <v>1531</v>
      </c>
      <c r="S154" s="4">
        <v>8</v>
      </c>
      <c r="T154" s="4">
        <v>8</v>
      </c>
      <c r="U154" s="5" t="s">
        <v>2155</v>
      </c>
      <c r="V154" s="5" t="s">
        <v>2155</v>
      </c>
      <c r="W154" s="5" t="s">
        <v>2156</v>
      </c>
      <c r="X154" s="5" t="s">
        <v>2156</v>
      </c>
      <c r="Y154" s="4">
        <v>319</v>
      </c>
      <c r="Z154" s="4">
        <v>192</v>
      </c>
      <c r="AA154" s="4">
        <v>192</v>
      </c>
      <c r="AB154" s="4">
        <v>1</v>
      </c>
      <c r="AC154" s="4">
        <v>1</v>
      </c>
      <c r="AD154" s="4">
        <v>12</v>
      </c>
      <c r="AE154" s="4">
        <v>12</v>
      </c>
      <c r="AF154" s="4">
        <v>6</v>
      </c>
      <c r="AG154" s="4">
        <v>6</v>
      </c>
      <c r="AH154" s="4">
        <v>3</v>
      </c>
      <c r="AI154" s="4">
        <v>3</v>
      </c>
      <c r="AJ154" s="4">
        <v>9</v>
      </c>
      <c r="AK154" s="4">
        <v>9</v>
      </c>
      <c r="AL154" s="4">
        <v>0</v>
      </c>
      <c r="AM154" s="4">
        <v>0</v>
      </c>
      <c r="AN154" s="4">
        <v>0</v>
      </c>
      <c r="AO154" s="4">
        <v>0</v>
      </c>
      <c r="AP154" s="3" t="s">
        <v>58</v>
      </c>
      <c r="AQ154" s="3" t="s">
        <v>58</v>
      </c>
      <c r="AS154" s="6" t="str">
        <f>HYPERLINK("https://creighton-primo.hosted.exlibrisgroup.com/primo-explore/search?tab=default_tab&amp;search_scope=EVERYTHING&amp;vid=01CRU&amp;lang=en_US&amp;offset=0&amp;query=any,contains,991002670699702656","Catalog Record")</f>
        <v>Catalog Record</v>
      </c>
      <c r="AT154" s="6" t="str">
        <f>HYPERLINK("http://www.worldcat.org/oclc/34926873","WorldCat Record")</f>
        <v>WorldCat Record</v>
      </c>
      <c r="AU154" s="3" t="s">
        <v>2157</v>
      </c>
      <c r="AV154" s="3" t="s">
        <v>2158</v>
      </c>
      <c r="AW154" s="3" t="s">
        <v>2159</v>
      </c>
      <c r="AX154" s="3" t="s">
        <v>2159</v>
      </c>
      <c r="AY154" s="3" t="s">
        <v>2160</v>
      </c>
      <c r="AZ154" s="3" t="s">
        <v>73</v>
      </c>
      <c r="BB154" s="3" t="s">
        <v>2161</v>
      </c>
      <c r="BC154" s="3" t="s">
        <v>2162</v>
      </c>
      <c r="BD154" s="3" t="s">
        <v>2163</v>
      </c>
    </row>
    <row r="155" spans="1:56" ht="38.25" customHeight="1" x14ac:dyDescent="0.25">
      <c r="A155" s="7" t="s">
        <v>58</v>
      </c>
      <c r="B155" s="2" t="s">
        <v>2164</v>
      </c>
      <c r="C155" s="2" t="s">
        <v>2165</v>
      </c>
      <c r="D155" s="2" t="s">
        <v>2166</v>
      </c>
      <c r="F155" s="3" t="s">
        <v>58</v>
      </c>
      <c r="G155" s="3" t="s">
        <v>59</v>
      </c>
      <c r="H155" s="3" t="s">
        <v>58</v>
      </c>
      <c r="I155" s="3" t="s">
        <v>58</v>
      </c>
      <c r="J155" s="3" t="s">
        <v>60</v>
      </c>
      <c r="K155" s="2" t="s">
        <v>2167</v>
      </c>
      <c r="L155" s="2" t="s">
        <v>2168</v>
      </c>
      <c r="M155" s="3" t="s">
        <v>2169</v>
      </c>
      <c r="O155" s="3" t="s">
        <v>64</v>
      </c>
      <c r="P155" s="3" t="s">
        <v>114</v>
      </c>
      <c r="Q155" s="2" t="s">
        <v>2170</v>
      </c>
      <c r="R155" s="3" t="s">
        <v>1531</v>
      </c>
      <c r="S155" s="4">
        <v>4</v>
      </c>
      <c r="T155" s="4">
        <v>4</v>
      </c>
      <c r="U155" s="5" t="s">
        <v>423</v>
      </c>
      <c r="V155" s="5" t="s">
        <v>423</v>
      </c>
      <c r="W155" s="5" t="s">
        <v>2171</v>
      </c>
      <c r="X155" s="5" t="s">
        <v>2171</v>
      </c>
      <c r="Y155" s="4">
        <v>370</v>
      </c>
      <c r="Z155" s="4">
        <v>232</v>
      </c>
      <c r="AA155" s="4">
        <v>257</v>
      </c>
      <c r="AB155" s="4">
        <v>2</v>
      </c>
      <c r="AC155" s="4">
        <v>2</v>
      </c>
      <c r="AD155" s="4">
        <v>19</v>
      </c>
      <c r="AE155" s="4">
        <v>19</v>
      </c>
      <c r="AF155" s="4">
        <v>5</v>
      </c>
      <c r="AG155" s="4">
        <v>5</v>
      </c>
      <c r="AH155" s="4">
        <v>3</v>
      </c>
      <c r="AI155" s="4">
        <v>3</v>
      </c>
      <c r="AJ155" s="4">
        <v>7</v>
      </c>
      <c r="AK155" s="4">
        <v>7</v>
      </c>
      <c r="AL155" s="4">
        <v>1</v>
      </c>
      <c r="AM155" s="4">
        <v>1</v>
      </c>
      <c r="AN155" s="4">
        <v>8</v>
      </c>
      <c r="AO155" s="4">
        <v>8</v>
      </c>
      <c r="AP155" s="3" t="s">
        <v>58</v>
      </c>
      <c r="AQ155" s="3" t="s">
        <v>58</v>
      </c>
      <c r="AS155" s="6" t="str">
        <f>HYPERLINK("https://creighton-primo.hosted.exlibrisgroup.com/primo-explore/search?tab=default_tab&amp;search_scope=EVERYTHING&amp;vid=01CRU&amp;lang=en_US&amp;offset=0&amp;query=any,contains,991002275589702656","Catalog Record")</f>
        <v>Catalog Record</v>
      </c>
      <c r="AT155" s="6" t="str">
        <f>HYPERLINK("http://www.worldcat.org/oclc/29521737","WorldCat Record")</f>
        <v>WorldCat Record</v>
      </c>
      <c r="AU155" s="3" t="s">
        <v>2172</v>
      </c>
      <c r="AV155" s="3" t="s">
        <v>2173</v>
      </c>
      <c r="AW155" s="3" t="s">
        <v>2174</v>
      </c>
      <c r="AX155" s="3" t="s">
        <v>2174</v>
      </c>
      <c r="AY155" s="3" t="s">
        <v>2175</v>
      </c>
      <c r="AZ155" s="3" t="s">
        <v>73</v>
      </c>
      <c r="BB155" s="3" t="s">
        <v>2176</v>
      </c>
      <c r="BC155" s="3" t="s">
        <v>2177</v>
      </c>
      <c r="BD155" s="3" t="s">
        <v>2178</v>
      </c>
    </row>
    <row r="156" spans="1:56" ht="38.25" customHeight="1" x14ac:dyDescent="0.25">
      <c r="A156" s="7" t="s">
        <v>58</v>
      </c>
      <c r="B156" s="2" t="s">
        <v>2179</v>
      </c>
      <c r="C156" s="2" t="s">
        <v>2180</v>
      </c>
      <c r="D156" s="2" t="s">
        <v>2181</v>
      </c>
      <c r="F156" s="3" t="s">
        <v>58</v>
      </c>
      <c r="G156" s="3" t="s">
        <v>59</v>
      </c>
      <c r="H156" s="3" t="s">
        <v>58</v>
      </c>
      <c r="I156" s="3" t="s">
        <v>58</v>
      </c>
      <c r="J156" s="3" t="s">
        <v>60</v>
      </c>
      <c r="L156" s="2" t="s">
        <v>2182</v>
      </c>
      <c r="M156" s="3" t="s">
        <v>787</v>
      </c>
      <c r="O156" s="3" t="s">
        <v>64</v>
      </c>
      <c r="P156" s="3" t="s">
        <v>65</v>
      </c>
      <c r="Q156" s="2" t="s">
        <v>2183</v>
      </c>
      <c r="R156" s="3" t="s">
        <v>1531</v>
      </c>
      <c r="S156" s="4">
        <v>8</v>
      </c>
      <c r="T156" s="4">
        <v>8</v>
      </c>
      <c r="U156" s="5" t="s">
        <v>2184</v>
      </c>
      <c r="V156" s="5" t="s">
        <v>2184</v>
      </c>
      <c r="W156" s="5" t="s">
        <v>2185</v>
      </c>
      <c r="X156" s="5" t="s">
        <v>2185</v>
      </c>
      <c r="Y156" s="4">
        <v>384</v>
      </c>
      <c r="Z156" s="4">
        <v>292</v>
      </c>
      <c r="AA156" s="4">
        <v>299</v>
      </c>
      <c r="AB156" s="4">
        <v>3</v>
      </c>
      <c r="AC156" s="4">
        <v>3</v>
      </c>
      <c r="AD156" s="4">
        <v>17</v>
      </c>
      <c r="AE156" s="4">
        <v>17</v>
      </c>
      <c r="AF156" s="4">
        <v>4</v>
      </c>
      <c r="AG156" s="4">
        <v>4</v>
      </c>
      <c r="AH156" s="4">
        <v>4</v>
      </c>
      <c r="AI156" s="4">
        <v>4</v>
      </c>
      <c r="AJ156" s="4">
        <v>11</v>
      </c>
      <c r="AK156" s="4">
        <v>11</v>
      </c>
      <c r="AL156" s="4">
        <v>2</v>
      </c>
      <c r="AM156" s="4">
        <v>2</v>
      </c>
      <c r="AN156" s="4">
        <v>0</v>
      </c>
      <c r="AO156" s="4">
        <v>0</v>
      </c>
      <c r="AP156" s="3" t="s">
        <v>58</v>
      </c>
      <c r="AQ156" s="3" t="s">
        <v>68</v>
      </c>
      <c r="AR156" s="6" t="str">
        <f>HYPERLINK("http://catalog.hathitrust.org/Record/003069026","HathiTrust Record")</f>
        <v>HathiTrust Record</v>
      </c>
      <c r="AS156" s="6" t="str">
        <f>HYPERLINK("https://creighton-primo.hosted.exlibrisgroup.com/primo-explore/search?tab=default_tab&amp;search_scope=EVERYTHING&amp;vid=01CRU&amp;lang=en_US&amp;offset=0&amp;query=any,contains,991002443999702656","Catalog Record")</f>
        <v>Catalog Record</v>
      </c>
      <c r="AT156" s="6" t="str">
        <f>HYPERLINK("http://www.worldcat.org/oclc/31867533","WorldCat Record")</f>
        <v>WorldCat Record</v>
      </c>
      <c r="AU156" s="3" t="s">
        <v>2186</v>
      </c>
      <c r="AV156" s="3" t="s">
        <v>2187</v>
      </c>
      <c r="AW156" s="3" t="s">
        <v>2188</v>
      </c>
      <c r="AX156" s="3" t="s">
        <v>2188</v>
      </c>
      <c r="AY156" s="3" t="s">
        <v>2189</v>
      </c>
      <c r="AZ156" s="3" t="s">
        <v>73</v>
      </c>
      <c r="BB156" s="3" t="s">
        <v>2190</v>
      </c>
      <c r="BC156" s="3" t="s">
        <v>2191</v>
      </c>
      <c r="BD156" s="3" t="s">
        <v>2192</v>
      </c>
    </row>
    <row r="157" spans="1:56" ht="38.25" customHeight="1" x14ac:dyDescent="0.25">
      <c r="A157" s="7" t="s">
        <v>58</v>
      </c>
      <c r="B157" s="2" t="s">
        <v>2193</v>
      </c>
      <c r="C157" s="2" t="s">
        <v>2194</v>
      </c>
      <c r="D157" s="2" t="s">
        <v>2195</v>
      </c>
      <c r="F157" s="3" t="s">
        <v>58</v>
      </c>
      <c r="G157" s="3" t="s">
        <v>59</v>
      </c>
      <c r="H157" s="3" t="s">
        <v>58</v>
      </c>
      <c r="I157" s="3" t="s">
        <v>58</v>
      </c>
      <c r="J157" s="3" t="s">
        <v>60</v>
      </c>
      <c r="K157" s="2" t="s">
        <v>2196</v>
      </c>
      <c r="L157" s="2" t="s">
        <v>2197</v>
      </c>
      <c r="M157" s="3" t="s">
        <v>2036</v>
      </c>
      <c r="N157" s="2" t="s">
        <v>2198</v>
      </c>
      <c r="O157" s="3" t="s">
        <v>64</v>
      </c>
      <c r="P157" s="3" t="s">
        <v>130</v>
      </c>
      <c r="Q157" s="2" t="s">
        <v>2199</v>
      </c>
      <c r="R157" s="3" t="s">
        <v>1531</v>
      </c>
      <c r="S157" s="4">
        <v>2</v>
      </c>
      <c r="T157" s="4">
        <v>2</v>
      </c>
      <c r="U157" s="5" t="s">
        <v>2200</v>
      </c>
      <c r="V157" s="5" t="s">
        <v>2200</v>
      </c>
      <c r="W157" s="5" t="s">
        <v>2201</v>
      </c>
      <c r="X157" s="5" t="s">
        <v>2201</v>
      </c>
      <c r="Y157" s="4">
        <v>470</v>
      </c>
      <c r="Z157" s="4">
        <v>398</v>
      </c>
      <c r="AA157" s="4">
        <v>431</v>
      </c>
      <c r="AB157" s="4">
        <v>4</v>
      </c>
      <c r="AC157" s="4">
        <v>4</v>
      </c>
      <c r="AD157" s="4">
        <v>19</v>
      </c>
      <c r="AE157" s="4">
        <v>20</v>
      </c>
      <c r="AF157" s="4">
        <v>7</v>
      </c>
      <c r="AG157" s="4">
        <v>7</v>
      </c>
      <c r="AH157" s="4">
        <v>4</v>
      </c>
      <c r="AI157" s="4">
        <v>5</v>
      </c>
      <c r="AJ157" s="4">
        <v>10</v>
      </c>
      <c r="AK157" s="4">
        <v>11</v>
      </c>
      <c r="AL157" s="4">
        <v>3</v>
      </c>
      <c r="AM157" s="4">
        <v>3</v>
      </c>
      <c r="AN157" s="4">
        <v>2</v>
      </c>
      <c r="AO157" s="4">
        <v>2</v>
      </c>
      <c r="AP157" s="3" t="s">
        <v>58</v>
      </c>
      <c r="AQ157" s="3" t="s">
        <v>68</v>
      </c>
      <c r="AR157" s="6" t="str">
        <f>HYPERLINK("http://catalog.hathitrust.org/Record/000377058","HathiTrust Record")</f>
        <v>HathiTrust Record</v>
      </c>
      <c r="AS157" s="6" t="str">
        <f>HYPERLINK("https://creighton-primo.hosted.exlibrisgroup.com/primo-explore/search?tab=default_tab&amp;search_scope=EVERYTHING&amp;vid=01CRU&amp;lang=en_US&amp;offset=0&amp;query=any,contains,991000590739702656","Catalog Record")</f>
        <v>Catalog Record</v>
      </c>
      <c r="AT157" s="6" t="str">
        <f>HYPERLINK("http://www.worldcat.org/oclc/11785027","WorldCat Record")</f>
        <v>WorldCat Record</v>
      </c>
      <c r="AU157" s="3" t="s">
        <v>2202</v>
      </c>
      <c r="AV157" s="3" t="s">
        <v>2203</v>
      </c>
      <c r="AW157" s="3" t="s">
        <v>2204</v>
      </c>
      <c r="AX157" s="3" t="s">
        <v>2204</v>
      </c>
      <c r="AY157" s="3" t="s">
        <v>2205</v>
      </c>
      <c r="AZ157" s="3" t="s">
        <v>73</v>
      </c>
      <c r="BB157" s="3" t="s">
        <v>2206</v>
      </c>
      <c r="BC157" s="3" t="s">
        <v>2207</v>
      </c>
      <c r="BD157" s="3" t="s">
        <v>2208</v>
      </c>
    </row>
    <row r="158" spans="1:56" ht="38.25" customHeight="1" x14ac:dyDescent="0.25">
      <c r="A158" s="7" t="s">
        <v>58</v>
      </c>
      <c r="B158" s="2" t="s">
        <v>2209</v>
      </c>
      <c r="C158" s="2" t="s">
        <v>2210</v>
      </c>
      <c r="D158" s="2" t="s">
        <v>2211</v>
      </c>
      <c r="F158" s="3" t="s">
        <v>58</v>
      </c>
      <c r="G158" s="3" t="s">
        <v>59</v>
      </c>
      <c r="H158" s="3" t="s">
        <v>58</v>
      </c>
      <c r="I158" s="3" t="s">
        <v>58</v>
      </c>
      <c r="J158" s="3" t="s">
        <v>60</v>
      </c>
      <c r="K158" s="2" t="s">
        <v>2212</v>
      </c>
      <c r="L158" s="2" t="s">
        <v>2213</v>
      </c>
      <c r="M158" s="3" t="s">
        <v>975</v>
      </c>
      <c r="O158" s="3" t="s">
        <v>64</v>
      </c>
      <c r="P158" s="3" t="s">
        <v>65</v>
      </c>
      <c r="Q158" s="2" t="s">
        <v>2214</v>
      </c>
      <c r="R158" s="3" t="s">
        <v>1531</v>
      </c>
      <c r="S158" s="4">
        <v>1</v>
      </c>
      <c r="T158" s="4">
        <v>1</v>
      </c>
      <c r="U158" s="5" t="s">
        <v>2215</v>
      </c>
      <c r="V158" s="5" t="s">
        <v>2215</v>
      </c>
      <c r="W158" s="5" t="s">
        <v>2201</v>
      </c>
      <c r="X158" s="5" t="s">
        <v>2201</v>
      </c>
      <c r="Y158" s="4">
        <v>502</v>
      </c>
      <c r="Z158" s="4">
        <v>369</v>
      </c>
      <c r="AA158" s="4">
        <v>373</v>
      </c>
      <c r="AB158" s="4">
        <v>3</v>
      </c>
      <c r="AC158" s="4">
        <v>3</v>
      </c>
      <c r="AD158" s="4">
        <v>14</v>
      </c>
      <c r="AE158" s="4">
        <v>14</v>
      </c>
      <c r="AF158" s="4">
        <v>2</v>
      </c>
      <c r="AG158" s="4">
        <v>2</v>
      </c>
      <c r="AH158" s="4">
        <v>4</v>
      </c>
      <c r="AI158" s="4">
        <v>4</v>
      </c>
      <c r="AJ158" s="4">
        <v>10</v>
      </c>
      <c r="AK158" s="4">
        <v>10</v>
      </c>
      <c r="AL158" s="4">
        <v>2</v>
      </c>
      <c r="AM158" s="4">
        <v>2</v>
      </c>
      <c r="AN158" s="4">
        <v>1</v>
      </c>
      <c r="AO158" s="4">
        <v>1</v>
      </c>
      <c r="AP158" s="3" t="s">
        <v>58</v>
      </c>
      <c r="AQ158" s="3" t="s">
        <v>58</v>
      </c>
      <c r="AS158" s="6" t="str">
        <f>HYPERLINK("https://creighton-primo.hosted.exlibrisgroup.com/primo-explore/search?tab=default_tab&amp;search_scope=EVERYTHING&amp;vid=01CRU&amp;lang=en_US&amp;offset=0&amp;query=any,contains,991004298469702656","Catalog Record")</f>
        <v>Catalog Record</v>
      </c>
      <c r="AT158" s="6" t="str">
        <f>HYPERLINK("http://www.worldcat.org/oclc/2966752","WorldCat Record")</f>
        <v>WorldCat Record</v>
      </c>
      <c r="AU158" s="3" t="s">
        <v>2216</v>
      </c>
      <c r="AV158" s="3" t="s">
        <v>2217</v>
      </c>
      <c r="AW158" s="3" t="s">
        <v>2218</v>
      </c>
      <c r="AX158" s="3" t="s">
        <v>2218</v>
      </c>
      <c r="AY158" s="3" t="s">
        <v>2219</v>
      </c>
      <c r="AZ158" s="3" t="s">
        <v>73</v>
      </c>
      <c r="BB158" s="3" t="s">
        <v>2220</v>
      </c>
      <c r="BC158" s="3" t="s">
        <v>2221</v>
      </c>
      <c r="BD158" s="3" t="s">
        <v>2222</v>
      </c>
    </row>
    <row r="159" spans="1:56" ht="38.25" customHeight="1" x14ac:dyDescent="0.25">
      <c r="A159" s="7" t="s">
        <v>58</v>
      </c>
      <c r="B159" s="2" t="s">
        <v>2223</v>
      </c>
      <c r="C159" s="2" t="s">
        <v>2224</v>
      </c>
      <c r="D159" s="2" t="s">
        <v>2225</v>
      </c>
      <c r="F159" s="3" t="s">
        <v>58</v>
      </c>
      <c r="G159" s="3" t="s">
        <v>59</v>
      </c>
      <c r="H159" s="3" t="s">
        <v>58</v>
      </c>
      <c r="I159" s="3" t="s">
        <v>58</v>
      </c>
      <c r="J159" s="3" t="s">
        <v>60</v>
      </c>
      <c r="K159" s="2" t="s">
        <v>2226</v>
      </c>
      <c r="L159" s="2" t="s">
        <v>2227</v>
      </c>
      <c r="M159" s="3" t="s">
        <v>1023</v>
      </c>
      <c r="O159" s="3" t="s">
        <v>64</v>
      </c>
      <c r="P159" s="3" t="s">
        <v>594</v>
      </c>
      <c r="R159" s="3" t="s">
        <v>1531</v>
      </c>
      <c r="S159" s="4">
        <v>3</v>
      </c>
      <c r="T159" s="4">
        <v>3</v>
      </c>
      <c r="U159" s="5" t="s">
        <v>2228</v>
      </c>
      <c r="V159" s="5" t="s">
        <v>2228</v>
      </c>
      <c r="W159" s="5" t="s">
        <v>1997</v>
      </c>
      <c r="X159" s="5" t="s">
        <v>1997</v>
      </c>
      <c r="Y159" s="4">
        <v>564</v>
      </c>
      <c r="Z159" s="4">
        <v>448</v>
      </c>
      <c r="AA159" s="4">
        <v>455</v>
      </c>
      <c r="AB159" s="4">
        <v>3</v>
      </c>
      <c r="AC159" s="4">
        <v>3</v>
      </c>
      <c r="AD159" s="4">
        <v>19</v>
      </c>
      <c r="AE159" s="4">
        <v>19</v>
      </c>
      <c r="AF159" s="4">
        <v>2</v>
      </c>
      <c r="AG159" s="4">
        <v>2</v>
      </c>
      <c r="AH159" s="4">
        <v>4</v>
      </c>
      <c r="AI159" s="4">
        <v>4</v>
      </c>
      <c r="AJ159" s="4">
        <v>8</v>
      </c>
      <c r="AK159" s="4">
        <v>8</v>
      </c>
      <c r="AL159" s="4">
        <v>2</v>
      </c>
      <c r="AM159" s="4">
        <v>2</v>
      </c>
      <c r="AN159" s="4">
        <v>7</v>
      </c>
      <c r="AO159" s="4">
        <v>7</v>
      </c>
      <c r="AP159" s="3" t="s">
        <v>58</v>
      </c>
      <c r="AQ159" s="3" t="s">
        <v>68</v>
      </c>
      <c r="AR159" s="6" t="str">
        <f>HYPERLINK("http://catalog.hathitrust.org/Record/001153401","HathiTrust Record")</f>
        <v>HathiTrust Record</v>
      </c>
      <c r="AS159" s="6" t="str">
        <f>HYPERLINK("https://creighton-primo.hosted.exlibrisgroup.com/primo-explore/search?tab=default_tab&amp;search_scope=EVERYTHING&amp;vid=01CRU&amp;lang=en_US&amp;offset=0&amp;query=any,contains,991002759399702656","Catalog Record")</f>
        <v>Catalog Record</v>
      </c>
      <c r="AT159" s="6" t="str">
        <f>HYPERLINK("http://www.worldcat.org/oclc/427441","WorldCat Record")</f>
        <v>WorldCat Record</v>
      </c>
      <c r="AU159" s="3" t="s">
        <v>2229</v>
      </c>
      <c r="AV159" s="3" t="s">
        <v>2230</v>
      </c>
      <c r="AW159" s="3" t="s">
        <v>2231</v>
      </c>
      <c r="AX159" s="3" t="s">
        <v>2231</v>
      </c>
      <c r="AY159" s="3" t="s">
        <v>2232</v>
      </c>
      <c r="AZ159" s="3" t="s">
        <v>73</v>
      </c>
      <c r="BB159" s="3" t="s">
        <v>2233</v>
      </c>
      <c r="BC159" s="3" t="s">
        <v>2234</v>
      </c>
      <c r="BD159" s="3" t="s">
        <v>2235</v>
      </c>
    </row>
    <row r="160" spans="1:56" ht="38.25" customHeight="1" x14ac:dyDescent="0.25">
      <c r="A160" s="7" t="s">
        <v>58</v>
      </c>
      <c r="B160" s="2" t="s">
        <v>2236</v>
      </c>
      <c r="C160" s="2" t="s">
        <v>2237</v>
      </c>
      <c r="D160" s="2" t="s">
        <v>2238</v>
      </c>
      <c r="F160" s="3" t="s">
        <v>58</v>
      </c>
      <c r="G160" s="3" t="s">
        <v>59</v>
      </c>
      <c r="H160" s="3" t="s">
        <v>58</v>
      </c>
      <c r="I160" s="3" t="s">
        <v>58</v>
      </c>
      <c r="J160" s="3" t="s">
        <v>60</v>
      </c>
      <c r="K160" s="2" t="s">
        <v>2239</v>
      </c>
      <c r="L160" s="2" t="s">
        <v>2240</v>
      </c>
      <c r="M160" s="3" t="s">
        <v>975</v>
      </c>
      <c r="O160" s="3" t="s">
        <v>64</v>
      </c>
      <c r="P160" s="3" t="s">
        <v>277</v>
      </c>
      <c r="R160" s="3" t="s">
        <v>1531</v>
      </c>
      <c r="S160" s="4">
        <v>1</v>
      </c>
      <c r="T160" s="4">
        <v>1</v>
      </c>
      <c r="U160" s="5" t="s">
        <v>2241</v>
      </c>
      <c r="V160" s="5" t="s">
        <v>2241</v>
      </c>
      <c r="W160" s="5" t="s">
        <v>1997</v>
      </c>
      <c r="X160" s="5" t="s">
        <v>1997</v>
      </c>
      <c r="Y160" s="4">
        <v>102</v>
      </c>
      <c r="Z160" s="4">
        <v>81</v>
      </c>
      <c r="AA160" s="4">
        <v>594</v>
      </c>
      <c r="AB160" s="4">
        <v>1</v>
      </c>
      <c r="AC160" s="4">
        <v>3</v>
      </c>
      <c r="AD160" s="4">
        <v>4</v>
      </c>
      <c r="AE160" s="4">
        <v>27</v>
      </c>
      <c r="AF160" s="4">
        <v>1</v>
      </c>
      <c r="AG160" s="4">
        <v>10</v>
      </c>
      <c r="AH160" s="4">
        <v>0</v>
      </c>
      <c r="AI160" s="4">
        <v>4</v>
      </c>
      <c r="AJ160" s="4">
        <v>3</v>
      </c>
      <c r="AK160" s="4">
        <v>17</v>
      </c>
      <c r="AL160" s="4">
        <v>0</v>
      </c>
      <c r="AM160" s="4">
        <v>2</v>
      </c>
      <c r="AN160" s="4">
        <v>0</v>
      </c>
      <c r="AO160" s="4">
        <v>1</v>
      </c>
      <c r="AP160" s="3" t="s">
        <v>58</v>
      </c>
      <c r="AQ160" s="3" t="s">
        <v>68</v>
      </c>
      <c r="AR160" s="6" t="str">
        <f>HYPERLINK("http://catalog.hathitrust.org/Record/102043658","HathiTrust Record")</f>
        <v>HathiTrust Record</v>
      </c>
      <c r="AS160" s="6" t="str">
        <f>HYPERLINK("https://creighton-primo.hosted.exlibrisgroup.com/primo-explore/search?tab=default_tab&amp;search_scope=EVERYTHING&amp;vid=01CRU&amp;lang=en_US&amp;offset=0&amp;query=any,contains,991004300639702656","Catalog Record")</f>
        <v>Catalog Record</v>
      </c>
      <c r="AT160" s="6" t="str">
        <f>HYPERLINK("http://www.worldcat.org/oclc/2968021","WorldCat Record")</f>
        <v>WorldCat Record</v>
      </c>
      <c r="AU160" s="3" t="s">
        <v>2242</v>
      </c>
      <c r="AV160" s="3" t="s">
        <v>2243</v>
      </c>
      <c r="AW160" s="3" t="s">
        <v>2244</v>
      </c>
      <c r="AX160" s="3" t="s">
        <v>2244</v>
      </c>
      <c r="AY160" s="3" t="s">
        <v>2245</v>
      </c>
      <c r="AZ160" s="3" t="s">
        <v>73</v>
      </c>
      <c r="BB160" s="3" t="s">
        <v>2246</v>
      </c>
      <c r="BC160" s="3" t="s">
        <v>2247</v>
      </c>
      <c r="BD160" s="3" t="s">
        <v>2248</v>
      </c>
    </row>
    <row r="161" spans="1:56" ht="38.25" customHeight="1" x14ac:dyDescent="0.25">
      <c r="A161" s="7" t="s">
        <v>58</v>
      </c>
      <c r="B161" s="2" t="s">
        <v>2249</v>
      </c>
      <c r="C161" s="2" t="s">
        <v>2250</v>
      </c>
      <c r="D161" s="2" t="s">
        <v>2251</v>
      </c>
      <c r="F161" s="3" t="s">
        <v>58</v>
      </c>
      <c r="G161" s="3" t="s">
        <v>59</v>
      </c>
      <c r="H161" s="3" t="s">
        <v>58</v>
      </c>
      <c r="I161" s="3" t="s">
        <v>58</v>
      </c>
      <c r="J161" s="3" t="s">
        <v>60</v>
      </c>
      <c r="K161" s="2" t="s">
        <v>2252</v>
      </c>
      <c r="L161" s="2" t="s">
        <v>2253</v>
      </c>
      <c r="M161" s="3" t="s">
        <v>192</v>
      </c>
      <c r="N161" s="2" t="s">
        <v>2254</v>
      </c>
      <c r="O161" s="3" t="s">
        <v>64</v>
      </c>
      <c r="P161" s="3" t="s">
        <v>114</v>
      </c>
      <c r="R161" s="3" t="s">
        <v>1531</v>
      </c>
      <c r="S161" s="4">
        <v>4</v>
      </c>
      <c r="T161" s="4">
        <v>4</v>
      </c>
      <c r="U161" s="5" t="s">
        <v>2255</v>
      </c>
      <c r="V161" s="5" t="s">
        <v>2255</v>
      </c>
      <c r="W161" s="5" t="s">
        <v>2201</v>
      </c>
      <c r="X161" s="5" t="s">
        <v>2201</v>
      </c>
      <c r="Y161" s="4">
        <v>326</v>
      </c>
      <c r="Z161" s="4">
        <v>193</v>
      </c>
      <c r="AA161" s="4">
        <v>202</v>
      </c>
      <c r="AB161" s="4">
        <v>3</v>
      </c>
      <c r="AC161" s="4">
        <v>3</v>
      </c>
      <c r="AD161" s="4">
        <v>9</v>
      </c>
      <c r="AE161" s="4">
        <v>9</v>
      </c>
      <c r="AF161" s="4">
        <v>1</v>
      </c>
      <c r="AG161" s="4">
        <v>1</v>
      </c>
      <c r="AH161" s="4">
        <v>2</v>
      </c>
      <c r="AI161" s="4">
        <v>2</v>
      </c>
      <c r="AJ161" s="4">
        <v>6</v>
      </c>
      <c r="AK161" s="4">
        <v>6</v>
      </c>
      <c r="AL161" s="4">
        <v>2</v>
      </c>
      <c r="AM161" s="4">
        <v>2</v>
      </c>
      <c r="AN161" s="4">
        <v>1</v>
      </c>
      <c r="AO161" s="4">
        <v>1</v>
      </c>
      <c r="AP161" s="3" t="s">
        <v>58</v>
      </c>
      <c r="AQ161" s="3" t="s">
        <v>68</v>
      </c>
      <c r="AR161" s="6" t="str">
        <f>HYPERLINK("http://catalog.hathitrust.org/Record/007888626","HathiTrust Record")</f>
        <v>HathiTrust Record</v>
      </c>
      <c r="AS161" s="6" t="str">
        <f>HYPERLINK("https://creighton-primo.hosted.exlibrisgroup.com/primo-explore/search?tab=default_tab&amp;search_scope=EVERYTHING&amp;vid=01CRU&amp;lang=en_US&amp;offset=0&amp;query=any,contains,991004394939702656","Catalog Record")</f>
        <v>Catalog Record</v>
      </c>
      <c r="AT161" s="6" t="str">
        <f>HYPERLINK("http://www.worldcat.org/oclc/3275508","WorldCat Record")</f>
        <v>WorldCat Record</v>
      </c>
      <c r="AU161" s="3" t="s">
        <v>2256</v>
      </c>
      <c r="AV161" s="3" t="s">
        <v>2257</v>
      </c>
      <c r="AW161" s="3" t="s">
        <v>2258</v>
      </c>
      <c r="AX161" s="3" t="s">
        <v>2258</v>
      </c>
      <c r="AY161" s="3" t="s">
        <v>2259</v>
      </c>
      <c r="AZ161" s="3" t="s">
        <v>73</v>
      </c>
      <c r="BB161" s="3" t="s">
        <v>2260</v>
      </c>
      <c r="BC161" s="3" t="s">
        <v>2261</v>
      </c>
      <c r="BD161" s="3" t="s">
        <v>2262</v>
      </c>
    </row>
    <row r="162" spans="1:56" ht="38.25" customHeight="1" x14ac:dyDescent="0.25">
      <c r="A162" s="7" t="s">
        <v>58</v>
      </c>
      <c r="B162" s="2" t="s">
        <v>2263</v>
      </c>
      <c r="C162" s="2" t="s">
        <v>2264</v>
      </c>
      <c r="D162" s="2" t="s">
        <v>2265</v>
      </c>
      <c r="F162" s="3" t="s">
        <v>58</v>
      </c>
      <c r="G162" s="3" t="s">
        <v>59</v>
      </c>
      <c r="H162" s="3" t="s">
        <v>58</v>
      </c>
      <c r="I162" s="3" t="s">
        <v>58</v>
      </c>
      <c r="J162" s="3" t="s">
        <v>60</v>
      </c>
      <c r="K162" s="2" t="s">
        <v>2266</v>
      </c>
      <c r="L162" s="2" t="s">
        <v>2267</v>
      </c>
      <c r="M162" s="3" t="s">
        <v>1682</v>
      </c>
      <c r="O162" s="3" t="s">
        <v>64</v>
      </c>
      <c r="P162" s="3" t="s">
        <v>580</v>
      </c>
      <c r="R162" s="3" t="s">
        <v>1531</v>
      </c>
      <c r="S162" s="4">
        <v>3</v>
      </c>
      <c r="T162" s="4">
        <v>3</v>
      </c>
      <c r="U162" s="5" t="s">
        <v>2268</v>
      </c>
      <c r="V162" s="5" t="s">
        <v>2268</v>
      </c>
      <c r="W162" s="5" t="s">
        <v>2269</v>
      </c>
      <c r="X162" s="5" t="s">
        <v>2269</v>
      </c>
      <c r="Y162" s="4">
        <v>416</v>
      </c>
      <c r="Z162" s="4">
        <v>397</v>
      </c>
      <c r="AA162" s="4">
        <v>1090</v>
      </c>
      <c r="AB162" s="4">
        <v>5</v>
      </c>
      <c r="AC162" s="4">
        <v>9</v>
      </c>
      <c r="AD162" s="4">
        <v>23</v>
      </c>
      <c r="AE162" s="4">
        <v>52</v>
      </c>
      <c r="AF162" s="4">
        <v>6</v>
      </c>
      <c r="AG162" s="4">
        <v>20</v>
      </c>
      <c r="AH162" s="4">
        <v>6</v>
      </c>
      <c r="AI162" s="4">
        <v>10</v>
      </c>
      <c r="AJ162" s="4">
        <v>10</v>
      </c>
      <c r="AK162" s="4">
        <v>25</v>
      </c>
      <c r="AL162" s="4">
        <v>4</v>
      </c>
      <c r="AM162" s="4">
        <v>8</v>
      </c>
      <c r="AN162" s="4">
        <v>1</v>
      </c>
      <c r="AO162" s="4">
        <v>1</v>
      </c>
      <c r="AP162" s="3" t="s">
        <v>58</v>
      </c>
      <c r="AQ162" s="3" t="s">
        <v>58</v>
      </c>
      <c r="AS162" s="6" t="str">
        <f>HYPERLINK("https://creighton-primo.hosted.exlibrisgroup.com/primo-explore/search?tab=default_tab&amp;search_scope=EVERYTHING&amp;vid=01CRU&amp;lang=en_US&amp;offset=0&amp;query=any,contains,991003558769702656","Catalog Record")</f>
        <v>Catalog Record</v>
      </c>
      <c r="AT162" s="6" t="str">
        <f>HYPERLINK("http://www.worldcat.org/oclc/1128207","WorldCat Record")</f>
        <v>WorldCat Record</v>
      </c>
      <c r="AU162" s="3" t="s">
        <v>2270</v>
      </c>
      <c r="AV162" s="3" t="s">
        <v>2271</v>
      </c>
      <c r="AW162" s="3" t="s">
        <v>2272</v>
      </c>
      <c r="AX162" s="3" t="s">
        <v>2272</v>
      </c>
      <c r="AY162" s="3" t="s">
        <v>2273</v>
      </c>
      <c r="AZ162" s="3" t="s">
        <v>73</v>
      </c>
      <c r="BC162" s="3" t="s">
        <v>2274</v>
      </c>
      <c r="BD162" s="3" t="s">
        <v>2275</v>
      </c>
    </row>
    <row r="163" spans="1:56" ht="38.25" customHeight="1" x14ac:dyDescent="0.25">
      <c r="A163" s="7" t="s">
        <v>58</v>
      </c>
      <c r="B163" s="2" t="s">
        <v>2276</v>
      </c>
      <c r="C163" s="2" t="s">
        <v>2277</v>
      </c>
      <c r="D163" s="2" t="s">
        <v>2278</v>
      </c>
      <c r="F163" s="3" t="s">
        <v>58</v>
      </c>
      <c r="G163" s="3" t="s">
        <v>59</v>
      </c>
      <c r="H163" s="3" t="s">
        <v>58</v>
      </c>
      <c r="I163" s="3" t="s">
        <v>58</v>
      </c>
      <c r="J163" s="3" t="s">
        <v>60</v>
      </c>
      <c r="K163" s="2" t="s">
        <v>2279</v>
      </c>
      <c r="L163" s="2" t="s">
        <v>2280</v>
      </c>
      <c r="M163" s="3" t="s">
        <v>436</v>
      </c>
      <c r="O163" s="3" t="s">
        <v>64</v>
      </c>
      <c r="P163" s="3" t="s">
        <v>65</v>
      </c>
      <c r="R163" s="3" t="s">
        <v>1531</v>
      </c>
      <c r="S163" s="4">
        <v>2</v>
      </c>
      <c r="T163" s="4">
        <v>2</v>
      </c>
      <c r="U163" s="5" t="s">
        <v>2215</v>
      </c>
      <c r="V163" s="5" t="s">
        <v>2215</v>
      </c>
      <c r="W163" s="5" t="s">
        <v>2281</v>
      </c>
      <c r="X163" s="5" t="s">
        <v>2281</v>
      </c>
      <c r="Y163" s="4">
        <v>376</v>
      </c>
      <c r="Z163" s="4">
        <v>347</v>
      </c>
      <c r="AA163" s="4">
        <v>353</v>
      </c>
      <c r="AB163" s="4">
        <v>3</v>
      </c>
      <c r="AC163" s="4">
        <v>3</v>
      </c>
      <c r="AD163" s="4">
        <v>11</v>
      </c>
      <c r="AE163" s="4">
        <v>11</v>
      </c>
      <c r="AF163" s="4">
        <v>3</v>
      </c>
      <c r="AG163" s="4">
        <v>3</v>
      </c>
      <c r="AH163" s="4">
        <v>3</v>
      </c>
      <c r="AI163" s="4">
        <v>3</v>
      </c>
      <c r="AJ163" s="4">
        <v>3</v>
      </c>
      <c r="AK163" s="4">
        <v>3</v>
      </c>
      <c r="AL163" s="4">
        <v>2</v>
      </c>
      <c r="AM163" s="4">
        <v>2</v>
      </c>
      <c r="AN163" s="4">
        <v>1</v>
      </c>
      <c r="AO163" s="4">
        <v>1</v>
      </c>
      <c r="AP163" s="3" t="s">
        <v>58</v>
      </c>
      <c r="AQ163" s="3" t="s">
        <v>68</v>
      </c>
      <c r="AR163" s="6" t="str">
        <f>HYPERLINK("http://catalog.hathitrust.org/Record/000015623","HathiTrust Record")</f>
        <v>HathiTrust Record</v>
      </c>
      <c r="AS163" s="6" t="str">
        <f>HYPERLINK("https://creighton-primo.hosted.exlibrisgroup.com/primo-explore/search?tab=default_tab&amp;search_scope=EVERYTHING&amp;vid=01CRU&amp;lang=en_US&amp;offset=0&amp;query=any,contains,991003434219702656","Catalog Record")</f>
        <v>Catalog Record</v>
      </c>
      <c r="AT163" s="6" t="str">
        <f>HYPERLINK("http://www.worldcat.org/oclc/969456","WorldCat Record")</f>
        <v>WorldCat Record</v>
      </c>
      <c r="AU163" s="3" t="s">
        <v>2282</v>
      </c>
      <c r="AV163" s="3" t="s">
        <v>2283</v>
      </c>
      <c r="AW163" s="3" t="s">
        <v>2284</v>
      </c>
      <c r="AX163" s="3" t="s">
        <v>2284</v>
      </c>
      <c r="AY163" s="3" t="s">
        <v>2285</v>
      </c>
      <c r="AZ163" s="3" t="s">
        <v>73</v>
      </c>
      <c r="BB163" s="3" t="s">
        <v>2286</v>
      </c>
      <c r="BC163" s="3" t="s">
        <v>2287</v>
      </c>
      <c r="BD163" s="3" t="s">
        <v>2288</v>
      </c>
    </row>
    <row r="164" spans="1:56" ht="38.25" customHeight="1" x14ac:dyDescent="0.25">
      <c r="A164" s="7" t="s">
        <v>58</v>
      </c>
      <c r="B164" s="2" t="s">
        <v>2289</v>
      </c>
      <c r="C164" s="2" t="s">
        <v>2290</v>
      </c>
      <c r="D164" s="2" t="s">
        <v>2291</v>
      </c>
      <c r="F164" s="3" t="s">
        <v>58</v>
      </c>
      <c r="G164" s="3" t="s">
        <v>59</v>
      </c>
      <c r="H164" s="3" t="s">
        <v>58</v>
      </c>
      <c r="I164" s="3" t="s">
        <v>58</v>
      </c>
      <c r="J164" s="3" t="s">
        <v>60</v>
      </c>
      <c r="K164" s="2" t="s">
        <v>2292</v>
      </c>
      <c r="L164" s="2" t="s">
        <v>2293</v>
      </c>
      <c r="M164" s="3" t="s">
        <v>817</v>
      </c>
      <c r="O164" s="3" t="s">
        <v>64</v>
      </c>
      <c r="P164" s="3" t="s">
        <v>453</v>
      </c>
      <c r="Q164" s="2" t="s">
        <v>2294</v>
      </c>
      <c r="R164" s="3" t="s">
        <v>1531</v>
      </c>
      <c r="S164" s="4">
        <v>1</v>
      </c>
      <c r="T164" s="4">
        <v>1</v>
      </c>
      <c r="U164" s="5" t="s">
        <v>2295</v>
      </c>
      <c r="V164" s="5" t="s">
        <v>2295</v>
      </c>
      <c r="W164" s="5" t="s">
        <v>1997</v>
      </c>
      <c r="X164" s="5" t="s">
        <v>1997</v>
      </c>
      <c r="Y164" s="4">
        <v>370</v>
      </c>
      <c r="Z164" s="4">
        <v>309</v>
      </c>
      <c r="AA164" s="4">
        <v>472</v>
      </c>
      <c r="AB164" s="4">
        <v>4</v>
      </c>
      <c r="AC164" s="4">
        <v>5</v>
      </c>
      <c r="AD164" s="4">
        <v>22</v>
      </c>
      <c r="AE164" s="4">
        <v>29</v>
      </c>
      <c r="AF164" s="4">
        <v>5</v>
      </c>
      <c r="AG164" s="4">
        <v>9</v>
      </c>
      <c r="AH164" s="4">
        <v>7</v>
      </c>
      <c r="AI164" s="4">
        <v>8</v>
      </c>
      <c r="AJ164" s="4">
        <v>14</v>
      </c>
      <c r="AK164" s="4">
        <v>14</v>
      </c>
      <c r="AL164" s="4">
        <v>3</v>
      </c>
      <c r="AM164" s="4">
        <v>3</v>
      </c>
      <c r="AN164" s="4">
        <v>0</v>
      </c>
      <c r="AO164" s="4">
        <v>3</v>
      </c>
      <c r="AP164" s="3" t="s">
        <v>58</v>
      </c>
      <c r="AQ164" s="3" t="s">
        <v>58</v>
      </c>
      <c r="AR164" s="6" t="str">
        <f>HYPERLINK("http://catalog.hathitrust.org/Record/001153452","HathiTrust Record")</f>
        <v>HathiTrust Record</v>
      </c>
      <c r="AS164" s="6" t="str">
        <f>HYPERLINK("https://creighton-primo.hosted.exlibrisgroup.com/primo-explore/search?tab=default_tab&amp;search_scope=EVERYTHING&amp;vid=01CRU&amp;lang=en_US&amp;offset=0&amp;query=any,contains,991003924459702656","Catalog Record")</f>
        <v>Catalog Record</v>
      </c>
      <c r="AT164" s="6" t="str">
        <f>HYPERLINK("http://www.worldcat.org/oclc/1879114","WorldCat Record")</f>
        <v>WorldCat Record</v>
      </c>
      <c r="AU164" s="3" t="s">
        <v>2296</v>
      </c>
      <c r="AV164" s="3" t="s">
        <v>2297</v>
      </c>
      <c r="AW164" s="3" t="s">
        <v>2298</v>
      </c>
      <c r="AX164" s="3" t="s">
        <v>2298</v>
      </c>
      <c r="AY164" s="3" t="s">
        <v>2299</v>
      </c>
      <c r="AZ164" s="3" t="s">
        <v>73</v>
      </c>
      <c r="BC164" s="3" t="s">
        <v>2300</v>
      </c>
      <c r="BD164" s="3" t="s">
        <v>2301</v>
      </c>
    </row>
    <row r="165" spans="1:56" ht="38.25" customHeight="1" x14ac:dyDescent="0.25">
      <c r="A165" s="7" t="s">
        <v>58</v>
      </c>
      <c r="B165" s="2" t="s">
        <v>2302</v>
      </c>
      <c r="C165" s="2" t="s">
        <v>2303</v>
      </c>
      <c r="D165" s="2" t="s">
        <v>2304</v>
      </c>
      <c r="F165" s="3" t="s">
        <v>58</v>
      </c>
      <c r="G165" s="3" t="s">
        <v>59</v>
      </c>
      <c r="H165" s="3" t="s">
        <v>58</v>
      </c>
      <c r="I165" s="3" t="s">
        <v>58</v>
      </c>
      <c r="J165" s="3" t="s">
        <v>60</v>
      </c>
      <c r="K165" s="2" t="s">
        <v>2305</v>
      </c>
      <c r="L165" s="2" t="s">
        <v>2306</v>
      </c>
      <c r="M165" s="3" t="s">
        <v>817</v>
      </c>
      <c r="N165" s="2" t="s">
        <v>325</v>
      </c>
      <c r="O165" s="3" t="s">
        <v>64</v>
      </c>
      <c r="P165" s="3" t="s">
        <v>65</v>
      </c>
      <c r="R165" s="3" t="s">
        <v>1531</v>
      </c>
      <c r="S165" s="4">
        <v>1</v>
      </c>
      <c r="T165" s="4">
        <v>1</v>
      </c>
      <c r="U165" s="5" t="s">
        <v>2307</v>
      </c>
      <c r="V165" s="5" t="s">
        <v>2307</v>
      </c>
      <c r="W165" s="5" t="s">
        <v>2308</v>
      </c>
      <c r="X165" s="5" t="s">
        <v>2308</v>
      </c>
      <c r="Y165" s="4">
        <v>784</v>
      </c>
      <c r="Z165" s="4">
        <v>711</v>
      </c>
      <c r="AA165" s="4">
        <v>761</v>
      </c>
      <c r="AB165" s="4">
        <v>7</v>
      </c>
      <c r="AC165" s="4">
        <v>7</v>
      </c>
      <c r="AD165" s="4">
        <v>34</v>
      </c>
      <c r="AE165" s="4">
        <v>35</v>
      </c>
      <c r="AF165" s="4">
        <v>12</v>
      </c>
      <c r="AG165" s="4">
        <v>12</v>
      </c>
      <c r="AH165" s="4">
        <v>4</v>
      </c>
      <c r="AI165" s="4">
        <v>5</v>
      </c>
      <c r="AJ165" s="4">
        <v>19</v>
      </c>
      <c r="AK165" s="4">
        <v>19</v>
      </c>
      <c r="AL165" s="4">
        <v>6</v>
      </c>
      <c r="AM165" s="4">
        <v>6</v>
      </c>
      <c r="AN165" s="4">
        <v>1</v>
      </c>
      <c r="AO165" s="4">
        <v>1</v>
      </c>
      <c r="AP165" s="3" t="s">
        <v>58</v>
      </c>
      <c r="AQ165" s="3" t="s">
        <v>58</v>
      </c>
      <c r="AR165" s="6" t="str">
        <f>HYPERLINK("http://catalog.hathitrust.org/Record/001153463","HathiTrust Record")</f>
        <v>HathiTrust Record</v>
      </c>
      <c r="AS165" s="6" t="str">
        <f>HYPERLINK("https://creighton-primo.hosted.exlibrisgroup.com/primo-explore/search?tab=default_tab&amp;search_scope=EVERYTHING&amp;vid=01CRU&amp;lang=en_US&amp;offset=0&amp;query=any,contains,991002877199702656","Catalog Record")</f>
        <v>Catalog Record</v>
      </c>
      <c r="AT165" s="6" t="str">
        <f>HYPERLINK("http://www.worldcat.org/oclc/503659","WorldCat Record")</f>
        <v>WorldCat Record</v>
      </c>
      <c r="AU165" s="3" t="s">
        <v>2309</v>
      </c>
      <c r="AV165" s="3" t="s">
        <v>2310</v>
      </c>
      <c r="AW165" s="3" t="s">
        <v>2311</v>
      </c>
      <c r="AX165" s="3" t="s">
        <v>2311</v>
      </c>
      <c r="AY165" s="3" t="s">
        <v>2312</v>
      </c>
      <c r="AZ165" s="3" t="s">
        <v>73</v>
      </c>
      <c r="BC165" s="3" t="s">
        <v>2313</v>
      </c>
      <c r="BD165" s="3" t="s">
        <v>2314</v>
      </c>
    </row>
    <row r="166" spans="1:56" ht="38.25" customHeight="1" x14ac:dyDescent="0.25">
      <c r="A166" s="7" t="s">
        <v>58</v>
      </c>
      <c r="B166" s="2" t="s">
        <v>2315</v>
      </c>
      <c r="C166" s="2" t="s">
        <v>2316</v>
      </c>
      <c r="D166" s="2" t="s">
        <v>2317</v>
      </c>
      <c r="F166" s="3" t="s">
        <v>58</v>
      </c>
      <c r="G166" s="3" t="s">
        <v>59</v>
      </c>
      <c r="H166" s="3" t="s">
        <v>58</v>
      </c>
      <c r="I166" s="3" t="s">
        <v>58</v>
      </c>
      <c r="J166" s="3" t="s">
        <v>60</v>
      </c>
      <c r="K166" s="2" t="s">
        <v>2318</v>
      </c>
      <c r="L166" s="2" t="s">
        <v>2319</v>
      </c>
      <c r="M166" s="3" t="s">
        <v>247</v>
      </c>
      <c r="O166" s="3" t="s">
        <v>64</v>
      </c>
      <c r="P166" s="3" t="s">
        <v>625</v>
      </c>
      <c r="R166" s="3" t="s">
        <v>1531</v>
      </c>
      <c r="S166" s="4">
        <v>1</v>
      </c>
      <c r="T166" s="4">
        <v>1</v>
      </c>
      <c r="U166" s="5" t="s">
        <v>2320</v>
      </c>
      <c r="V166" s="5" t="s">
        <v>2320</v>
      </c>
      <c r="W166" s="5" t="s">
        <v>1232</v>
      </c>
      <c r="X166" s="5" t="s">
        <v>1232</v>
      </c>
      <c r="Y166" s="4">
        <v>580</v>
      </c>
      <c r="Z166" s="4">
        <v>481</v>
      </c>
      <c r="AA166" s="4">
        <v>488</v>
      </c>
      <c r="AB166" s="4">
        <v>3</v>
      </c>
      <c r="AC166" s="4">
        <v>3</v>
      </c>
      <c r="AD166" s="4">
        <v>22</v>
      </c>
      <c r="AE166" s="4">
        <v>22</v>
      </c>
      <c r="AF166" s="4">
        <v>8</v>
      </c>
      <c r="AG166" s="4">
        <v>8</v>
      </c>
      <c r="AH166" s="4">
        <v>5</v>
      </c>
      <c r="AI166" s="4">
        <v>5</v>
      </c>
      <c r="AJ166" s="4">
        <v>12</v>
      </c>
      <c r="AK166" s="4">
        <v>12</v>
      </c>
      <c r="AL166" s="4">
        <v>2</v>
      </c>
      <c r="AM166" s="4">
        <v>2</v>
      </c>
      <c r="AN166" s="4">
        <v>1</v>
      </c>
      <c r="AO166" s="4">
        <v>1</v>
      </c>
      <c r="AP166" s="3" t="s">
        <v>58</v>
      </c>
      <c r="AQ166" s="3" t="s">
        <v>68</v>
      </c>
      <c r="AR166" s="6" t="str">
        <f>HYPERLINK("http://catalog.hathitrust.org/Record/000903980","HathiTrust Record")</f>
        <v>HathiTrust Record</v>
      </c>
      <c r="AS166" s="6" t="str">
        <f>HYPERLINK("https://creighton-primo.hosted.exlibrisgroup.com/primo-explore/search?tab=default_tab&amp;search_scope=EVERYTHING&amp;vid=01CRU&amp;lang=en_US&amp;offset=0&amp;query=any,contains,991001100969702656","Catalog Record")</f>
        <v>Catalog Record</v>
      </c>
      <c r="AT166" s="6" t="str">
        <f>HYPERLINK("http://www.worldcat.org/oclc/16353002","WorldCat Record")</f>
        <v>WorldCat Record</v>
      </c>
      <c r="AU166" s="3" t="s">
        <v>2321</v>
      </c>
      <c r="AV166" s="3" t="s">
        <v>2322</v>
      </c>
      <c r="AW166" s="3" t="s">
        <v>2323</v>
      </c>
      <c r="AX166" s="3" t="s">
        <v>2323</v>
      </c>
      <c r="AY166" s="3" t="s">
        <v>2324</v>
      </c>
      <c r="AZ166" s="3" t="s">
        <v>73</v>
      </c>
      <c r="BB166" s="3" t="s">
        <v>2325</v>
      </c>
      <c r="BC166" s="3" t="s">
        <v>2326</v>
      </c>
      <c r="BD166" s="3" t="s">
        <v>2327</v>
      </c>
    </row>
    <row r="167" spans="1:56" ht="38.25" customHeight="1" x14ac:dyDescent="0.25">
      <c r="A167" s="7" t="s">
        <v>58</v>
      </c>
      <c r="B167" s="2" t="s">
        <v>2328</v>
      </c>
      <c r="C167" s="2" t="s">
        <v>2329</v>
      </c>
      <c r="D167" s="2" t="s">
        <v>2330</v>
      </c>
      <c r="F167" s="3" t="s">
        <v>58</v>
      </c>
      <c r="G167" s="3" t="s">
        <v>59</v>
      </c>
      <c r="H167" s="3" t="s">
        <v>58</v>
      </c>
      <c r="I167" s="3" t="s">
        <v>58</v>
      </c>
      <c r="J167" s="3" t="s">
        <v>60</v>
      </c>
      <c r="K167" s="2" t="s">
        <v>2331</v>
      </c>
      <c r="L167" s="2" t="s">
        <v>1298</v>
      </c>
      <c r="M167" s="3" t="s">
        <v>161</v>
      </c>
      <c r="O167" s="3" t="s">
        <v>64</v>
      </c>
      <c r="P167" s="3" t="s">
        <v>83</v>
      </c>
      <c r="R167" s="3" t="s">
        <v>1531</v>
      </c>
      <c r="S167" s="4">
        <v>1</v>
      </c>
      <c r="T167" s="4">
        <v>1</v>
      </c>
      <c r="U167" s="5" t="s">
        <v>2332</v>
      </c>
      <c r="V167" s="5" t="s">
        <v>2332</v>
      </c>
      <c r="W167" s="5" t="s">
        <v>2201</v>
      </c>
      <c r="X167" s="5" t="s">
        <v>2201</v>
      </c>
      <c r="Y167" s="4">
        <v>327</v>
      </c>
      <c r="Z167" s="4">
        <v>272</v>
      </c>
      <c r="AA167" s="4">
        <v>590</v>
      </c>
      <c r="AB167" s="4">
        <v>3</v>
      </c>
      <c r="AC167" s="4">
        <v>5</v>
      </c>
      <c r="AD167" s="4">
        <v>17</v>
      </c>
      <c r="AE167" s="4">
        <v>27</v>
      </c>
      <c r="AF167" s="4">
        <v>5</v>
      </c>
      <c r="AG167" s="4">
        <v>12</v>
      </c>
      <c r="AH167" s="4">
        <v>4</v>
      </c>
      <c r="AI167" s="4">
        <v>7</v>
      </c>
      <c r="AJ167" s="4">
        <v>9</v>
      </c>
      <c r="AK167" s="4">
        <v>12</v>
      </c>
      <c r="AL167" s="4">
        <v>2</v>
      </c>
      <c r="AM167" s="4">
        <v>3</v>
      </c>
      <c r="AN167" s="4">
        <v>0</v>
      </c>
      <c r="AO167" s="4">
        <v>0</v>
      </c>
      <c r="AP167" s="3" t="s">
        <v>58</v>
      </c>
      <c r="AQ167" s="3" t="s">
        <v>58</v>
      </c>
      <c r="AS167" s="6" t="str">
        <f>HYPERLINK("https://creighton-primo.hosted.exlibrisgroup.com/primo-explore/search?tab=default_tab&amp;search_scope=EVERYTHING&amp;vid=01CRU&amp;lang=en_US&amp;offset=0&amp;query=any,contains,991000214539702656","Catalog Record")</f>
        <v>Catalog Record</v>
      </c>
      <c r="AT167" s="6" t="str">
        <f>HYPERLINK("http://www.worldcat.org/oclc/9557342","WorldCat Record")</f>
        <v>WorldCat Record</v>
      </c>
      <c r="AU167" s="3" t="s">
        <v>2333</v>
      </c>
      <c r="AV167" s="3" t="s">
        <v>2334</v>
      </c>
      <c r="AW167" s="3" t="s">
        <v>2335</v>
      </c>
      <c r="AX167" s="3" t="s">
        <v>2335</v>
      </c>
      <c r="AY167" s="3" t="s">
        <v>2336</v>
      </c>
      <c r="AZ167" s="3" t="s">
        <v>73</v>
      </c>
      <c r="BB167" s="3" t="s">
        <v>2337</v>
      </c>
      <c r="BC167" s="3" t="s">
        <v>2338</v>
      </c>
      <c r="BD167" s="3" t="s">
        <v>2339</v>
      </c>
    </row>
    <row r="168" spans="1:56" ht="38.25" customHeight="1" x14ac:dyDescent="0.25">
      <c r="A168" s="7" t="s">
        <v>58</v>
      </c>
      <c r="B168" s="2" t="s">
        <v>2340</v>
      </c>
      <c r="C168" s="2" t="s">
        <v>2341</v>
      </c>
      <c r="D168" s="2" t="s">
        <v>2342</v>
      </c>
      <c r="F168" s="3" t="s">
        <v>58</v>
      </c>
      <c r="G168" s="3" t="s">
        <v>59</v>
      </c>
      <c r="H168" s="3" t="s">
        <v>58</v>
      </c>
      <c r="I168" s="3" t="s">
        <v>58</v>
      </c>
      <c r="J168" s="3" t="s">
        <v>60</v>
      </c>
      <c r="K168" s="2" t="s">
        <v>2343</v>
      </c>
      <c r="L168" s="2" t="s">
        <v>2344</v>
      </c>
      <c r="M168" s="3" t="s">
        <v>1641</v>
      </c>
      <c r="O168" s="3" t="s">
        <v>64</v>
      </c>
      <c r="P168" s="3" t="s">
        <v>366</v>
      </c>
      <c r="R168" s="3" t="s">
        <v>1531</v>
      </c>
      <c r="S168" s="4">
        <v>1</v>
      </c>
      <c r="T168" s="4">
        <v>1</v>
      </c>
      <c r="U168" s="5" t="s">
        <v>2345</v>
      </c>
      <c r="V168" s="5" t="s">
        <v>2345</v>
      </c>
      <c r="W168" s="5" t="s">
        <v>2201</v>
      </c>
      <c r="X168" s="5" t="s">
        <v>2201</v>
      </c>
      <c r="Y168" s="4">
        <v>780</v>
      </c>
      <c r="Z168" s="4">
        <v>671</v>
      </c>
      <c r="AA168" s="4">
        <v>688</v>
      </c>
      <c r="AB168" s="4">
        <v>6</v>
      </c>
      <c r="AC168" s="4">
        <v>6</v>
      </c>
      <c r="AD168" s="4">
        <v>33</v>
      </c>
      <c r="AE168" s="4">
        <v>33</v>
      </c>
      <c r="AF168" s="4">
        <v>15</v>
      </c>
      <c r="AG168" s="4">
        <v>15</v>
      </c>
      <c r="AH168" s="4">
        <v>8</v>
      </c>
      <c r="AI168" s="4">
        <v>8</v>
      </c>
      <c r="AJ168" s="4">
        <v>14</v>
      </c>
      <c r="AK168" s="4">
        <v>14</v>
      </c>
      <c r="AL168" s="4">
        <v>4</v>
      </c>
      <c r="AM168" s="4">
        <v>4</v>
      </c>
      <c r="AN168" s="4">
        <v>0</v>
      </c>
      <c r="AO168" s="4">
        <v>0</v>
      </c>
      <c r="AP168" s="3" t="s">
        <v>58</v>
      </c>
      <c r="AQ168" s="3" t="s">
        <v>68</v>
      </c>
      <c r="AR168" s="6" t="str">
        <f>HYPERLINK("http://catalog.hathitrust.org/Record/000092148","HathiTrust Record")</f>
        <v>HathiTrust Record</v>
      </c>
      <c r="AS168" s="6" t="str">
        <f>HYPERLINK("https://creighton-primo.hosted.exlibrisgroup.com/primo-explore/search?tab=default_tab&amp;search_scope=EVERYTHING&amp;vid=01CRU&amp;lang=en_US&amp;offset=0&amp;query=any,contains,991004481589702656","Catalog Record")</f>
        <v>Catalog Record</v>
      </c>
      <c r="AT168" s="6" t="str">
        <f>HYPERLINK("http://www.worldcat.org/oclc/3627679","WorldCat Record")</f>
        <v>WorldCat Record</v>
      </c>
      <c r="AU168" s="3" t="s">
        <v>2346</v>
      </c>
      <c r="AV168" s="3" t="s">
        <v>2347</v>
      </c>
      <c r="AW168" s="3" t="s">
        <v>2348</v>
      </c>
      <c r="AX168" s="3" t="s">
        <v>2348</v>
      </c>
      <c r="AY168" s="3" t="s">
        <v>2349</v>
      </c>
      <c r="AZ168" s="3" t="s">
        <v>73</v>
      </c>
      <c r="BB168" s="3" t="s">
        <v>2350</v>
      </c>
      <c r="BC168" s="3" t="s">
        <v>2351</v>
      </c>
      <c r="BD168" s="3" t="s">
        <v>2352</v>
      </c>
    </row>
    <row r="169" spans="1:56" ht="38.25" customHeight="1" x14ac:dyDescent="0.25">
      <c r="A169" s="7" t="s">
        <v>58</v>
      </c>
      <c r="B169" s="2" t="s">
        <v>2353</v>
      </c>
      <c r="C169" s="2" t="s">
        <v>2354</v>
      </c>
      <c r="D169" s="2" t="s">
        <v>2355</v>
      </c>
      <c r="F169" s="3" t="s">
        <v>58</v>
      </c>
      <c r="G169" s="3" t="s">
        <v>59</v>
      </c>
      <c r="H169" s="3" t="s">
        <v>58</v>
      </c>
      <c r="I169" s="3" t="s">
        <v>58</v>
      </c>
      <c r="J169" s="3" t="s">
        <v>60</v>
      </c>
      <c r="L169" s="2" t="s">
        <v>2356</v>
      </c>
      <c r="M169" s="3" t="s">
        <v>247</v>
      </c>
      <c r="O169" s="3" t="s">
        <v>64</v>
      </c>
      <c r="P169" s="3" t="s">
        <v>65</v>
      </c>
      <c r="R169" s="3" t="s">
        <v>1531</v>
      </c>
      <c r="S169" s="4">
        <v>1</v>
      </c>
      <c r="T169" s="4">
        <v>1</v>
      </c>
      <c r="U169" s="5" t="s">
        <v>2357</v>
      </c>
      <c r="V169" s="5" t="s">
        <v>2357</v>
      </c>
      <c r="W169" s="5" t="s">
        <v>2201</v>
      </c>
      <c r="X169" s="5" t="s">
        <v>2201</v>
      </c>
      <c r="Y169" s="4">
        <v>437</v>
      </c>
      <c r="Z169" s="4">
        <v>396</v>
      </c>
      <c r="AA169" s="4">
        <v>401</v>
      </c>
      <c r="AB169" s="4">
        <v>6</v>
      </c>
      <c r="AC169" s="4">
        <v>6</v>
      </c>
      <c r="AD169" s="4">
        <v>17</v>
      </c>
      <c r="AE169" s="4">
        <v>17</v>
      </c>
      <c r="AF169" s="4">
        <v>4</v>
      </c>
      <c r="AG169" s="4">
        <v>4</v>
      </c>
      <c r="AH169" s="4">
        <v>3</v>
      </c>
      <c r="AI169" s="4">
        <v>3</v>
      </c>
      <c r="AJ169" s="4">
        <v>8</v>
      </c>
      <c r="AK169" s="4">
        <v>8</v>
      </c>
      <c r="AL169" s="4">
        <v>5</v>
      </c>
      <c r="AM169" s="4">
        <v>5</v>
      </c>
      <c r="AN169" s="4">
        <v>0</v>
      </c>
      <c r="AO169" s="4">
        <v>0</v>
      </c>
      <c r="AP169" s="3" t="s">
        <v>58</v>
      </c>
      <c r="AQ169" s="3" t="s">
        <v>58</v>
      </c>
      <c r="AS169" s="6" t="str">
        <f>HYPERLINK("https://creighton-primo.hosted.exlibrisgroup.com/primo-explore/search?tab=default_tab&amp;search_scope=EVERYTHING&amp;vid=01CRU&amp;lang=en_US&amp;offset=0&amp;query=any,contains,991001118869702656","Catalog Record")</f>
        <v>Catalog Record</v>
      </c>
      <c r="AT169" s="6" t="str">
        <f>HYPERLINK("http://www.worldcat.org/oclc/16577660","WorldCat Record")</f>
        <v>WorldCat Record</v>
      </c>
      <c r="AU169" s="3" t="s">
        <v>2358</v>
      </c>
      <c r="AV169" s="3" t="s">
        <v>2359</v>
      </c>
      <c r="AW169" s="3" t="s">
        <v>2360</v>
      </c>
      <c r="AX169" s="3" t="s">
        <v>2360</v>
      </c>
      <c r="AY169" s="3" t="s">
        <v>2361</v>
      </c>
      <c r="AZ169" s="3" t="s">
        <v>73</v>
      </c>
      <c r="BB169" s="3" t="s">
        <v>2362</v>
      </c>
      <c r="BC169" s="3" t="s">
        <v>2363</v>
      </c>
      <c r="BD169" s="3" t="s">
        <v>2364</v>
      </c>
    </row>
    <row r="170" spans="1:56" ht="38.25" customHeight="1" x14ac:dyDescent="0.25">
      <c r="A170" s="7" t="s">
        <v>58</v>
      </c>
      <c r="B170" s="2" t="s">
        <v>2365</v>
      </c>
      <c r="C170" s="2" t="s">
        <v>2366</v>
      </c>
      <c r="D170" s="2" t="s">
        <v>2367</v>
      </c>
      <c r="F170" s="3" t="s">
        <v>58</v>
      </c>
      <c r="G170" s="3" t="s">
        <v>59</v>
      </c>
      <c r="H170" s="3" t="s">
        <v>58</v>
      </c>
      <c r="I170" s="3" t="s">
        <v>58</v>
      </c>
      <c r="J170" s="3" t="s">
        <v>60</v>
      </c>
      <c r="K170" s="2" t="s">
        <v>2368</v>
      </c>
      <c r="L170" s="2" t="s">
        <v>2369</v>
      </c>
      <c r="M170" s="3" t="s">
        <v>247</v>
      </c>
      <c r="O170" s="3" t="s">
        <v>64</v>
      </c>
      <c r="P170" s="3" t="s">
        <v>2370</v>
      </c>
      <c r="R170" s="3" t="s">
        <v>1531</v>
      </c>
      <c r="S170" s="4">
        <v>1</v>
      </c>
      <c r="T170" s="4">
        <v>1</v>
      </c>
      <c r="U170" s="5" t="s">
        <v>2371</v>
      </c>
      <c r="V170" s="5" t="s">
        <v>2371</v>
      </c>
      <c r="W170" s="5" t="s">
        <v>2201</v>
      </c>
      <c r="X170" s="5" t="s">
        <v>2201</v>
      </c>
      <c r="Y170" s="4">
        <v>318</v>
      </c>
      <c r="Z170" s="4">
        <v>272</v>
      </c>
      <c r="AA170" s="4">
        <v>512</v>
      </c>
      <c r="AB170" s="4">
        <v>4</v>
      </c>
      <c r="AC170" s="4">
        <v>6</v>
      </c>
      <c r="AD170" s="4">
        <v>8</v>
      </c>
      <c r="AE170" s="4">
        <v>22</v>
      </c>
      <c r="AF170" s="4">
        <v>0</v>
      </c>
      <c r="AG170" s="4">
        <v>7</v>
      </c>
      <c r="AH170" s="4">
        <v>2</v>
      </c>
      <c r="AI170" s="4">
        <v>7</v>
      </c>
      <c r="AJ170" s="4">
        <v>5</v>
      </c>
      <c r="AK170" s="4">
        <v>10</v>
      </c>
      <c r="AL170" s="4">
        <v>3</v>
      </c>
      <c r="AM170" s="4">
        <v>5</v>
      </c>
      <c r="AN170" s="4">
        <v>0</v>
      </c>
      <c r="AO170" s="4">
        <v>0</v>
      </c>
      <c r="AP170" s="3" t="s">
        <v>58</v>
      </c>
      <c r="AQ170" s="3" t="s">
        <v>68</v>
      </c>
      <c r="AR170" s="6" t="str">
        <f>HYPERLINK("http://catalog.hathitrust.org/Record/000929595","HathiTrust Record")</f>
        <v>HathiTrust Record</v>
      </c>
      <c r="AS170" s="6" t="str">
        <f>HYPERLINK("https://creighton-primo.hosted.exlibrisgroup.com/primo-explore/search?tab=default_tab&amp;search_scope=EVERYTHING&amp;vid=01CRU&amp;lang=en_US&amp;offset=0&amp;query=any,contains,991001264479702656","Catalog Record")</f>
        <v>Catalog Record</v>
      </c>
      <c r="AT170" s="6" t="str">
        <f>HYPERLINK("http://www.worldcat.org/oclc/17803488","WorldCat Record")</f>
        <v>WorldCat Record</v>
      </c>
      <c r="AU170" s="3" t="s">
        <v>2372</v>
      </c>
      <c r="AV170" s="3" t="s">
        <v>2373</v>
      </c>
      <c r="AW170" s="3" t="s">
        <v>2374</v>
      </c>
      <c r="AX170" s="3" t="s">
        <v>2374</v>
      </c>
      <c r="AY170" s="3" t="s">
        <v>2375</v>
      </c>
      <c r="AZ170" s="3" t="s">
        <v>73</v>
      </c>
      <c r="BB170" s="3" t="s">
        <v>2376</v>
      </c>
      <c r="BC170" s="3" t="s">
        <v>2377</v>
      </c>
      <c r="BD170" s="3" t="s">
        <v>2378</v>
      </c>
    </row>
    <row r="171" spans="1:56" ht="38.25" customHeight="1" x14ac:dyDescent="0.25">
      <c r="A171" s="7" t="s">
        <v>58</v>
      </c>
      <c r="B171" s="2" t="s">
        <v>2379</v>
      </c>
      <c r="C171" s="2" t="s">
        <v>2380</v>
      </c>
      <c r="D171" s="2" t="s">
        <v>2381</v>
      </c>
      <c r="F171" s="3" t="s">
        <v>58</v>
      </c>
      <c r="G171" s="3" t="s">
        <v>59</v>
      </c>
      <c r="H171" s="3" t="s">
        <v>58</v>
      </c>
      <c r="I171" s="3" t="s">
        <v>58</v>
      </c>
      <c r="J171" s="3" t="s">
        <v>60</v>
      </c>
      <c r="K171" s="2" t="s">
        <v>2382</v>
      </c>
      <c r="L171" s="2" t="s">
        <v>2356</v>
      </c>
      <c r="M171" s="3" t="s">
        <v>247</v>
      </c>
      <c r="O171" s="3" t="s">
        <v>64</v>
      </c>
      <c r="P171" s="3" t="s">
        <v>65</v>
      </c>
      <c r="R171" s="3" t="s">
        <v>1531</v>
      </c>
      <c r="S171" s="4">
        <v>8</v>
      </c>
      <c r="T171" s="4">
        <v>8</v>
      </c>
      <c r="U171" s="5" t="s">
        <v>2383</v>
      </c>
      <c r="V171" s="5" t="s">
        <v>2383</v>
      </c>
      <c r="W171" s="5" t="s">
        <v>2384</v>
      </c>
      <c r="X171" s="5" t="s">
        <v>2384</v>
      </c>
      <c r="Y171" s="4">
        <v>456</v>
      </c>
      <c r="Z171" s="4">
        <v>405</v>
      </c>
      <c r="AA171" s="4">
        <v>406</v>
      </c>
      <c r="AB171" s="4">
        <v>4</v>
      </c>
      <c r="AC171" s="4">
        <v>4</v>
      </c>
      <c r="AD171" s="4">
        <v>18</v>
      </c>
      <c r="AE171" s="4">
        <v>18</v>
      </c>
      <c r="AF171" s="4">
        <v>4</v>
      </c>
      <c r="AG171" s="4">
        <v>4</v>
      </c>
      <c r="AH171" s="4">
        <v>5</v>
      </c>
      <c r="AI171" s="4">
        <v>5</v>
      </c>
      <c r="AJ171" s="4">
        <v>11</v>
      </c>
      <c r="AK171" s="4">
        <v>11</v>
      </c>
      <c r="AL171" s="4">
        <v>3</v>
      </c>
      <c r="AM171" s="4">
        <v>3</v>
      </c>
      <c r="AN171" s="4">
        <v>0</v>
      </c>
      <c r="AO171" s="4">
        <v>0</v>
      </c>
      <c r="AP171" s="3" t="s">
        <v>58</v>
      </c>
      <c r="AQ171" s="3" t="s">
        <v>58</v>
      </c>
      <c r="AS171" s="6" t="str">
        <f>HYPERLINK("https://creighton-primo.hosted.exlibrisgroup.com/primo-explore/search?tab=default_tab&amp;search_scope=EVERYTHING&amp;vid=01CRU&amp;lang=en_US&amp;offset=0&amp;query=any,contains,991001124989702656","Catalog Record")</f>
        <v>Catalog Record</v>
      </c>
      <c r="AT171" s="6" t="str">
        <f>HYPERLINK("http://www.worldcat.org/oclc/16647646","WorldCat Record")</f>
        <v>WorldCat Record</v>
      </c>
      <c r="AU171" s="3" t="s">
        <v>2385</v>
      </c>
      <c r="AV171" s="3" t="s">
        <v>2386</v>
      </c>
      <c r="AW171" s="3" t="s">
        <v>2387</v>
      </c>
      <c r="AX171" s="3" t="s">
        <v>2387</v>
      </c>
      <c r="AY171" s="3" t="s">
        <v>2388</v>
      </c>
      <c r="AZ171" s="3" t="s">
        <v>73</v>
      </c>
      <c r="BB171" s="3" t="s">
        <v>2389</v>
      </c>
      <c r="BC171" s="3" t="s">
        <v>2390</v>
      </c>
      <c r="BD171" s="3" t="s">
        <v>2391</v>
      </c>
    </row>
    <row r="172" spans="1:56" ht="38.25" customHeight="1" x14ac:dyDescent="0.25">
      <c r="A172" s="7" t="s">
        <v>58</v>
      </c>
      <c r="B172" s="2" t="s">
        <v>2392</v>
      </c>
      <c r="C172" s="2" t="s">
        <v>2393</v>
      </c>
      <c r="D172" s="2" t="s">
        <v>2394</v>
      </c>
      <c r="F172" s="3" t="s">
        <v>58</v>
      </c>
      <c r="G172" s="3" t="s">
        <v>59</v>
      </c>
      <c r="H172" s="3" t="s">
        <v>58</v>
      </c>
      <c r="I172" s="3" t="s">
        <v>58</v>
      </c>
      <c r="J172" s="3" t="s">
        <v>60</v>
      </c>
      <c r="K172" s="2" t="s">
        <v>2395</v>
      </c>
      <c r="L172" s="2" t="s">
        <v>2369</v>
      </c>
      <c r="M172" s="3" t="s">
        <v>247</v>
      </c>
      <c r="O172" s="3" t="s">
        <v>64</v>
      </c>
      <c r="P172" s="3" t="s">
        <v>2370</v>
      </c>
      <c r="R172" s="3" t="s">
        <v>1531</v>
      </c>
      <c r="S172" s="4">
        <v>2</v>
      </c>
      <c r="T172" s="4">
        <v>2</v>
      </c>
      <c r="U172" s="5" t="s">
        <v>2396</v>
      </c>
      <c r="V172" s="5" t="s">
        <v>2396</v>
      </c>
      <c r="W172" s="5" t="s">
        <v>2201</v>
      </c>
      <c r="X172" s="5" t="s">
        <v>2201</v>
      </c>
      <c r="Y172" s="4">
        <v>445</v>
      </c>
      <c r="Z172" s="4">
        <v>378</v>
      </c>
      <c r="AA172" s="4">
        <v>385</v>
      </c>
      <c r="AB172" s="4">
        <v>2</v>
      </c>
      <c r="AC172" s="4">
        <v>2</v>
      </c>
      <c r="AD172" s="4">
        <v>12</v>
      </c>
      <c r="AE172" s="4">
        <v>12</v>
      </c>
      <c r="AF172" s="4">
        <v>3</v>
      </c>
      <c r="AG172" s="4">
        <v>3</v>
      </c>
      <c r="AH172" s="4">
        <v>4</v>
      </c>
      <c r="AI172" s="4">
        <v>4</v>
      </c>
      <c r="AJ172" s="4">
        <v>7</v>
      </c>
      <c r="AK172" s="4">
        <v>7</v>
      </c>
      <c r="AL172" s="4">
        <v>1</v>
      </c>
      <c r="AM172" s="4">
        <v>1</v>
      </c>
      <c r="AN172" s="4">
        <v>0</v>
      </c>
      <c r="AO172" s="4">
        <v>0</v>
      </c>
      <c r="AP172" s="3" t="s">
        <v>58</v>
      </c>
      <c r="AQ172" s="3" t="s">
        <v>68</v>
      </c>
      <c r="AR172" s="6" t="str">
        <f>HYPERLINK("http://catalog.hathitrust.org/Record/000927965","HathiTrust Record")</f>
        <v>HathiTrust Record</v>
      </c>
      <c r="AS172" s="6" t="str">
        <f>HYPERLINK("https://creighton-primo.hosted.exlibrisgroup.com/primo-explore/search?tab=default_tab&amp;search_scope=EVERYTHING&amp;vid=01CRU&amp;lang=en_US&amp;offset=0&amp;query=any,contains,991001284529702656","Catalog Record")</f>
        <v>Catalog Record</v>
      </c>
      <c r="AT172" s="6" t="str">
        <f>HYPERLINK("http://www.worldcat.org/oclc/17952798","WorldCat Record")</f>
        <v>WorldCat Record</v>
      </c>
      <c r="AU172" s="3" t="s">
        <v>2397</v>
      </c>
      <c r="AV172" s="3" t="s">
        <v>2398</v>
      </c>
      <c r="AW172" s="3" t="s">
        <v>2399</v>
      </c>
      <c r="AX172" s="3" t="s">
        <v>2399</v>
      </c>
      <c r="AY172" s="3" t="s">
        <v>2400</v>
      </c>
      <c r="AZ172" s="3" t="s">
        <v>73</v>
      </c>
      <c r="BB172" s="3" t="s">
        <v>2401</v>
      </c>
      <c r="BC172" s="3" t="s">
        <v>2402</v>
      </c>
      <c r="BD172" s="3" t="s">
        <v>2403</v>
      </c>
    </row>
    <row r="173" spans="1:56" ht="38.25" customHeight="1" x14ac:dyDescent="0.25">
      <c r="A173" s="7" t="s">
        <v>58</v>
      </c>
      <c r="B173" s="2" t="s">
        <v>2404</v>
      </c>
      <c r="C173" s="2" t="s">
        <v>2405</v>
      </c>
      <c r="D173" s="2" t="s">
        <v>2406</v>
      </c>
      <c r="F173" s="3" t="s">
        <v>58</v>
      </c>
      <c r="G173" s="3" t="s">
        <v>59</v>
      </c>
      <c r="H173" s="3" t="s">
        <v>58</v>
      </c>
      <c r="I173" s="3" t="s">
        <v>58</v>
      </c>
      <c r="J173" s="3" t="s">
        <v>60</v>
      </c>
      <c r="K173" s="2" t="s">
        <v>2407</v>
      </c>
      <c r="L173" s="2" t="s">
        <v>2408</v>
      </c>
      <c r="M173" s="3" t="s">
        <v>206</v>
      </c>
      <c r="O173" s="3" t="s">
        <v>64</v>
      </c>
      <c r="P173" s="3" t="s">
        <v>1627</v>
      </c>
      <c r="Q173" s="2" t="s">
        <v>2409</v>
      </c>
      <c r="R173" s="3" t="s">
        <v>1531</v>
      </c>
      <c r="S173" s="4">
        <v>3</v>
      </c>
      <c r="T173" s="4">
        <v>3</v>
      </c>
      <c r="U173" s="5" t="s">
        <v>2410</v>
      </c>
      <c r="V173" s="5" t="s">
        <v>2410</v>
      </c>
      <c r="W173" s="5" t="s">
        <v>1997</v>
      </c>
      <c r="X173" s="5" t="s">
        <v>1997</v>
      </c>
      <c r="Y173" s="4">
        <v>431</v>
      </c>
      <c r="Z173" s="4">
        <v>343</v>
      </c>
      <c r="AA173" s="4">
        <v>345</v>
      </c>
      <c r="AB173" s="4">
        <v>6</v>
      </c>
      <c r="AC173" s="4">
        <v>6</v>
      </c>
      <c r="AD173" s="4">
        <v>22</v>
      </c>
      <c r="AE173" s="4">
        <v>22</v>
      </c>
      <c r="AF173" s="4">
        <v>4</v>
      </c>
      <c r="AG173" s="4">
        <v>4</v>
      </c>
      <c r="AH173" s="4">
        <v>3</v>
      </c>
      <c r="AI173" s="4">
        <v>3</v>
      </c>
      <c r="AJ173" s="4">
        <v>9</v>
      </c>
      <c r="AK173" s="4">
        <v>9</v>
      </c>
      <c r="AL173" s="4">
        <v>4</v>
      </c>
      <c r="AM173" s="4">
        <v>4</v>
      </c>
      <c r="AN173" s="4">
        <v>5</v>
      </c>
      <c r="AO173" s="4">
        <v>5</v>
      </c>
      <c r="AP173" s="3" t="s">
        <v>58</v>
      </c>
      <c r="AQ173" s="3" t="s">
        <v>68</v>
      </c>
      <c r="AR173" s="6" t="str">
        <f>HYPERLINK("http://catalog.hathitrust.org/Record/010666313","HathiTrust Record")</f>
        <v>HathiTrust Record</v>
      </c>
      <c r="AS173" s="6" t="str">
        <f>HYPERLINK("https://creighton-primo.hosted.exlibrisgroup.com/primo-explore/search?tab=default_tab&amp;search_scope=EVERYTHING&amp;vid=01CRU&amp;lang=en_US&amp;offset=0&amp;query=any,contains,991002783829702656","Catalog Record")</f>
        <v>Catalog Record</v>
      </c>
      <c r="AT173" s="6" t="str">
        <f>HYPERLINK("http://www.worldcat.org/oclc/441034","WorldCat Record")</f>
        <v>WorldCat Record</v>
      </c>
      <c r="AU173" s="3" t="s">
        <v>2411</v>
      </c>
      <c r="AV173" s="3" t="s">
        <v>2412</v>
      </c>
      <c r="AW173" s="3" t="s">
        <v>2413</v>
      </c>
      <c r="AX173" s="3" t="s">
        <v>2413</v>
      </c>
      <c r="AY173" s="3" t="s">
        <v>2414</v>
      </c>
      <c r="AZ173" s="3" t="s">
        <v>73</v>
      </c>
      <c r="BC173" s="3" t="s">
        <v>2415</v>
      </c>
      <c r="BD173" s="3" t="s">
        <v>2416</v>
      </c>
    </row>
    <row r="174" spans="1:56" ht="38.25" customHeight="1" x14ac:dyDescent="0.25">
      <c r="A174" s="7" t="s">
        <v>58</v>
      </c>
      <c r="B174" s="2" t="s">
        <v>2417</v>
      </c>
      <c r="C174" s="2" t="s">
        <v>2418</v>
      </c>
      <c r="D174" s="2" t="s">
        <v>2419</v>
      </c>
      <c r="F174" s="3" t="s">
        <v>58</v>
      </c>
      <c r="G174" s="3" t="s">
        <v>59</v>
      </c>
      <c r="H174" s="3" t="s">
        <v>58</v>
      </c>
      <c r="I174" s="3" t="s">
        <v>58</v>
      </c>
      <c r="J174" s="3" t="s">
        <v>60</v>
      </c>
      <c r="K174" s="2" t="s">
        <v>2420</v>
      </c>
      <c r="L174" s="2" t="s">
        <v>2421</v>
      </c>
      <c r="M174" s="3" t="s">
        <v>338</v>
      </c>
      <c r="O174" s="3" t="s">
        <v>64</v>
      </c>
      <c r="P174" s="3" t="s">
        <v>65</v>
      </c>
      <c r="R174" s="3" t="s">
        <v>1531</v>
      </c>
      <c r="S174" s="4">
        <v>0</v>
      </c>
      <c r="T174" s="4">
        <v>0</v>
      </c>
      <c r="U174" s="5" t="s">
        <v>2422</v>
      </c>
      <c r="V174" s="5" t="s">
        <v>2422</v>
      </c>
      <c r="W174" s="5" t="s">
        <v>1997</v>
      </c>
      <c r="X174" s="5" t="s">
        <v>1997</v>
      </c>
      <c r="Y174" s="4">
        <v>502</v>
      </c>
      <c r="Z174" s="4">
        <v>460</v>
      </c>
      <c r="AA174" s="4">
        <v>514</v>
      </c>
      <c r="AB174" s="4">
        <v>6</v>
      </c>
      <c r="AC174" s="4">
        <v>6</v>
      </c>
      <c r="AD174" s="4">
        <v>23</v>
      </c>
      <c r="AE174" s="4">
        <v>28</v>
      </c>
      <c r="AF174" s="4">
        <v>7</v>
      </c>
      <c r="AG174" s="4">
        <v>8</v>
      </c>
      <c r="AH174" s="4">
        <v>4</v>
      </c>
      <c r="AI174" s="4">
        <v>7</v>
      </c>
      <c r="AJ174" s="4">
        <v>8</v>
      </c>
      <c r="AK174" s="4">
        <v>10</v>
      </c>
      <c r="AL174" s="4">
        <v>5</v>
      </c>
      <c r="AM174" s="4">
        <v>5</v>
      </c>
      <c r="AN174" s="4">
        <v>1</v>
      </c>
      <c r="AO174" s="4">
        <v>1</v>
      </c>
      <c r="AP174" s="3" t="s">
        <v>58</v>
      </c>
      <c r="AQ174" s="3" t="s">
        <v>58</v>
      </c>
      <c r="AS174" s="6" t="str">
        <f>HYPERLINK("https://creighton-primo.hosted.exlibrisgroup.com/primo-explore/search?tab=default_tab&amp;search_scope=EVERYTHING&amp;vid=01CRU&amp;lang=en_US&amp;offset=0&amp;query=any,contains,991000129799702656","Catalog Record")</f>
        <v>Catalog Record</v>
      </c>
      <c r="AT174" s="6" t="str">
        <f>HYPERLINK("http://www.worldcat.org/oclc/53634","WorldCat Record")</f>
        <v>WorldCat Record</v>
      </c>
      <c r="AU174" s="3" t="s">
        <v>2423</v>
      </c>
      <c r="AV174" s="3" t="s">
        <v>2424</v>
      </c>
      <c r="AW174" s="3" t="s">
        <v>2425</v>
      </c>
      <c r="AX174" s="3" t="s">
        <v>2425</v>
      </c>
      <c r="AY174" s="3" t="s">
        <v>2426</v>
      </c>
      <c r="AZ174" s="3" t="s">
        <v>73</v>
      </c>
      <c r="BC174" s="3" t="s">
        <v>2427</v>
      </c>
      <c r="BD174" s="3" t="s">
        <v>2428</v>
      </c>
    </row>
    <row r="175" spans="1:56" ht="38.25" customHeight="1" x14ac:dyDescent="0.25">
      <c r="A175" s="7" t="s">
        <v>58</v>
      </c>
      <c r="B175" s="2" t="s">
        <v>2429</v>
      </c>
      <c r="C175" s="2" t="s">
        <v>2430</v>
      </c>
      <c r="D175" s="2" t="s">
        <v>2431</v>
      </c>
      <c r="F175" s="3" t="s">
        <v>58</v>
      </c>
      <c r="G175" s="3" t="s">
        <v>59</v>
      </c>
      <c r="H175" s="3" t="s">
        <v>58</v>
      </c>
      <c r="I175" s="3" t="s">
        <v>58</v>
      </c>
      <c r="J175" s="3" t="s">
        <v>60</v>
      </c>
      <c r="L175" s="2" t="s">
        <v>2432</v>
      </c>
      <c r="M175" s="3" t="s">
        <v>2433</v>
      </c>
      <c r="O175" s="3" t="s">
        <v>64</v>
      </c>
      <c r="P175" s="3" t="s">
        <v>130</v>
      </c>
      <c r="R175" s="3" t="s">
        <v>1531</v>
      </c>
      <c r="S175" s="4">
        <v>1</v>
      </c>
      <c r="T175" s="4">
        <v>1</v>
      </c>
      <c r="U175" s="5" t="s">
        <v>2434</v>
      </c>
      <c r="V175" s="5" t="s">
        <v>2434</v>
      </c>
      <c r="W175" s="5" t="s">
        <v>2435</v>
      </c>
      <c r="X175" s="5" t="s">
        <v>2435</v>
      </c>
      <c r="Y175" s="4">
        <v>233</v>
      </c>
      <c r="Z175" s="4">
        <v>182</v>
      </c>
      <c r="AA175" s="4">
        <v>205</v>
      </c>
      <c r="AB175" s="4">
        <v>3</v>
      </c>
      <c r="AC175" s="4">
        <v>3</v>
      </c>
      <c r="AD175" s="4">
        <v>8</v>
      </c>
      <c r="AE175" s="4">
        <v>8</v>
      </c>
      <c r="AF175" s="4">
        <v>0</v>
      </c>
      <c r="AG175" s="4">
        <v>0</v>
      </c>
      <c r="AH175" s="4">
        <v>2</v>
      </c>
      <c r="AI175" s="4">
        <v>2</v>
      </c>
      <c r="AJ175" s="4">
        <v>5</v>
      </c>
      <c r="AK175" s="4">
        <v>5</v>
      </c>
      <c r="AL175" s="4">
        <v>2</v>
      </c>
      <c r="AM175" s="4">
        <v>2</v>
      </c>
      <c r="AN175" s="4">
        <v>1</v>
      </c>
      <c r="AO175" s="4">
        <v>1</v>
      </c>
      <c r="AP175" s="3" t="s">
        <v>58</v>
      </c>
      <c r="AQ175" s="3" t="s">
        <v>68</v>
      </c>
      <c r="AR175" s="6" t="str">
        <f>HYPERLINK("http://catalog.hathitrust.org/Record/000831644","HathiTrust Record")</f>
        <v>HathiTrust Record</v>
      </c>
      <c r="AS175" s="6" t="str">
        <f>HYPERLINK("https://creighton-primo.hosted.exlibrisgroup.com/primo-explore/search?tab=default_tab&amp;search_scope=EVERYTHING&amp;vid=01CRU&amp;lang=en_US&amp;offset=0&amp;query=any,contains,991000971609702656","Catalog Record")</f>
        <v>Catalog Record</v>
      </c>
      <c r="AT175" s="6" t="str">
        <f>HYPERLINK("http://www.worldcat.org/oclc/14964445","WorldCat Record")</f>
        <v>WorldCat Record</v>
      </c>
      <c r="AU175" s="3" t="s">
        <v>2436</v>
      </c>
      <c r="AV175" s="3" t="s">
        <v>2437</v>
      </c>
      <c r="AW175" s="3" t="s">
        <v>2438</v>
      </c>
      <c r="AX175" s="3" t="s">
        <v>2438</v>
      </c>
      <c r="AY175" s="3" t="s">
        <v>2439</v>
      </c>
      <c r="AZ175" s="3" t="s">
        <v>73</v>
      </c>
      <c r="BB175" s="3" t="s">
        <v>2440</v>
      </c>
      <c r="BC175" s="3" t="s">
        <v>2441</v>
      </c>
      <c r="BD175" s="3" t="s">
        <v>2442</v>
      </c>
    </row>
    <row r="176" spans="1:56" ht="38.25" customHeight="1" x14ac:dyDescent="0.25">
      <c r="A176" s="7" t="s">
        <v>58</v>
      </c>
      <c r="B176" s="2" t="s">
        <v>2443</v>
      </c>
      <c r="C176" s="2" t="s">
        <v>2444</v>
      </c>
      <c r="D176" s="2" t="s">
        <v>2445</v>
      </c>
      <c r="F176" s="3" t="s">
        <v>58</v>
      </c>
      <c r="G176" s="3" t="s">
        <v>59</v>
      </c>
      <c r="H176" s="3" t="s">
        <v>58</v>
      </c>
      <c r="I176" s="3" t="s">
        <v>58</v>
      </c>
      <c r="J176" s="3" t="s">
        <v>60</v>
      </c>
      <c r="K176" s="2" t="s">
        <v>2446</v>
      </c>
      <c r="L176" s="2" t="s">
        <v>2447</v>
      </c>
      <c r="M176" s="3" t="s">
        <v>523</v>
      </c>
      <c r="O176" s="3" t="s">
        <v>64</v>
      </c>
      <c r="P176" s="3" t="s">
        <v>580</v>
      </c>
      <c r="R176" s="3" t="s">
        <v>1531</v>
      </c>
      <c r="S176" s="4">
        <v>5</v>
      </c>
      <c r="T176" s="4">
        <v>5</v>
      </c>
      <c r="U176" s="5" t="s">
        <v>2448</v>
      </c>
      <c r="V176" s="5" t="s">
        <v>2448</v>
      </c>
      <c r="W176" s="5" t="s">
        <v>2449</v>
      </c>
      <c r="X176" s="5" t="s">
        <v>2449</v>
      </c>
      <c r="Y176" s="4">
        <v>332</v>
      </c>
      <c r="Z176" s="4">
        <v>224</v>
      </c>
      <c r="AA176" s="4">
        <v>224</v>
      </c>
      <c r="AB176" s="4">
        <v>3</v>
      </c>
      <c r="AC176" s="4">
        <v>3</v>
      </c>
      <c r="AD176" s="4">
        <v>14</v>
      </c>
      <c r="AE176" s="4">
        <v>14</v>
      </c>
      <c r="AF176" s="4">
        <v>4</v>
      </c>
      <c r="AG176" s="4">
        <v>4</v>
      </c>
      <c r="AH176" s="4">
        <v>5</v>
      </c>
      <c r="AI176" s="4">
        <v>5</v>
      </c>
      <c r="AJ176" s="4">
        <v>7</v>
      </c>
      <c r="AK176" s="4">
        <v>7</v>
      </c>
      <c r="AL176" s="4">
        <v>2</v>
      </c>
      <c r="AM176" s="4">
        <v>2</v>
      </c>
      <c r="AN176" s="4">
        <v>0</v>
      </c>
      <c r="AO176" s="4">
        <v>0</v>
      </c>
      <c r="AP176" s="3" t="s">
        <v>58</v>
      </c>
      <c r="AQ176" s="3" t="s">
        <v>58</v>
      </c>
      <c r="AS176" s="6" t="str">
        <f>HYPERLINK("https://creighton-primo.hosted.exlibrisgroup.com/primo-explore/search?tab=default_tab&amp;search_scope=EVERYTHING&amp;vid=01CRU&amp;lang=en_US&amp;offset=0&amp;query=any,contains,991001949389702656","Catalog Record")</f>
        <v>Catalog Record</v>
      </c>
      <c r="AT176" s="6" t="str">
        <f>HYPERLINK("http://www.worldcat.org/oclc/24630611","WorldCat Record")</f>
        <v>WorldCat Record</v>
      </c>
      <c r="AU176" s="3" t="s">
        <v>2450</v>
      </c>
      <c r="AV176" s="3" t="s">
        <v>2451</v>
      </c>
      <c r="AW176" s="3" t="s">
        <v>2452</v>
      </c>
      <c r="AX176" s="3" t="s">
        <v>2452</v>
      </c>
      <c r="AY176" s="3" t="s">
        <v>2453</v>
      </c>
      <c r="AZ176" s="3" t="s">
        <v>73</v>
      </c>
      <c r="BB176" s="3" t="s">
        <v>2454</v>
      </c>
      <c r="BC176" s="3" t="s">
        <v>2455</v>
      </c>
      <c r="BD176" s="3" t="s">
        <v>2456</v>
      </c>
    </row>
    <row r="177" spans="1:56" ht="38.25" customHeight="1" x14ac:dyDescent="0.25">
      <c r="A177" s="7" t="s">
        <v>58</v>
      </c>
      <c r="B177" s="2" t="s">
        <v>2457</v>
      </c>
      <c r="C177" s="2" t="s">
        <v>2458</v>
      </c>
      <c r="D177" s="2" t="s">
        <v>2459</v>
      </c>
      <c r="F177" s="3" t="s">
        <v>58</v>
      </c>
      <c r="G177" s="3" t="s">
        <v>59</v>
      </c>
      <c r="H177" s="3" t="s">
        <v>58</v>
      </c>
      <c r="I177" s="3" t="s">
        <v>58</v>
      </c>
      <c r="J177" s="3" t="s">
        <v>60</v>
      </c>
      <c r="K177" s="2" t="s">
        <v>2460</v>
      </c>
      <c r="L177" s="2" t="s">
        <v>2461</v>
      </c>
      <c r="M177" s="3" t="s">
        <v>1420</v>
      </c>
      <c r="N177" s="2" t="s">
        <v>992</v>
      </c>
      <c r="O177" s="3" t="s">
        <v>64</v>
      </c>
      <c r="P177" s="3" t="s">
        <v>83</v>
      </c>
      <c r="R177" s="3" t="s">
        <v>1531</v>
      </c>
      <c r="S177" s="4">
        <v>6</v>
      </c>
      <c r="T177" s="4">
        <v>6</v>
      </c>
      <c r="U177" s="5" t="s">
        <v>2462</v>
      </c>
      <c r="V177" s="5" t="s">
        <v>2462</v>
      </c>
      <c r="W177" s="5" t="s">
        <v>2463</v>
      </c>
      <c r="X177" s="5" t="s">
        <v>2463</v>
      </c>
      <c r="Y177" s="4">
        <v>279</v>
      </c>
      <c r="Z177" s="4">
        <v>225</v>
      </c>
      <c r="AA177" s="4">
        <v>1026</v>
      </c>
      <c r="AB177" s="4">
        <v>3</v>
      </c>
      <c r="AC177" s="4">
        <v>5</v>
      </c>
      <c r="AD177" s="4">
        <v>12</v>
      </c>
      <c r="AE177" s="4">
        <v>38</v>
      </c>
      <c r="AF177" s="4">
        <v>4</v>
      </c>
      <c r="AG177" s="4">
        <v>19</v>
      </c>
      <c r="AH177" s="4">
        <v>3</v>
      </c>
      <c r="AI177" s="4">
        <v>9</v>
      </c>
      <c r="AJ177" s="4">
        <v>8</v>
      </c>
      <c r="AK177" s="4">
        <v>17</v>
      </c>
      <c r="AL177" s="4">
        <v>2</v>
      </c>
      <c r="AM177" s="4">
        <v>4</v>
      </c>
      <c r="AN177" s="4">
        <v>0</v>
      </c>
      <c r="AO177" s="4">
        <v>0</v>
      </c>
      <c r="AP177" s="3" t="s">
        <v>58</v>
      </c>
      <c r="AQ177" s="3" t="s">
        <v>58</v>
      </c>
      <c r="AS177" s="6" t="str">
        <f>HYPERLINK("https://creighton-primo.hosted.exlibrisgroup.com/primo-explore/search?tab=default_tab&amp;search_scope=EVERYTHING&amp;vid=01CRU&amp;lang=en_US&amp;offset=0&amp;query=any,contains,991002549059702656","Catalog Record")</f>
        <v>Catalog Record</v>
      </c>
      <c r="AT177" s="6" t="str">
        <f>HYPERLINK("http://www.worldcat.org/oclc/33105073","WorldCat Record")</f>
        <v>WorldCat Record</v>
      </c>
      <c r="AU177" s="3" t="s">
        <v>2464</v>
      </c>
      <c r="AV177" s="3" t="s">
        <v>2465</v>
      </c>
      <c r="AW177" s="3" t="s">
        <v>2466</v>
      </c>
      <c r="AX177" s="3" t="s">
        <v>2466</v>
      </c>
      <c r="AY177" s="3" t="s">
        <v>2467</v>
      </c>
      <c r="AZ177" s="3" t="s">
        <v>73</v>
      </c>
      <c r="BB177" s="3" t="s">
        <v>2468</v>
      </c>
      <c r="BC177" s="3" t="s">
        <v>2469</v>
      </c>
      <c r="BD177" s="3" t="s">
        <v>2470</v>
      </c>
    </row>
    <row r="178" spans="1:56" ht="38.25" customHeight="1" x14ac:dyDescent="0.25">
      <c r="A178" s="7" t="s">
        <v>58</v>
      </c>
      <c r="B178" s="2" t="s">
        <v>2471</v>
      </c>
      <c r="C178" s="2" t="s">
        <v>2472</v>
      </c>
      <c r="D178" s="2" t="s">
        <v>2473</v>
      </c>
      <c r="F178" s="3" t="s">
        <v>58</v>
      </c>
      <c r="G178" s="3" t="s">
        <v>59</v>
      </c>
      <c r="H178" s="3" t="s">
        <v>58</v>
      </c>
      <c r="I178" s="3" t="s">
        <v>58</v>
      </c>
      <c r="J178" s="3" t="s">
        <v>60</v>
      </c>
      <c r="K178" s="2" t="s">
        <v>2474</v>
      </c>
      <c r="L178" s="2" t="s">
        <v>2475</v>
      </c>
      <c r="M178" s="3" t="s">
        <v>2433</v>
      </c>
      <c r="O178" s="3" t="s">
        <v>64</v>
      </c>
      <c r="P178" s="3" t="s">
        <v>130</v>
      </c>
      <c r="R178" s="3" t="s">
        <v>1531</v>
      </c>
      <c r="S178" s="4">
        <v>4</v>
      </c>
      <c r="T178" s="4">
        <v>4</v>
      </c>
      <c r="U178" s="5" t="s">
        <v>2476</v>
      </c>
      <c r="V178" s="5" t="s">
        <v>2476</v>
      </c>
      <c r="W178" s="5" t="s">
        <v>2477</v>
      </c>
      <c r="X178" s="5" t="s">
        <v>2477</v>
      </c>
      <c r="Y178" s="4">
        <v>359</v>
      </c>
      <c r="Z178" s="4">
        <v>293</v>
      </c>
      <c r="AA178" s="4">
        <v>317</v>
      </c>
      <c r="AB178" s="4">
        <v>3</v>
      </c>
      <c r="AC178" s="4">
        <v>3</v>
      </c>
      <c r="AD178" s="4">
        <v>16</v>
      </c>
      <c r="AE178" s="4">
        <v>16</v>
      </c>
      <c r="AF178" s="4">
        <v>4</v>
      </c>
      <c r="AG178" s="4">
        <v>4</v>
      </c>
      <c r="AH178" s="4">
        <v>5</v>
      </c>
      <c r="AI178" s="4">
        <v>5</v>
      </c>
      <c r="AJ178" s="4">
        <v>9</v>
      </c>
      <c r="AK178" s="4">
        <v>9</v>
      </c>
      <c r="AL178" s="4">
        <v>2</v>
      </c>
      <c r="AM178" s="4">
        <v>2</v>
      </c>
      <c r="AN178" s="4">
        <v>0</v>
      </c>
      <c r="AO178" s="4">
        <v>0</v>
      </c>
      <c r="AP178" s="3" t="s">
        <v>58</v>
      </c>
      <c r="AQ178" s="3" t="s">
        <v>68</v>
      </c>
      <c r="AR178" s="6" t="str">
        <f>HYPERLINK("http://catalog.hathitrust.org/Record/000858910","HathiTrust Record")</f>
        <v>HathiTrust Record</v>
      </c>
      <c r="AS178" s="6" t="str">
        <f>HYPERLINK("https://creighton-primo.hosted.exlibrisgroup.com/primo-explore/search?tab=default_tab&amp;search_scope=EVERYTHING&amp;vid=01CRU&amp;lang=en_US&amp;offset=0&amp;query=any,contains,991001000869702656","Catalog Record")</f>
        <v>Catalog Record</v>
      </c>
      <c r="AT178" s="6" t="str">
        <f>HYPERLINK("http://www.worldcat.org/oclc/15198249","WorldCat Record")</f>
        <v>WorldCat Record</v>
      </c>
      <c r="AU178" s="3" t="s">
        <v>2478</v>
      </c>
      <c r="AV178" s="3" t="s">
        <v>2479</v>
      </c>
      <c r="AW178" s="3" t="s">
        <v>2480</v>
      </c>
      <c r="AX178" s="3" t="s">
        <v>2480</v>
      </c>
      <c r="AY178" s="3" t="s">
        <v>2481</v>
      </c>
      <c r="AZ178" s="3" t="s">
        <v>73</v>
      </c>
      <c r="BB178" s="3" t="s">
        <v>2482</v>
      </c>
      <c r="BC178" s="3" t="s">
        <v>2483</v>
      </c>
      <c r="BD178" s="3" t="s">
        <v>2484</v>
      </c>
    </row>
    <row r="179" spans="1:56" ht="38.25" customHeight="1" x14ac:dyDescent="0.25">
      <c r="A179" s="7" t="s">
        <v>58</v>
      </c>
      <c r="B179" s="2" t="s">
        <v>2485</v>
      </c>
      <c r="C179" s="2" t="s">
        <v>2486</v>
      </c>
      <c r="D179" s="2" t="s">
        <v>2487</v>
      </c>
      <c r="F179" s="3" t="s">
        <v>58</v>
      </c>
      <c r="G179" s="3" t="s">
        <v>59</v>
      </c>
      <c r="H179" s="3" t="s">
        <v>58</v>
      </c>
      <c r="I179" s="3" t="s">
        <v>68</v>
      </c>
      <c r="J179" s="3" t="s">
        <v>60</v>
      </c>
      <c r="K179" s="2" t="s">
        <v>2488</v>
      </c>
      <c r="L179" s="2" t="s">
        <v>2489</v>
      </c>
      <c r="M179" s="3" t="s">
        <v>1036</v>
      </c>
      <c r="N179" s="2" t="s">
        <v>747</v>
      </c>
      <c r="O179" s="3" t="s">
        <v>64</v>
      </c>
      <c r="P179" s="3" t="s">
        <v>65</v>
      </c>
      <c r="R179" s="3" t="s">
        <v>1531</v>
      </c>
      <c r="S179" s="4">
        <v>10</v>
      </c>
      <c r="T179" s="4">
        <v>10</v>
      </c>
      <c r="U179" s="5" t="s">
        <v>2490</v>
      </c>
      <c r="V179" s="5" t="s">
        <v>2490</v>
      </c>
      <c r="W179" s="5" t="s">
        <v>2491</v>
      </c>
      <c r="X179" s="5" t="s">
        <v>2491</v>
      </c>
      <c r="Y179" s="4">
        <v>689</v>
      </c>
      <c r="Z179" s="4">
        <v>516</v>
      </c>
      <c r="AA179" s="4">
        <v>1214</v>
      </c>
      <c r="AB179" s="4">
        <v>5</v>
      </c>
      <c r="AC179" s="4">
        <v>8</v>
      </c>
      <c r="AD179" s="4">
        <v>25</v>
      </c>
      <c r="AE179" s="4">
        <v>59</v>
      </c>
      <c r="AF179" s="4">
        <v>6</v>
      </c>
      <c r="AG179" s="4">
        <v>20</v>
      </c>
      <c r="AH179" s="4">
        <v>4</v>
      </c>
      <c r="AI179" s="4">
        <v>9</v>
      </c>
      <c r="AJ179" s="4">
        <v>10</v>
      </c>
      <c r="AK179" s="4">
        <v>24</v>
      </c>
      <c r="AL179" s="4">
        <v>4</v>
      </c>
      <c r="AM179" s="4">
        <v>7</v>
      </c>
      <c r="AN179" s="4">
        <v>4</v>
      </c>
      <c r="AO179" s="4">
        <v>10</v>
      </c>
      <c r="AP179" s="3" t="s">
        <v>58</v>
      </c>
      <c r="AQ179" s="3" t="s">
        <v>68</v>
      </c>
      <c r="AR179" s="6" t="str">
        <f>HYPERLINK("http://catalog.hathitrust.org/Record/001153915","HathiTrust Record")</f>
        <v>HathiTrust Record</v>
      </c>
      <c r="AS179" s="6" t="str">
        <f>HYPERLINK("https://creighton-primo.hosted.exlibrisgroup.com/primo-explore/search?tab=default_tab&amp;search_scope=EVERYTHING&amp;vid=01CRU&amp;lang=en_US&amp;offset=0&amp;query=any,contains,991000868869702656","Catalog Record")</f>
        <v>Catalog Record</v>
      </c>
      <c r="AT179" s="6" t="str">
        <f>HYPERLINK("http://www.worldcat.org/oclc/151103","WorldCat Record")</f>
        <v>WorldCat Record</v>
      </c>
      <c r="AU179" s="3" t="s">
        <v>2492</v>
      </c>
      <c r="AV179" s="3" t="s">
        <v>2493</v>
      </c>
      <c r="AW179" s="3" t="s">
        <v>2494</v>
      </c>
      <c r="AX179" s="3" t="s">
        <v>2494</v>
      </c>
      <c r="AY179" s="3" t="s">
        <v>2495</v>
      </c>
      <c r="AZ179" s="3" t="s">
        <v>73</v>
      </c>
      <c r="BB179" s="3" t="s">
        <v>2496</v>
      </c>
      <c r="BC179" s="3" t="s">
        <v>2497</v>
      </c>
      <c r="BD179" s="3" t="s">
        <v>2498</v>
      </c>
    </row>
    <row r="180" spans="1:56" ht="38.25" customHeight="1" x14ac:dyDescent="0.25">
      <c r="A180" s="7" t="s">
        <v>58</v>
      </c>
      <c r="B180" s="2" t="s">
        <v>2499</v>
      </c>
      <c r="C180" s="2" t="s">
        <v>2500</v>
      </c>
      <c r="D180" s="2" t="s">
        <v>2501</v>
      </c>
      <c r="F180" s="3" t="s">
        <v>58</v>
      </c>
      <c r="G180" s="3" t="s">
        <v>59</v>
      </c>
      <c r="H180" s="3" t="s">
        <v>58</v>
      </c>
      <c r="I180" s="3" t="s">
        <v>58</v>
      </c>
      <c r="J180" s="3" t="s">
        <v>60</v>
      </c>
      <c r="K180" s="2" t="s">
        <v>2502</v>
      </c>
      <c r="L180" s="2" t="s">
        <v>2503</v>
      </c>
      <c r="M180" s="3" t="s">
        <v>1724</v>
      </c>
      <c r="O180" s="3" t="s">
        <v>64</v>
      </c>
      <c r="P180" s="3" t="s">
        <v>453</v>
      </c>
      <c r="Q180" s="2" t="s">
        <v>2504</v>
      </c>
      <c r="R180" s="3" t="s">
        <v>1531</v>
      </c>
      <c r="S180" s="4">
        <v>0</v>
      </c>
      <c r="T180" s="4">
        <v>0</v>
      </c>
      <c r="U180" s="5" t="s">
        <v>2505</v>
      </c>
      <c r="V180" s="5" t="s">
        <v>2505</v>
      </c>
      <c r="W180" s="5" t="s">
        <v>1997</v>
      </c>
      <c r="X180" s="5" t="s">
        <v>1997</v>
      </c>
      <c r="Y180" s="4">
        <v>430</v>
      </c>
      <c r="Z180" s="4">
        <v>349</v>
      </c>
      <c r="AA180" s="4">
        <v>596</v>
      </c>
      <c r="AB180" s="4">
        <v>3</v>
      </c>
      <c r="AC180" s="4">
        <v>3</v>
      </c>
      <c r="AD180" s="4">
        <v>16</v>
      </c>
      <c r="AE180" s="4">
        <v>26</v>
      </c>
      <c r="AF180" s="4">
        <v>3</v>
      </c>
      <c r="AG180" s="4">
        <v>6</v>
      </c>
      <c r="AH180" s="4">
        <v>2</v>
      </c>
      <c r="AI180" s="4">
        <v>6</v>
      </c>
      <c r="AJ180" s="4">
        <v>9</v>
      </c>
      <c r="AK180" s="4">
        <v>16</v>
      </c>
      <c r="AL180" s="4">
        <v>2</v>
      </c>
      <c r="AM180" s="4">
        <v>2</v>
      </c>
      <c r="AN180" s="4">
        <v>4</v>
      </c>
      <c r="AO180" s="4">
        <v>4</v>
      </c>
      <c r="AP180" s="3" t="s">
        <v>58</v>
      </c>
      <c r="AQ180" s="3" t="s">
        <v>58</v>
      </c>
      <c r="AS180" s="6" t="str">
        <f>HYPERLINK("https://creighton-primo.hosted.exlibrisgroup.com/primo-explore/search?tab=default_tab&amp;search_scope=EVERYTHING&amp;vid=01CRU&amp;lang=en_US&amp;offset=0&amp;query=any,contains,991003904439702656","Catalog Record")</f>
        <v>Catalog Record</v>
      </c>
      <c r="AT180" s="6" t="str">
        <f>HYPERLINK("http://www.worldcat.org/oclc/1833631","WorldCat Record")</f>
        <v>WorldCat Record</v>
      </c>
      <c r="AU180" s="3" t="s">
        <v>2506</v>
      </c>
      <c r="AV180" s="3" t="s">
        <v>2507</v>
      </c>
      <c r="AW180" s="3" t="s">
        <v>2508</v>
      </c>
      <c r="AX180" s="3" t="s">
        <v>2508</v>
      </c>
      <c r="AY180" s="3" t="s">
        <v>2509</v>
      </c>
      <c r="AZ180" s="3" t="s">
        <v>73</v>
      </c>
      <c r="BC180" s="3" t="s">
        <v>2510</v>
      </c>
      <c r="BD180" s="3" t="s">
        <v>2511</v>
      </c>
    </row>
    <row r="181" spans="1:56" ht="38.25" customHeight="1" x14ac:dyDescent="0.25">
      <c r="A181" s="7" t="s">
        <v>58</v>
      </c>
      <c r="B181" s="2" t="s">
        <v>2512</v>
      </c>
      <c r="C181" s="2" t="s">
        <v>2513</v>
      </c>
      <c r="D181" s="2" t="s">
        <v>2514</v>
      </c>
      <c r="F181" s="3" t="s">
        <v>58</v>
      </c>
      <c r="G181" s="3" t="s">
        <v>59</v>
      </c>
      <c r="H181" s="3" t="s">
        <v>58</v>
      </c>
      <c r="I181" s="3" t="s">
        <v>58</v>
      </c>
      <c r="J181" s="3" t="s">
        <v>60</v>
      </c>
      <c r="K181" s="2" t="s">
        <v>2515</v>
      </c>
      <c r="L181" s="2" t="s">
        <v>2516</v>
      </c>
      <c r="M181" s="3" t="s">
        <v>351</v>
      </c>
      <c r="O181" s="3" t="s">
        <v>64</v>
      </c>
      <c r="P181" s="3" t="s">
        <v>65</v>
      </c>
      <c r="Q181" s="2" t="s">
        <v>2517</v>
      </c>
      <c r="R181" s="3" t="s">
        <v>1531</v>
      </c>
      <c r="S181" s="4">
        <v>2</v>
      </c>
      <c r="T181" s="4">
        <v>2</v>
      </c>
      <c r="U181" s="5" t="s">
        <v>2518</v>
      </c>
      <c r="V181" s="5" t="s">
        <v>2518</v>
      </c>
      <c r="W181" s="5" t="s">
        <v>978</v>
      </c>
      <c r="X181" s="5" t="s">
        <v>978</v>
      </c>
      <c r="Y181" s="4">
        <v>510</v>
      </c>
      <c r="Z181" s="4">
        <v>395</v>
      </c>
      <c r="AA181" s="4">
        <v>410</v>
      </c>
      <c r="AB181" s="4">
        <v>4</v>
      </c>
      <c r="AC181" s="4">
        <v>4</v>
      </c>
      <c r="AD181" s="4">
        <v>17</v>
      </c>
      <c r="AE181" s="4">
        <v>18</v>
      </c>
      <c r="AF181" s="4">
        <v>3</v>
      </c>
      <c r="AG181" s="4">
        <v>3</v>
      </c>
      <c r="AH181" s="4">
        <v>4</v>
      </c>
      <c r="AI181" s="4">
        <v>5</v>
      </c>
      <c r="AJ181" s="4">
        <v>10</v>
      </c>
      <c r="AK181" s="4">
        <v>11</v>
      </c>
      <c r="AL181" s="4">
        <v>3</v>
      </c>
      <c r="AM181" s="4">
        <v>3</v>
      </c>
      <c r="AN181" s="4">
        <v>1</v>
      </c>
      <c r="AO181" s="4">
        <v>1</v>
      </c>
      <c r="AP181" s="3" t="s">
        <v>58</v>
      </c>
      <c r="AQ181" s="3" t="s">
        <v>58</v>
      </c>
      <c r="AS181" s="6" t="str">
        <f>HYPERLINK("https://creighton-primo.hosted.exlibrisgroup.com/primo-explore/search?tab=default_tab&amp;search_scope=EVERYTHING&amp;vid=01CRU&amp;lang=en_US&amp;offset=0&amp;query=any,contains,991004769749702656","Catalog Record")</f>
        <v>Catalog Record</v>
      </c>
      <c r="AT181" s="6" t="str">
        <f>HYPERLINK("http://www.worldcat.org/oclc/5051692","WorldCat Record")</f>
        <v>WorldCat Record</v>
      </c>
      <c r="AU181" s="3" t="s">
        <v>2519</v>
      </c>
      <c r="AV181" s="3" t="s">
        <v>2520</v>
      </c>
      <c r="AW181" s="3" t="s">
        <v>2521</v>
      </c>
      <c r="AX181" s="3" t="s">
        <v>2521</v>
      </c>
      <c r="AY181" s="3" t="s">
        <v>2522</v>
      </c>
      <c r="AZ181" s="3" t="s">
        <v>73</v>
      </c>
      <c r="BB181" s="3" t="s">
        <v>2523</v>
      </c>
      <c r="BC181" s="3" t="s">
        <v>2524</v>
      </c>
      <c r="BD181" s="3" t="s">
        <v>2525</v>
      </c>
    </row>
    <row r="182" spans="1:56" ht="38.25" customHeight="1" x14ac:dyDescent="0.25">
      <c r="A182" s="7" t="s">
        <v>58</v>
      </c>
      <c r="B182" s="2" t="s">
        <v>2526</v>
      </c>
      <c r="C182" s="2" t="s">
        <v>2527</v>
      </c>
      <c r="D182" s="2" t="s">
        <v>2528</v>
      </c>
      <c r="F182" s="3" t="s">
        <v>58</v>
      </c>
      <c r="G182" s="3" t="s">
        <v>59</v>
      </c>
      <c r="H182" s="3" t="s">
        <v>58</v>
      </c>
      <c r="I182" s="3" t="s">
        <v>58</v>
      </c>
      <c r="J182" s="3" t="s">
        <v>60</v>
      </c>
      <c r="L182" s="2" t="s">
        <v>2529</v>
      </c>
      <c r="M182" s="3" t="s">
        <v>566</v>
      </c>
      <c r="O182" s="3" t="s">
        <v>64</v>
      </c>
      <c r="P182" s="3" t="s">
        <v>114</v>
      </c>
      <c r="R182" s="3" t="s">
        <v>1531</v>
      </c>
      <c r="S182" s="4">
        <v>5</v>
      </c>
      <c r="T182" s="4">
        <v>5</v>
      </c>
      <c r="U182" s="5" t="s">
        <v>2530</v>
      </c>
      <c r="V182" s="5" t="s">
        <v>2530</v>
      </c>
      <c r="W182" s="5" t="s">
        <v>2200</v>
      </c>
      <c r="X182" s="5" t="s">
        <v>2200</v>
      </c>
      <c r="Y182" s="4">
        <v>443</v>
      </c>
      <c r="Z182" s="4">
        <v>275</v>
      </c>
      <c r="AA182" s="4">
        <v>283</v>
      </c>
      <c r="AB182" s="4">
        <v>4</v>
      </c>
      <c r="AC182" s="4">
        <v>4</v>
      </c>
      <c r="AD182" s="4">
        <v>21</v>
      </c>
      <c r="AE182" s="4">
        <v>21</v>
      </c>
      <c r="AF182" s="4">
        <v>8</v>
      </c>
      <c r="AG182" s="4">
        <v>8</v>
      </c>
      <c r="AH182" s="4">
        <v>5</v>
      </c>
      <c r="AI182" s="4">
        <v>5</v>
      </c>
      <c r="AJ182" s="4">
        <v>10</v>
      </c>
      <c r="AK182" s="4">
        <v>10</v>
      </c>
      <c r="AL182" s="4">
        <v>3</v>
      </c>
      <c r="AM182" s="4">
        <v>3</v>
      </c>
      <c r="AN182" s="4">
        <v>1</v>
      </c>
      <c r="AO182" s="4">
        <v>1</v>
      </c>
      <c r="AP182" s="3" t="s">
        <v>58</v>
      </c>
      <c r="AQ182" s="3" t="s">
        <v>58</v>
      </c>
      <c r="AS182" s="6" t="str">
        <f>HYPERLINK("https://creighton-primo.hosted.exlibrisgroup.com/primo-explore/search?tab=default_tab&amp;search_scope=EVERYTHING&amp;vid=01CRU&amp;lang=en_US&amp;offset=0&amp;query=any,contains,991003015909702656","Catalog Record")</f>
        <v>Catalog Record</v>
      </c>
      <c r="AT182" s="6" t="str">
        <f>HYPERLINK("http://www.worldcat.org/oclc/41018872","WorldCat Record")</f>
        <v>WorldCat Record</v>
      </c>
      <c r="AU182" s="3" t="s">
        <v>2531</v>
      </c>
      <c r="AV182" s="3" t="s">
        <v>2532</v>
      </c>
      <c r="AW182" s="3" t="s">
        <v>2533</v>
      </c>
      <c r="AX182" s="3" t="s">
        <v>2533</v>
      </c>
      <c r="AY182" s="3" t="s">
        <v>2534</v>
      </c>
      <c r="AZ182" s="3" t="s">
        <v>73</v>
      </c>
      <c r="BB182" s="3" t="s">
        <v>2535</v>
      </c>
      <c r="BC182" s="3" t="s">
        <v>2536</v>
      </c>
      <c r="BD182" s="3" t="s">
        <v>2537</v>
      </c>
    </row>
    <row r="183" spans="1:56" ht="38.25" customHeight="1" x14ac:dyDescent="0.25">
      <c r="A183" s="7" t="s">
        <v>58</v>
      </c>
      <c r="B183" s="2" t="s">
        <v>2538</v>
      </c>
      <c r="C183" s="2" t="s">
        <v>2539</v>
      </c>
      <c r="D183" s="2" t="s">
        <v>2540</v>
      </c>
      <c r="F183" s="3" t="s">
        <v>58</v>
      </c>
      <c r="G183" s="3" t="s">
        <v>59</v>
      </c>
      <c r="H183" s="3" t="s">
        <v>58</v>
      </c>
      <c r="I183" s="3" t="s">
        <v>58</v>
      </c>
      <c r="J183" s="3" t="s">
        <v>60</v>
      </c>
      <c r="K183" s="2" t="s">
        <v>2541</v>
      </c>
      <c r="L183" s="2" t="s">
        <v>2542</v>
      </c>
      <c r="M183" s="3" t="s">
        <v>177</v>
      </c>
      <c r="O183" s="3" t="s">
        <v>64</v>
      </c>
      <c r="P183" s="3" t="s">
        <v>65</v>
      </c>
      <c r="R183" s="3" t="s">
        <v>1531</v>
      </c>
      <c r="S183" s="4">
        <v>7</v>
      </c>
      <c r="T183" s="4">
        <v>7</v>
      </c>
      <c r="U183" s="5" t="s">
        <v>1423</v>
      </c>
      <c r="V183" s="5" t="s">
        <v>1423</v>
      </c>
      <c r="W183" s="5" t="s">
        <v>2543</v>
      </c>
      <c r="X183" s="5" t="s">
        <v>2543</v>
      </c>
      <c r="Y183" s="4">
        <v>254</v>
      </c>
      <c r="Z183" s="4">
        <v>219</v>
      </c>
      <c r="AA183" s="4">
        <v>272</v>
      </c>
      <c r="AB183" s="4">
        <v>2</v>
      </c>
      <c r="AC183" s="4">
        <v>2</v>
      </c>
      <c r="AD183" s="4">
        <v>13</v>
      </c>
      <c r="AE183" s="4">
        <v>13</v>
      </c>
      <c r="AF183" s="4">
        <v>5</v>
      </c>
      <c r="AG183" s="4">
        <v>5</v>
      </c>
      <c r="AH183" s="4">
        <v>3</v>
      </c>
      <c r="AI183" s="4">
        <v>3</v>
      </c>
      <c r="AJ183" s="4">
        <v>6</v>
      </c>
      <c r="AK183" s="4">
        <v>6</v>
      </c>
      <c r="AL183" s="4">
        <v>1</v>
      </c>
      <c r="AM183" s="4">
        <v>1</v>
      </c>
      <c r="AN183" s="4">
        <v>0</v>
      </c>
      <c r="AO183" s="4">
        <v>0</v>
      </c>
      <c r="AP183" s="3" t="s">
        <v>58</v>
      </c>
      <c r="AQ183" s="3" t="s">
        <v>68</v>
      </c>
      <c r="AR183" s="6" t="str">
        <f>HYPERLINK("http://catalog.hathitrust.org/Record/006203013","HathiTrust Record")</f>
        <v>HathiTrust Record</v>
      </c>
      <c r="AS183" s="6" t="str">
        <f>HYPERLINK("https://creighton-primo.hosted.exlibrisgroup.com/primo-explore/search?tab=default_tab&amp;search_scope=EVERYTHING&amp;vid=01CRU&amp;lang=en_US&amp;offset=0&amp;query=any,contains,991001793089702656","Catalog Record")</f>
        <v>Catalog Record</v>
      </c>
      <c r="AT183" s="6" t="str">
        <f>HYPERLINK("http://www.worldcat.org/oclc/22574213","WorldCat Record")</f>
        <v>WorldCat Record</v>
      </c>
      <c r="AU183" s="3" t="s">
        <v>2544</v>
      </c>
      <c r="AV183" s="3" t="s">
        <v>2545</v>
      </c>
      <c r="AW183" s="3" t="s">
        <v>2546</v>
      </c>
      <c r="AX183" s="3" t="s">
        <v>2546</v>
      </c>
      <c r="AY183" s="3" t="s">
        <v>2547</v>
      </c>
      <c r="AZ183" s="3" t="s">
        <v>73</v>
      </c>
      <c r="BB183" s="3" t="s">
        <v>2548</v>
      </c>
      <c r="BC183" s="3" t="s">
        <v>2549</v>
      </c>
      <c r="BD183" s="3" t="s">
        <v>2550</v>
      </c>
    </row>
    <row r="184" spans="1:56" ht="38.25" customHeight="1" x14ac:dyDescent="0.25">
      <c r="A184" s="7" t="s">
        <v>58</v>
      </c>
      <c r="B184" s="2" t="s">
        <v>2551</v>
      </c>
      <c r="C184" s="2" t="s">
        <v>2552</v>
      </c>
      <c r="D184" s="2" t="s">
        <v>2553</v>
      </c>
      <c r="F184" s="3" t="s">
        <v>58</v>
      </c>
      <c r="G184" s="3" t="s">
        <v>59</v>
      </c>
      <c r="H184" s="3" t="s">
        <v>58</v>
      </c>
      <c r="I184" s="3" t="s">
        <v>58</v>
      </c>
      <c r="J184" s="3" t="s">
        <v>60</v>
      </c>
      <c r="L184" s="2" t="s">
        <v>2554</v>
      </c>
      <c r="M184" s="3" t="s">
        <v>2555</v>
      </c>
      <c r="O184" s="3" t="s">
        <v>64</v>
      </c>
      <c r="P184" s="3" t="s">
        <v>2556</v>
      </c>
      <c r="R184" s="3" t="s">
        <v>1531</v>
      </c>
      <c r="S184" s="4">
        <v>1</v>
      </c>
      <c r="T184" s="4">
        <v>1</v>
      </c>
      <c r="U184" s="5" t="s">
        <v>2557</v>
      </c>
      <c r="V184" s="5" t="s">
        <v>2557</v>
      </c>
      <c r="W184" s="5" t="s">
        <v>2558</v>
      </c>
      <c r="X184" s="5" t="s">
        <v>2558</v>
      </c>
      <c r="Y184" s="4">
        <v>379</v>
      </c>
      <c r="Z184" s="4">
        <v>304</v>
      </c>
      <c r="AA184" s="4">
        <v>405</v>
      </c>
      <c r="AB184" s="4">
        <v>3</v>
      </c>
      <c r="AC184" s="4">
        <v>3</v>
      </c>
      <c r="AD184" s="4">
        <v>16</v>
      </c>
      <c r="AE184" s="4">
        <v>17</v>
      </c>
      <c r="AF184" s="4">
        <v>4</v>
      </c>
      <c r="AG184" s="4">
        <v>5</v>
      </c>
      <c r="AH184" s="4">
        <v>6</v>
      </c>
      <c r="AI184" s="4">
        <v>6</v>
      </c>
      <c r="AJ184" s="4">
        <v>7</v>
      </c>
      <c r="AK184" s="4">
        <v>7</v>
      </c>
      <c r="AL184" s="4">
        <v>2</v>
      </c>
      <c r="AM184" s="4">
        <v>2</v>
      </c>
      <c r="AN184" s="4">
        <v>1</v>
      </c>
      <c r="AO184" s="4">
        <v>1</v>
      </c>
      <c r="AP184" s="3" t="s">
        <v>58</v>
      </c>
      <c r="AQ184" s="3" t="s">
        <v>68</v>
      </c>
      <c r="AR184" s="6" t="str">
        <f>HYPERLINK("http://catalog.hathitrust.org/Record/000631398","HathiTrust Record")</f>
        <v>HathiTrust Record</v>
      </c>
      <c r="AS184" s="6" t="str">
        <f>HYPERLINK("https://creighton-primo.hosted.exlibrisgroup.com/primo-explore/search?tab=default_tab&amp;search_scope=EVERYTHING&amp;vid=01CRU&amp;lang=en_US&amp;offset=0&amp;query=any,contains,991000818379702656","Catalog Record")</f>
        <v>Catalog Record</v>
      </c>
      <c r="AT184" s="6" t="str">
        <f>HYPERLINK("http://www.worldcat.org/oclc/13361194","WorldCat Record")</f>
        <v>WorldCat Record</v>
      </c>
      <c r="AU184" s="3" t="s">
        <v>2559</v>
      </c>
      <c r="AV184" s="3" t="s">
        <v>2560</v>
      </c>
      <c r="AW184" s="3" t="s">
        <v>2561</v>
      </c>
      <c r="AX184" s="3" t="s">
        <v>2561</v>
      </c>
      <c r="AY184" s="3" t="s">
        <v>2562</v>
      </c>
      <c r="AZ184" s="3" t="s">
        <v>73</v>
      </c>
      <c r="BB184" s="3" t="s">
        <v>2563</v>
      </c>
      <c r="BC184" s="3" t="s">
        <v>2564</v>
      </c>
      <c r="BD184" s="3" t="s">
        <v>2565</v>
      </c>
    </row>
    <row r="185" spans="1:56" ht="38.25" customHeight="1" x14ac:dyDescent="0.25">
      <c r="A185" s="7" t="s">
        <v>58</v>
      </c>
      <c r="B185" s="2" t="s">
        <v>2566</v>
      </c>
      <c r="C185" s="2" t="s">
        <v>2567</v>
      </c>
      <c r="D185" s="2" t="s">
        <v>2568</v>
      </c>
      <c r="F185" s="3" t="s">
        <v>58</v>
      </c>
      <c r="G185" s="3" t="s">
        <v>59</v>
      </c>
      <c r="H185" s="3" t="s">
        <v>58</v>
      </c>
      <c r="I185" s="3" t="s">
        <v>58</v>
      </c>
      <c r="J185" s="3" t="s">
        <v>60</v>
      </c>
      <c r="K185" s="2" t="s">
        <v>2569</v>
      </c>
      <c r="L185" s="2" t="s">
        <v>2570</v>
      </c>
      <c r="M185" s="3" t="s">
        <v>2433</v>
      </c>
      <c r="O185" s="3" t="s">
        <v>64</v>
      </c>
      <c r="P185" s="3" t="s">
        <v>65</v>
      </c>
      <c r="R185" s="3" t="s">
        <v>1531</v>
      </c>
      <c r="S185" s="4">
        <v>1</v>
      </c>
      <c r="T185" s="4">
        <v>1</v>
      </c>
      <c r="U185" s="5" t="s">
        <v>2557</v>
      </c>
      <c r="V185" s="5" t="s">
        <v>2557</v>
      </c>
      <c r="W185" s="5" t="s">
        <v>2558</v>
      </c>
      <c r="X185" s="5" t="s">
        <v>2558</v>
      </c>
      <c r="Y185" s="4">
        <v>288</v>
      </c>
      <c r="Z185" s="4">
        <v>226</v>
      </c>
      <c r="AA185" s="4">
        <v>228</v>
      </c>
      <c r="AB185" s="4">
        <v>3</v>
      </c>
      <c r="AC185" s="4">
        <v>3</v>
      </c>
      <c r="AD185" s="4">
        <v>10</v>
      </c>
      <c r="AE185" s="4">
        <v>10</v>
      </c>
      <c r="AF185" s="4">
        <v>0</v>
      </c>
      <c r="AG185" s="4">
        <v>0</v>
      </c>
      <c r="AH185" s="4">
        <v>4</v>
      </c>
      <c r="AI185" s="4">
        <v>4</v>
      </c>
      <c r="AJ185" s="4">
        <v>5</v>
      </c>
      <c r="AK185" s="4">
        <v>5</v>
      </c>
      <c r="AL185" s="4">
        <v>2</v>
      </c>
      <c r="AM185" s="4">
        <v>2</v>
      </c>
      <c r="AN185" s="4">
        <v>1</v>
      </c>
      <c r="AO185" s="4">
        <v>1</v>
      </c>
      <c r="AP185" s="3" t="s">
        <v>58</v>
      </c>
      <c r="AQ185" s="3" t="s">
        <v>68</v>
      </c>
      <c r="AR185" s="6" t="str">
        <f>HYPERLINK("http://catalog.hathitrust.org/Record/000869634","HathiTrust Record")</f>
        <v>HathiTrust Record</v>
      </c>
      <c r="AS185" s="6" t="str">
        <f>HYPERLINK("https://creighton-primo.hosted.exlibrisgroup.com/primo-explore/search?tab=default_tab&amp;search_scope=EVERYTHING&amp;vid=01CRU&amp;lang=en_US&amp;offset=0&amp;query=any,contains,991001065639702656","Catalog Record")</f>
        <v>Catalog Record</v>
      </c>
      <c r="AT185" s="6" t="str">
        <f>HYPERLINK("http://www.worldcat.org/oclc/15793275","WorldCat Record")</f>
        <v>WorldCat Record</v>
      </c>
      <c r="AU185" s="3" t="s">
        <v>2571</v>
      </c>
      <c r="AV185" s="3" t="s">
        <v>2572</v>
      </c>
      <c r="AW185" s="3" t="s">
        <v>2573</v>
      </c>
      <c r="AX185" s="3" t="s">
        <v>2573</v>
      </c>
      <c r="AY185" s="3" t="s">
        <v>2574</v>
      </c>
      <c r="AZ185" s="3" t="s">
        <v>73</v>
      </c>
      <c r="BB185" s="3" t="s">
        <v>2575</v>
      </c>
      <c r="BC185" s="3" t="s">
        <v>2576</v>
      </c>
      <c r="BD185" s="3" t="s">
        <v>2577</v>
      </c>
    </row>
    <row r="186" spans="1:56" ht="38.25" customHeight="1" x14ac:dyDescent="0.25">
      <c r="A186" s="7" t="s">
        <v>58</v>
      </c>
      <c r="B186" s="2" t="s">
        <v>2578</v>
      </c>
      <c r="C186" s="2" t="s">
        <v>2579</v>
      </c>
      <c r="D186" s="2" t="s">
        <v>2580</v>
      </c>
      <c r="F186" s="3" t="s">
        <v>58</v>
      </c>
      <c r="G186" s="3" t="s">
        <v>59</v>
      </c>
      <c r="H186" s="3" t="s">
        <v>58</v>
      </c>
      <c r="I186" s="3" t="s">
        <v>58</v>
      </c>
      <c r="J186" s="3" t="s">
        <v>60</v>
      </c>
      <c r="K186" s="2" t="s">
        <v>2581</v>
      </c>
      <c r="L186" s="2" t="s">
        <v>2582</v>
      </c>
      <c r="M186" s="3" t="s">
        <v>247</v>
      </c>
      <c r="N186" s="2" t="s">
        <v>524</v>
      </c>
      <c r="O186" s="3" t="s">
        <v>64</v>
      </c>
      <c r="P186" s="3" t="s">
        <v>802</v>
      </c>
      <c r="R186" s="3" t="s">
        <v>1531</v>
      </c>
      <c r="S186" s="4">
        <v>3</v>
      </c>
      <c r="T186" s="4">
        <v>3</v>
      </c>
      <c r="U186" s="5" t="s">
        <v>2530</v>
      </c>
      <c r="V186" s="5" t="s">
        <v>2530</v>
      </c>
      <c r="W186" s="5" t="s">
        <v>2583</v>
      </c>
      <c r="X186" s="5" t="s">
        <v>2583</v>
      </c>
      <c r="Y186" s="4">
        <v>281</v>
      </c>
      <c r="Z186" s="4">
        <v>211</v>
      </c>
      <c r="AA186" s="4">
        <v>213</v>
      </c>
      <c r="AB186" s="4">
        <v>2</v>
      </c>
      <c r="AC186" s="4">
        <v>2</v>
      </c>
      <c r="AD186" s="4">
        <v>8</v>
      </c>
      <c r="AE186" s="4">
        <v>8</v>
      </c>
      <c r="AF186" s="4">
        <v>1</v>
      </c>
      <c r="AG186" s="4">
        <v>1</v>
      </c>
      <c r="AH186" s="4">
        <v>3</v>
      </c>
      <c r="AI186" s="4">
        <v>3</v>
      </c>
      <c r="AJ186" s="4">
        <v>5</v>
      </c>
      <c r="AK186" s="4">
        <v>5</v>
      </c>
      <c r="AL186" s="4">
        <v>1</v>
      </c>
      <c r="AM186" s="4">
        <v>1</v>
      </c>
      <c r="AN186" s="4">
        <v>0</v>
      </c>
      <c r="AO186" s="4">
        <v>0</v>
      </c>
      <c r="AP186" s="3" t="s">
        <v>58</v>
      </c>
      <c r="AQ186" s="3" t="s">
        <v>68</v>
      </c>
      <c r="AR186" s="6" t="str">
        <f>HYPERLINK("http://catalog.hathitrust.org/Record/000917563","HathiTrust Record")</f>
        <v>HathiTrust Record</v>
      </c>
      <c r="AS186" s="6" t="str">
        <f>HYPERLINK("https://creighton-primo.hosted.exlibrisgroup.com/primo-explore/search?tab=default_tab&amp;search_scope=EVERYTHING&amp;vid=01CRU&amp;lang=en_US&amp;offset=0&amp;query=any,contains,991001053249702656","Catalog Record")</f>
        <v>Catalog Record</v>
      </c>
      <c r="AT186" s="6" t="str">
        <f>HYPERLINK("http://www.worldcat.org/oclc/15661503","WorldCat Record")</f>
        <v>WorldCat Record</v>
      </c>
      <c r="AU186" s="3" t="s">
        <v>2584</v>
      </c>
      <c r="AV186" s="3" t="s">
        <v>2585</v>
      </c>
      <c r="AW186" s="3" t="s">
        <v>2586</v>
      </c>
      <c r="AX186" s="3" t="s">
        <v>2586</v>
      </c>
      <c r="AY186" s="3" t="s">
        <v>2587</v>
      </c>
      <c r="AZ186" s="3" t="s">
        <v>73</v>
      </c>
      <c r="BB186" s="3" t="s">
        <v>2588</v>
      </c>
      <c r="BC186" s="3" t="s">
        <v>2589</v>
      </c>
      <c r="BD186" s="3" t="s">
        <v>2590</v>
      </c>
    </row>
    <row r="187" spans="1:56" ht="38.25" customHeight="1" x14ac:dyDescent="0.25">
      <c r="A187" s="7" t="s">
        <v>58</v>
      </c>
      <c r="B187" s="2" t="s">
        <v>2591</v>
      </c>
      <c r="C187" s="2" t="s">
        <v>2592</v>
      </c>
      <c r="D187" s="2" t="s">
        <v>2593</v>
      </c>
      <c r="F187" s="3" t="s">
        <v>58</v>
      </c>
      <c r="G187" s="3" t="s">
        <v>59</v>
      </c>
      <c r="H187" s="3" t="s">
        <v>58</v>
      </c>
      <c r="I187" s="3" t="s">
        <v>58</v>
      </c>
      <c r="J187" s="3" t="s">
        <v>60</v>
      </c>
      <c r="K187" s="2" t="s">
        <v>2594</v>
      </c>
      <c r="L187" s="2" t="s">
        <v>2595</v>
      </c>
      <c r="M187" s="3" t="s">
        <v>146</v>
      </c>
      <c r="N187" s="2" t="s">
        <v>524</v>
      </c>
      <c r="O187" s="3" t="s">
        <v>64</v>
      </c>
      <c r="P187" s="3" t="s">
        <v>114</v>
      </c>
      <c r="R187" s="3" t="s">
        <v>1531</v>
      </c>
      <c r="S187" s="4">
        <v>2</v>
      </c>
      <c r="T187" s="4">
        <v>2</v>
      </c>
      <c r="U187" s="5" t="s">
        <v>2596</v>
      </c>
      <c r="V187" s="5" t="s">
        <v>2596</v>
      </c>
      <c r="W187" s="5" t="s">
        <v>2558</v>
      </c>
      <c r="X187" s="5" t="s">
        <v>2558</v>
      </c>
      <c r="Y187" s="4">
        <v>265</v>
      </c>
      <c r="Z187" s="4">
        <v>194</v>
      </c>
      <c r="AA187" s="4">
        <v>239</v>
      </c>
      <c r="AB187" s="4">
        <v>2</v>
      </c>
      <c r="AC187" s="4">
        <v>3</v>
      </c>
      <c r="AD187" s="4">
        <v>5</v>
      </c>
      <c r="AE187" s="4">
        <v>8</v>
      </c>
      <c r="AF187" s="4">
        <v>3</v>
      </c>
      <c r="AG187" s="4">
        <v>4</v>
      </c>
      <c r="AH187" s="4">
        <v>0</v>
      </c>
      <c r="AI187" s="4">
        <v>1</v>
      </c>
      <c r="AJ187" s="4">
        <v>3</v>
      </c>
      <c r="AK187" s="4">
        <v>3</v>
      </c>
      <c r="AL187" s="4">
        <v>1</v>
      </c>
      <c r="AM187" s="4">
        <v>2</v>
      </c>
      <c r="AN187" s="4">
        <v>0</v>
      </c>
      <c r="AO187" s="4">
        <v>0</v>
      </c>
      <c r="AP187" s="3" t="s">
        <v>58</v>
      </c>
      <c r="AQ187" s="3" t="s">
        <v>68</v>
      </c>
      <c r="AR187" s="6" t="str">
        <f>HYPERLINK("http://catalog.hathitrust.org/Record/000139121","HathiTrust Record")</f>
        <v>HathiTrust Record</v>
      </c>
      <c r="AS187" s="6" t="str">
        <f>HYPERLINK("https://creighton-primo.hosted.exlibrisgroup.com/primo-explore/search?tab=default_tab&amp;search_scope=EVERYTHING&amp;vid=01CRU&amp;lang=en_US&amp;offset=0&amp;query=any,contains,991005089369702656","Catalog Record")</f>
        <v>Catalog Record</v>
      </c>
      <c r="AT187" s="6" t="str">
        <f>HYPERLINK("http://www.worldcat.org/oclc/7206097","WorldCat Record")</f>
        <v>WorldCat Record</v>
      </c>
      <c r="AU187" s="3" t="s">
        <v>2597</v>
      </c>
      <c r="AV187" s="3" t="s">
        <v>2598</v>
      </c>
      <c r="AW187" s="3" t="s">
        <v>2599</v>
      </c>
      <c r="AX187" s="3" t="s">
        <v>2599</v>
      </c>
      <c r="AY187" s="3" t="s">
        <v>2600</v>
      </c>
      <c r="AZ187" s="3" t="s">
        <v>73</v>
      </c>
      <c r="BB187" s="3" t="s">
        <v>2601</v>
      </c>
      <c r="BC187" s="3" t="s">
        <v>2602</v>
      </c>
      <c r="BD187" s="3" t="s">
        <v>2603</v>
      </c>
    </row>
    <row r="188" spans="1:56" ht="38.25" customHeight="1" x14ac:dyDescent="0.25">
      <c r="A188" s="7" t="s">
        <v>58</v>
      </c>
      <c r="B188" s="2" t="s">
        <v>2604</v>
      </c>
      <c r="C188" s="2" t="s">
        <v>2605</v>
      </c>
      <c r="D188" s="2" t="s">
        <v>2606</v>
      </c>
      <c r="F188" s="3" t="s">
        <v>58</v>
      </c>
      <c r="G188" s="3" t="s">
        <v>59</v>
      </c>
      <c r="H188" s="3" t="s">
        <v>58</v>
      </c>
      <c r="I188" s="3" t="s">
        <v>58</v>
      </c>
      <c r="J188" s="3" t="s">
        <v>60</v>
      </c>
      <c r="K188" s="2" t="s">
        <v>2607</v>
      </c>
      <c r="L188" s="2" t="s">
        <v>2608</v>
      </c>
      <c r="M188" s="3" t="s">
        <v>1023</v>
      </c>
      <c r="O188" s="3" t="s">
        <v>64</v>
      </c>
      <c r="P188" s="3" t="s">
        <v>65</v>
      </c>
      <c r="Q188" s="2" t="s">
        <v>2609</v>
      </c>
      <c r="R188" s="3" t="s">
        <v>1531</v>
      </c>
      <c r="S188" s="4">
        <v>2</v>
      </c>
      <c r="T188" s="4">
        <v>2</v>
      </c>
      <c r="U188" s="5" t="s">
        <v>2610</v>
      </c>
      <c r="V188" s="5" t="s">
        <v>2610</v>
      </c>
      <c r="W188" s="5" t="s">
        <v>2611</v>
      </c>
      <c r="X188" s="5" t="s">
        <v>2611</v>
      </c>
      <c r="Y188" s="4">
        <v>510</v>
      </c>
      <c r="Z188" s="4">
        <v>422</v>
      </c>
      <c r="AA188" s="4">
        <v>428</v>
      </c>
      <c r="AB188" s="4">
        <v>3</v>
      </c>
      <c r="AC188" s="4">
        <v>3</v>
      </c>
      <c r="AD188" s="4">
        <v>23</v>
      </c>
      <c r="AE188" s="4">
        <v>23</v>
      </c>
      <c r="AF188" s="4">
        <v>7</v>
      </c>
      <c r="AG188" s="4">
        <v>7</v>
      </c>
      <c r="AH188" s="4">
        <v>5</v>
      </c>
      <c r="AI188" s="4">
        <v>5</v>
      </c>
      <c r="AJ188" s="4">
        <v>12</v>
      </c>
      <c r="AK188" s="4">
        <v>12</v>
      </c>
      <c r="AL188" s="4">
        <v>2</v>
      </c>
      <c r="AM188" s="4">
        <v>2</v>
      </c>
      <c r="AN188" s="4">
        <v>2</v>
      </c>
      <c r="AO188" s="4">
        <v>2</v>
      </c>
      <c r="AP188" s="3" t="s">
        <v>58</v>
      </c>
      <c r="AQ188" s="3" t="s">
        <v>68</v>
      </c>
      <c r="AR188" s="6" t="str">
        <f>HYPERLINK("http://catalog.hathitrust.org/Record/001154397","HathiTrust Record")</f>
        <v>HathiTrust Record</v>
      </c>
      <c r="AS188" s="6" t="str">
        <f>HYPERLINK("https://creighton-primo.hosted.exlibrisgroup.com/primo-explore/search?tab=default_tab&amp;search_scope=EVERYTHING&amp;vid=01CRU&amp;lang=en_US&amp;offset=0&amp;query=any,contains,991003211409702656","Catalog Record")</f>
        <v>Catalog Record</v>
      </c>
      <c r="AT188" s="6" t="str">
        <f>HYPERLINK("http://www.worldcat.org/oclc/737242","WorldCat Record")</f>
        <v>WorldCat Record</v>
      </c>
      <c r="AU188" s="3" t="s">
        <v>2612</v>
      </c>
      <c r="AV188" s="3" t="s">
        <v>2613</v>
      </c>
      <c r="AW188" s="3" t="s">
        <v>2614</v>
      </c>
      <c r="AX188" s="3" t="s">
        <v>2614</v>
      </c>
      <c r="AY188" s="3" t="s">
        <v>2615</v>
      </c>
      <c r="AZ188" s="3" t="s">
        <v>73</v>
      </c>
      <c r="BB188" s="3" t="s">
        <v>2616</v>
      </c>
      <c r="BC188" s="3" t="s">
        <v>2617</v>
      </c>
      <c r="BD188" s="3" t="s">
        <v>2618</v>
      </c>
    </row>
    <row r="189" spans="1:56" ht="38.25" customHeight="1" x14ac:dyDescent="0.25">
      <c r="A189" s="7" t="s">
        <v>58</v>
      </c>
      <c r="B189" s="2" t="s">
        <v>2619</v>
      </c>
      <c r="C189" s="2" t="s">
        <v>2620</v>
      </c>
      <c r="D189" s="2" t="s">
        <v>2621</v>
      </c>
      <c r="F189" s="3" t="s">
        <v>58</v>
      </c>
      <c r="G189" s="3" t="s">
        <v>59</v>
      </c>
      <c r="H189" s="3" t="s">
        <v>58</v>
      </c>
      <c r="I189" s="3" t="s">
        <v>58</v>
      </c>
      <c r="J189" s="3" t="s">
        <v>60</v>
      </c>
      <c r="K189" s="2" t="s">
        <v>2622</v>
      </c>
      <c r="L189" s="2" t="s">
        <v>2623</v>
      </c>
      <c r="M189" s="3" t="s">
        <v>113</v>
      </c>
      <c r="N189" s="2" t="s">
        <v>2624</v>
      </c>
      <c r="O189" s="3" t="s">
        <v>64</v>
      </c>
      <c r="P189" s="3" t="s">
        <v>65</v>
      </c>
      <c r="R189" s="3" t="s">
        <v>1531</v>
      </c>
      <c r="S189" s="4">
        <v>2</v>
      </c>
      <c r="T189" s="4">
        <v>2</v>
      </c>
      <c r="U189" s="5" t="s">
        <v>2625</v>
      </c>
      <c r="V189" s="5" t="s">
        <v>2625</v>
      </c>
      <c r="W189" s="5" t="s">
        <v>2558</v>
      </c>
      <c r="X189" s="5" t="s">
        <v>2558</v>
      </c>
      <c r="Y189" s="4">
        <v>345</v>
      </c>
      <c r="Z189" s="4">
        <v>313</v>
      </c>
      <c r="AA189" s="4">
        <v>1053</v>
      </c>
      <c r="AB189" s="4">
        <v>3</v>
      </c>
      <c r="AC189" s="4">
        <v>6</v>
      </c>
      <c r="AD189" s="4">
        <v>10</v>
      </c>
      <c r="AE189" s="4">
        <v>42</v>
      </c>
      <c r="AF189" s="4">
        <v>4</v>
      </c>
      <c r="AG189" s="4">
        <v>15</v>
      </c>
      <c r="AH189" s="4">
        <v>3</v>
      </c>
      <c r="AI189" s="4">
        <v>9</v>
      </c>
      <c r="AJ189" s="4">
        <v>5</v>
      </c>
      <c r="AK189" s="4">
        <v>18</v>
      </c>
      <c r="AL189" s="4">
        <v>1</v>
      </c>
      <c r="AM189" s="4">
        <v>4</v>
      </c>
      <c r="AN189" s="4">
        <v>0</v>
      </c>
      <c r="AO189" s="4">
        <v>5</v>
      </c>
      <c r="AP189" s="3" t="s">
        <v>58</v>
      </c>
      <c r="AQ189" s="3" t="s">
        <v>68</v>
      </c>
      <c r="AR189" s="6" t="str">
        <f>HYPERLINK("http://catalog.hathitrust.org/Record/000231001","HathiTrust Record")</f>
        <v>HathiTrust Record</v>
      </c>
      <c r="AS189" s="6" t="str">
        <f>HYPERLINK("https://creighton-primo.hosted.exlibrisgroup.com/primo-explore/search?tab=default_tab&amp;search_scope=EVERYTHING&amp;vid=01CRU&amp;lang=en_US&amp;offset=0&amp;query=any,contains,991005247589702656","Catalog Record")</f>
        <v>Catalog Record</v>
      </c>
      <c r="AT189" s="6" t="str">
        <f>HYPERLINK("http://www.worldcat.org/oclc/8474392","WorldCat Record")</f>
        <v>WorldCat Record</v>
      </c>
      <c r="AU189" s="3" t="s">
        <v>2626</v>
      </c>
      <c r="AV189" s="3" t="s">
        <v>2627</v>
      </c>
      <c r="AW189" s="3" t="s">
        <v>2628</v>
      </c>
      <c r="AX189" s="3" t="s">
        <v>2628</v>
      </c>
      <c r="AY189" s="3" t="s">
        <v>2629</v>
      </c>
      <c r="AZ189" s="3" t="s">
        <v>73</v>
      </c>
      <c r="BB189" s="3" t="s">
        <v>2630</v>
      </c>
      <c r="BC189" s="3" t="s">
        <v>2631</v>
      </c>
      <c r="BD189" s="3" t="s">
        <v>2632</v>
      </c>
    </row>
    <row r="190" spans="1:56" ht="38.25" customHeight="1" x14ac:dyDescent="0.25">
      <c r="A190" s="7" t="s">
        <v>58</v>
      </c>
      <c r="B190" s="2" t="s">
        <v>2633</v>
      </c>
      <c r="C190" s="2" t="s">
        <v>2634</v>
      </c>
      <c r="D190" s="2" t="s">
        <v>2635</v>
      </c>
      <c r="F190" s="3" t="s">
        <v>58</v>
      </c>
      <c r="G190" s="3" t="s">
        <v>59</v>
      </c>
      <c r="H190" s="3" t="s">
        <v>58</v>
      </c>
      <c r="I190" s="3" t="s">
        <v>58</v>
      </c>
      <c r="J190" s="3" t="s">
        <v>60</v>
      </c>
      <c r="K190" s="2" t="s">
        <v>2636</v>
      </c>
      <c r="L190" s="2" t="s">
        <v>2637</v>
      </c>
      <c r="M190" s="3" t="s">
        <v>192</v>
      </c>
      <c r="O190" s="3" t="s">
        <v>64</v>
      </c>
      <c r="P190" s="3" t="s">
        <v>2638</v>
      </c>
      <c r="Q190" s="2" t="s">
        <v>2639</v>
      </c>
      <c r="R190" s="3" t="s">
        <v>1531</v>
      </c>
      <c r="S190" s="4">
        <v>2</v>
      </c>
      <c r="T190" s="4">
        <v>2</v>
      </c>
      <c r="U190" s="5" t="s">
        <v>2640</v>
      </c>
      <c r="V190" s="5" t="s">
        <v>2640</v>
      </c>
      <c r="W190" s="5" t="s">
        <v>2558</v>
      </c>
      <c r="X190" s="5" t="s">
        <v>2558</v>
      </c>
      <c r="Y190" s="4">
        <v>619</v>
      </c>
      <c r="Z190" s="4">
        <v>533</v>
      </c>
      <c r="AA190" s="4">
        <v>534</v>
      </c>
      <c r="AB190" s="4">
        <v>3</v>
      </c>
      <c r="AC190" s="4">
        <v>3</v>
      </c>
      <c r="AD190" s="4">
        <v>19</v>
      </c>
      <c r="AE190" s="4">
        <v>19</v>
      </c>
      <c r="AF190" s="4">
        <v>8</v>
      </c>
      <c r="AG190" s="4">
        <v>8</v>
      </c>
      <c r="AH190" s="4">
        <v>4</v>
      </c>
      <c r="AI190" s="4">
        <v>4</v>
      </c>
      <c r="AJ190" s="4">
        <v>10</v>
      </c>
      <c r="AK190" s="4">
        <v>10</v>
      </c>
      <c r="AL190" s="4">
        <v>2</v>
      </c>
      <c r="AM190" s="4">
        <v>2</v>
      </c>
      <c r="AN190" s="4">
        <v>1</v>
      </c>
      <c r="AO190" s="4">
        <v>1</v>
      </c>
      <c r="AP190" s="3" t="s">
        <v>58</v>
      </c>
      <c r="AQ190" s="3" t="s">
        <v>58</v>
      </c>
      <c r="AS190" s="6" t="str">
        <f>HYPERLINK("https://creighton-primo.hosted.exlibrisgroup.com/primo-explore/search?tab=default_tab&amp;search_scope=EVERYTHING&amp;vid=01CRU&amp;lang=en_US&amp;offset=0&amp;query=any,contains,991004805279702656","Catalog Record")</f>
        <v>Catalog Record</v>
      </c>
      <c r="AT190" s="6" t="str">
        <f>HYPERLINK("http://www.worldcat.org/oclc/5240328","WorldCat Record")</f>
        <v>WorldCat Record</v>
      </c>
      <c r="AU190" s="3" t="s">
        <v>2641</v>
      </c>
      <c r="AV190" s="3" t="s">
        <v>2642</v>
      </c>
      <c r="AW190" s="3" t="s">
        <v>2643</v>
      </c>
      <c r="AX190" s="3" t="s">
        <v>2643</v>
      </c>
      <c r="AY190" s="3" t="s">
        <v>2644</v>
      </c>
      <c r="AZ190" s="3" t="s">
        <v>73</v>
      </c>
      <c r="BB190" s="3" t="s">
        <v>2645</v>
      </c>
      <c r="BC190" s="3" t="s">
        <v>2646</v>
      </c>
      <c r="BD190" s="3" t="s">
        <v>2647</v>
      </c>
    </row>
    <row r="191" spans="1:56" ht="38.25" customHeight="1" x14ac:dyDescent="0.25">
      <c r="A191" s="7" t="s">
        <v>58</v>
      </c>
      <c r="B191" s="2" t="s">
        <v>2648</v>
      </c>
      <c r="C191" s="2" t="s">
        <v>2649</v>
      </c>
      <c r="D191" s="2" t="s">
        <v>2650</v>
      </c>
      <c r="F191" s="3" t="s">
        <v>58</v>
      </c>
      <c r="G191" s="3" t="s">
        <v>59</v>
      </c>
      <c r="H191" s="3" t="s">
        <v>58</v>
      </c>
      <c r="I191" s="3" t="s">
        <v>58</v>
      </c>
      <c r="J191" s="3" t="s">
        <v>60</v>
      </c>
      <c r="K191" s="2" t="s">
        <v>2651</v>
      </c>
      <c r="L191" s="2" t="s">
        <v>2652</v>
      </c>
      <c r="M191" s="3" t="s">
        <v>2036</v>
      </c>
      <c r="O191" s="3" t="s">
        <v>64</v>
      </c>
      <c r="P191" s="3" t="s">
        <v>277</v>
      </c>
      <c r="Q191" s="2" t="s">
        <v>2653</v>
      </c>
      <c r="R191" s="3" t="s">
        <v>1531</v>
      </c>
      <c r="S191" s="4">
        <v>2</v>
      </c>
      <c r="T191" s="4">
        <v>2</v>
      </c>
      <c r="U191" s="5" t="s">
        <v>2610</v>
      </c>
      <c r="V191" s="5" t="s">
        <v>2610</v>
      </c>
      <c r="W191" s="5" t="s">
        <v>2558</v>
      </c>
      <c r="X191" s="5" t="s">
        <v>2558</v>
      </c>
      <c r="Y191" s="4">
        <v>392</v>
      </c>
      <c r="Z191" s="4">
        <v>324</v>
      </c>
      <c r="AA191" s="4">
        <v>329</v>
      </c>
      <c r="AB191" s="4">
        <v>5</v>
      </c>
      <c r="AC191" s="4">
        <v>5</v>
      </c>
      <c r="AD191" s="4">
        <v>17</v>
      </c>
      <c r="AE191" s="4">
        <v>17</v>
      </c>
      <c r="AF191" s="4">
        <v>4</v>
      </c>
      <c r="AG191" s="4">
        <v>4</v>
      </c>
      <c r="AH191" s="4">
        <v>4</v>
      </c>
      <c r="AI191" s="4">
        <v>4</v>
      </c>
      <c r="AJ191" s="4">
        <v>8</v>
      </c>
      <c r="AK191" s="4">
        <v>8</v>
      </c>
      <c r="AL191" s="4">
        <v>4</v>
      </c>
      <c r="AM191" s="4">
        <v>4</v>
      </c>
      <c r="AN191" s="4">
        <v>1</v>
      </c>
      <c r="AO191" s="4">
        <v>1</v>
      </c>
      <c r="AP191" s="3" t="s">
        <v>58</v>
      </c>
      <c r="AQ191" s="3" t="s">
        <v>58</v>
      </c>
      <c r="AS191" s="6" t="str">
        <f>HYPERLINK("https://creighton-primo.hosted.exlibrisgroup.com/primo-explore/search?tab=default_tab&amp;search_scope=EVERYTHING&amp;vid=01CRU&amp;lang=en_US&amp;offset=0&amp;query=any,contains,991000419469702656","Catalog Record")</f>
        <v>Catalog Record</v>
      </c>
      <c r="AT191" s="6" t="str">
        <f>HYPERLINK("http://www.worldcat.org/oclc/10727151","WorldCat Record")</f>
        <v>WorldCat Record</v>
      </c>
      <c r="AU191" s="3" t="s">
        <v>2654</v>
      </c>
      <c r="AV191" s="3" t="s">
        <v>2655</v>
      </c>
      <c r="AW191" s="3" t="s">
        <v>2656</v>
      </c>
      <c r="AX191" s="3" t="s">
        <v>2656</v>
      </c>
      <c r="AY191" s="3" t="s">
        <v>2657</v>
      </c>
      <c r="AZ191" s="3" t="s">
        <v>73</v>
      </c>
      <c r="BB191" s="3" t="s">
        <v>2658</v>
      </c>
      <c r="BC191" s="3" t="s">
        <v>2659</v>
      </c>
      <c r="BD191" s="3" t="s">
        <v>2660</v>
      </c>
    </row>
    <row r="192" spans="1:56" ht="38.25" customHeight="1" x14ac:dyDescent="0.25">
      <c r="A192" s="7" t="s">
        <v>58</v>
      </c>
      <c r="B192" s="2" t="s">
        <v>2661</v>
      </c>
      <c r="C192" s="2" t="s">
        <v>2662</v>
      </c>
      <c r="D192" s="2" t="s">
        <v>2663</v>
      </c>
      <c r="F192" s="3" t="s">
        <v>58</v>
      </c>
      <c r="G192" s="3" t="s">
        <v>59</v>
      </c>
      <c r="H192" s="3" t="s">
        <v>58</v>
      </c>
      <c r="I192" s="3" t="s">
        <v>58</v>
      </c>
      <c r="J192" s="3" t="s">
        <v>60</v>
      </c>
      <c r="K192" s="2" t="s">
        <v>2664</v>
      </c>
      <c r="L192" s="2" t="s">
        <v>2665</v>
      </c>
      <c r="M192" s="3" t="s">
        <v>408</v>
      </c>
      <c r="O192" s="3" t="s">
        <v>64</v>
      </c>
      <c r="P192" s="3" t="s">
        <v>65</v>
      </c>
      <c r="R192" s="3" t="s">
        <v>1531</v>
      </c>
      <c r="S192" s="4">
        <v>2</v>
      </c>
      <c r="T192" s="4">
        <v>2</v>
      </c>
      <c r="U192" s="5" t="s">
        <v>2666</v>
      </c>
      <c r="V192" s="5" t="s">
        <v>2666</v>
      </c>
      <c r="W192" s="5" t="s">
        <v>2667</v>
      </c>
      <c r="X192" s="5" t="s">
        <v>2667</v>
      </c>
      <c r="Y192" s="4">
        <v>304</v>
      </c>
      <c r="Z192" s="4">
        <v>269</v>
      </c>
      <c r="AA192" s="4">
        <v>287</v>
      </c>
      <c r="AB192" s="4">
        <v>3</v>
      </c>
      <c r="AC192" s="4">
        <v>3</v>
      </c>
      <c r="AD192" s="4">
        <v>12</v>
      </c>
      <c r="AE192" s="4">
        <v>13</v>
      </c>
      <c r="AF192" s="4">
        <v>4</v>
      </c>
      <c r="AG192" s="4">
        <v>5</v>
      </c>
      <c r="AH192" s="4">
        <v>4</v>
      </c>
      <c r="AI192" s="4">
        <v>4</v>
      </c>
      <c r="AJ192" s="4">
        <v>7</v>
      </c>
      <c r="AK192" s="4">
        <v>8</v>
      </c>
      <c r="AL192" s="4">
        <v>2</v>
      </c>
      <c r="AM192" s="4">
        <v>2</v>
      </c>
      <c r="AN192" s="4">
        <v>0</v>
      </c>
      <c r="AO192" s="4">
        <v>0</v>
      </c>
      <c r="AP192" s="3" t="s">
        <v>58</v>
      </c>
      <c r="AQ192" s="3" t="s">
        <v>58</v>
      </c>
      <c r="AS192" s="6" t="str">
        <f>HYPERLINK("https://creighton-primo.hosted.exlibrisgroup.com/primo-explore/search?tab=default_tab&amp;search_scope=EVERYTHING&amp;vid=01CRU&amp;lang=en_US&amp;offset=0&amp;query=any,contains,991001527569702656","Catalog Record")</f>
        <v>Catalog Record</v>
      </c>
      <c r="AT192" s="6" t="str">
        <f>HYPERLINK("http://www.worldcat.org/oclc/20013773","WorldCat Record")</f>
        <v>WorldCat Record</v>
      </c>
      <c r="AU192" s="3" t="s">
        <v>2668</v>
      </c>
      <c r="AV192" s="3" t="s">
        <v>2669</v>
      </c>
      <c r="AW192" s="3" t="s">
        <v>2670</v>
      </c>
      <c r="AX192" s="3" t="s">
        <v>2670</v>
      </c>
      <c r="AY192" s="3" t="s">
        <v>2671</v>
      </c>
      <c r="AZ192" s="3" t="s">
        <v>73</v>
      </c>
      <c r="BB192" s="3" t="s">
        <v>2672</v>
      </c>
      <c r="BC192" s="3" t="s">
        <v>2673</v>
      </c>
      <c r="BD192" s="3" t="s">
        <v>2674</v>
      </c>
    </row>
    <row r="193" spans="1:56" ht="38.25" customHeight="1" x14ac:dyDescent="0.25">
      <c r="A193" s="7" t="s">
        <v>58</v>
      </c>
      <c r="B193" s="2" t="s">
        <v>2675</v>
      </c>
      <c r="C193" s="2" t="s">
        <v>2676</v>
      </c>
      <c r="D193" s="2" t="s">
        <v>2677</v>
      </c>
      <c r="F193" s="3" t="s">
        <v>58</v>
      </c>
      <c r="G193" s="3" t="s">
        <v>59</v>
      </c>
      <c r="H193" s="3" t="s">
        <v>58</v>
      </c>
      <c r="I193" s="3" t="s">
        <v>58</v>
      </c>
      <c r="J193" s="3" t="s">
        <v>60</v>
      </c>
      <c r="K193" s="2" t="s">
        <v>2678</v>
      </c>
      <c r="L193" s="2" t="s">
        <v>2679</v>
      </c>
      <c r="M193" s="3" t="s">
        <v>247</v>
      </c>
      <c r="N193" s="2" t="s">
        <v>524</v>
      </c>
      <c r="O193" s="3" t="s">
        <v>64</v>
      </c>
      <c r="P193" s="3" t="s">
        <v>2680</v>
      </c>
      <c r="R193" s="3" t="s">
        <v>1531</v>
      </c>
      <c r="S193" s="4">
        <v>4</v>
      </c>
      <c r="T193" s="4">
        <v>4</v>
      </c>
      <c r="U193" s="5" t="s">
        <v>2681</v>
      </c>
      <c r="V193" s="5" t="s">
        <v>2681</v>
      </c>
      <c r="W193" s="5" t="s">
        <v>2558</v>
      </c>
      <c r="X193" s="5" t="s">
        <v>2558</v>
      </c>
      <c r="Y193" s="4">
        <v>428</v>
      </c>
      <c r="Z193" s="4">
        <v>395</v>
      </c>
      <c r="AA193" s="4">
        <v>400</v>
      </c>
      <c r="AB193" s="4">
        <v>7</v>
      </c>
      <c r="AC193" s="4">
        <v>7</v>
      </c>
      <c r="AD193" s="4">
        <v>8</v>
      </c>
      <c r="AE193" s="4">
        <v>8</v>
      </c>
      <c r="AF193" s="4">
        <v>0</v>
      </c>
      <c r="AG193" s="4">
        <v>0</v>
      </c>
      <c r="AH193" s="4">
        <v>2</v>
      </c>
      <c r="AI193" s="4">
        <v>2</v>
      </c>
      <c r="AJ193" s="4">
        <v>4</v>
      </c>
      <c r="AK193" s="4">
        <v>4</v>
      </c>
      <c r="AL193" s="4">
        <v>2</v>
      </c>
      <c r="AM193" s="4">
        <v>2</v>
      </c>
      <c r="AN193" s="4">
        <v>1</v>
      </c>
      <c r="AO193" s="4">
        <v>1</v>
      </c>
      <c r="AP193" s="3" t="s">
        <v>58</v>
      </c>
      <c r="AQ193" s="3" t="s">
        <v>58</v>
      </c>
      <c r="AS193" s="6" t="str">
        <f>HYPERLINK("https://creighton-primo.hosted.exlibrisgroup.com/primo-explore/search?tab=default_tab&amp;search_scope=EVERYTHING&amp;vid=01CRU&amp;lang=en_US&amp;offset=0&amp;query=any,contains,991001218489702656","Catalog Record")</f>
        <v>Catalog Record</v>
      </c>
      <c r="AT193" s="6" t="str">
        <f>HYPERLINK("http://www.worldcat.org/oclc/17441059","WorldCat Record")</f>
        <v>WorldCat Record</v>
      </c>
      <c r="AU193" s="3" t="s">
        <v>2682</v>
      </c>
      <c r="AV193" s="3" t="s">
        <v>2683</v>
      </c>
      <c r="AW193" s="3" t="s">
        <v>2684</v>
      </c>
      <c r="AX193" s="3" t="s">
        <v>2684</v>
      </c>
      <c r="AY193" s="3" t="s">
        <v>2685</v>
      </c>
      <c r="AZ193" s="3" t="s">
        <v>73</v>
      </c>
      <c r="BB193" s="3" t="s">
        <v>2686</v>
      </c>
      <c r="BC193" s="3" t="s">
        <v>2687</v>
      </c>
      <c r="BD193" s="3" t="s">
        <v>2688</v>
      </c>
    </row>
    <row r="194" spans="1:56" ht="38.25" customHeight="1" x14ac:dyDescent="0.25">
      <c r="A194" s="7" t="s">
        <v>58</v>
      </c>
      <c r="B194" s="2" t="s">
        <v>2689</v>
      </c>
      <c r="C194" s="2" t="s">
        <v>2690</v>
      </c>
      <c r="D194" s="2" t="s">
        <v>2691</v>
      </c>
      <c r="F194" s="3" t="s">
        <v>58</v>
      </c>
      <c r="G194" s="3" t="s">
        <v>59</v>
      </c>
      <c r="H194" s="3" t="s">
        <v>58</v>
      </c>
      <c r="I194" s="3" t="s">
        <v>58</v>
      </c>
      <c r="J194" s="3" t="s">
        <v>60</v>
      </c>
      <c r="K194" s="2" t="s">
        <v>2692</v>
      </c>
      <c r="L194" s="2" t="s">
        <v>2693</v>
      </c>
      <c r="M194" s="3" t="s">
        <v>247</v>
      </c>
      <c r="O194" s="3" t="s">
        <v>64</v>
      </c>
      <c r="P194" s="3" t="s">
        <v>2694</v>
      </c>
      <c r="Q194" s="2" t="s">
        <v>2695</v>
      </c>
      <c r="R194" s="3" t="s">
        <v>1531</v>
      </c>
      <c r="S194" s="4">
        <v>2</v>
      </c>
      <c r="T194" s="4">
        <v>2</v>
      </c>
      <c r="U194" s="5" t="s">
        <v>2696</v>
      </c>
      <c r="V194" s="5" t="s">
        <v>2696</v>
      </c>
      <c r="W194" s="5" t="s">
        <v>1750</v>
      </c>
      <c r="X194" s="5" t="s">
        <v>1750</v>
      </c>
      <c r="Y194" s="4">
        <v>399</v>
      </c>
      <c r="Z194" s="4">
        <v>345</v>
      </c>
      <c r="AA194" s="4">
        <v>352</v>
      </c>
      <c r="AB194" s="4">
        <v>3</v>
      </c>
      <c r="AC194" s="4">
        <v>3</v>
      </c>
      <c r="AD194" s="4">
        <v>16</v>
      </c>
      <c r="AE194" s="4">
        <v>16</v>
      </c>
      <c r="AF194" s="4">
        <v>2</v>
      </c>
      <c r="AG194" s="4">
        <v>2</v>
      </c>
      <c r="AH194" s="4">
        <v>6</v>
      </c>
      <c r="AI194" s="4">
        <v>6</v>
      </c>
      <c r="AJ194" s="4">
        <v>8</v>
      </c>
      <c r="AK194" s="4">
        <v>8</v>
      </c>
      <c r="AL194" s="4">
        <v>2</v>
      </c>
      <c r="AM194" s="4">
        <v>2</v>
      </c>
      <c r="AN194" s="4">
        <v>2</v>
      </c>
      <c r="AO194" s="4">
        <v>2</v>
      </c>
      <c r="AP194" s="3" t="s">
        <v>58</v>
      </c>
      <c r="AQ194" s="3" t="s">
        <v>68</v>
      </c>
      <c r="AR194" s="6" t="str">
        <f>HYPERLINK("http://catalog.hathitrust.org/Record/000878396","HathiTrust Record")</f>
        <v>HathiTrust Record</v>
      </c>
      <c r="AS194" s="6" t="str">
        <f>HYPERLINK("https://creighton-primo.hosted.exlibrisgroup.com/primo-explore/search?tab=default_tab&amp;search_scope=EVERYTHING&amp;vid=01CRU&amp;lang=en_US&amp;offset=0&amp;query=any,contains,991001137469702656","Catalog Record")</f>
        <v>Catalog Record</v>
      </c>
      <c r="AT194" s="6" t="str">
        <f>HYPERLINK("http://www.worldcat.org/oclc/16717809","WorldCat Record")</f>
        <v>WorldCat Record</v>
      </c>
      <c r="AU194" s="3" t="s">
        <v>2697</v>
      </c>
      <c r="AV194" s="3" t="s">
        <v>2698</v>
      </c>
      <c r="AW194" s="3" t="s">
        <v>2699</v>
      </c>
      <c r="AX194" s="3" t="s">
        <v>2699</v>
      </c>
      <c r="AY194" s="3" t="s">
        <v>2700</v>
      </c>
      <c r="AZ194" s="3" t="s">
        <v>73</v>
      </c>
      <c r="BB194" s="3" t="s">
        <v>2701</v>
      </c>
      <c r="BC194" s="3" t="s">
        <v>2702</v>
      </c>
      <c r="BD194" s="3" t="s">
        <v>2703</v>
      </c>
    </row>
    <row r="195" spans="1:56" ht="38.25" customHeight="1" x14ac:dyDescent="0.25">
      <c r="A195" s="7" t="s">
        <v>58</v>
      </c>
      <c r="B195" s="2" t="s">
        <v>2704</v>
      </c>
      <c r="C195" s="2" t="s">
        <v>2705</v>
      </c>
      <c r="D195" s="2" t="s">
        <v>2706</v>
      </c>
      <c r="F195" s="3" t="s">
        <v>58</v>
      </c>
      <c r="G195" s="3" t="s">
        <v>59</v>
      </c>
      <c r="H195" s="3" t="s">
        <v>58</v>
      </c>
      <c r="I195" s="3" t="s">
        <v>68</v>
      </c>
      <c r="J195" s="3" t="s">
        <v>60</v>
      </c>
      <c r="K195" s="2" t="s">
        <v>2707</v>
      </c>
      <c r="L195" s="2" t="s">
        <v>2708</v>
      </c>
      <c r="M195" s="3" t="s">
        <v>1023</v>
      </c>
      <c r="N195" s="2" t="s">
        <v>325</v>
      </c>
      <c r="O195" s="3" t="s">
        <v>64</v>
      </c>
      <c r="P195" s="3" t="s">
        <v>65</v>
      </c>
      <c r="R195" s="3" t="s">
        <v>1531</v>
      </c>
      <c r="S195" s="4">
        <v>4</v>
      </c>
      <c r="T195" s="4">
        <v>4</v>
      </c>
      <c r="U195" s="5" t="s">
        <v>2640</v>
      </c>
      <c r="V195" s="5" t="s">
        <v>2640</v>
      </c>
      <c r="W195" s="5" t="s">
        <v>2611</v>
      </c>
      <c r="X195" s="5" t="s">
        <v>2611</v>
      </c>
      <c r="Y195" s="4">
        <v>935</v>
      </c>
      <c r="Z195" s="4">
        <v>808</v>
      </c>
      <c r="AA195" s="4">
        <v>927</v>
      </c>
      <c r="AB195" s="4">
        <v>6</v>
      </c>
      <c r="AC195" s="4">
        <v>6</v>
      </c>
      <c r="AD195" s="4">
        <v>28</v>
      </c>
      <c r="AE195" s="4">
        <v>33</v>
      </c>
      <c r="AF195" s="4">
        <v>9</v>
      </c>
      <c r="AG195" s="4">
        <v>10</v>
      </c>
      <c r="AH195" s="4">
        <v>6</v>
      </c>
      <c r="AI195" s="4">
        <v>7</v>
      </c>
      <c r="AJ195" s="4">
        <v>11</v>
      </c>
      <c r="AK195" s="4">
        <v>13</v>
      </c>
      <c r="AL195" s="4">
        <v>5</v>
      </c>
      <c r="AM195" s="4">
        <v>5</v>
      </c>
      <c r="AN195" s="4">
        <v>2</v>
      </c>
      <c r="AO195" s="4">
        <v>4</v>
      </c>
      <c r="AP195" s="3" t="s">
        <v>58</v>
      </c>
      <c r="AQ195" s="3" t="s">
        <v>68</v>
      </c>
      <c r="AR195" s="6" t="str">
        <f>HYPERLINK("http://catalog.hathitrust.org/Record/001154523","HathiTrust Record")</f>
        <v>HathiTrust Record</v>
      </c>
      <c r="AS195" s="6" t="str">
        <f>HYPERLINK("https://creighton-primo.hosted.exlibrisgroup.com/primo-explore/search?tab=default_tab&amp;search_scope=EVERYTHING&amp;vid=01CRU&amp;lang=en_US&amp;offset=0&amp;query=any,contains,991003038909702656","Catalog Record")</f>
        <v>Catalog Record</v>
      </c>
      <c r="AT195" s="6" t="str">
        <f>HYPERLINK("http://www.worldcat.org/oclc/600511","WorldCat Record")</f>
        <v>WorldCat Record</v>
      </c>
      <c r="AU195" s="3" t="s">
        <v>2709</v>
      </c>
      <c r="AV195" s="3" t="s">
        <v>2710</v>
      </c>
      <c r="AW195" s="3" t="s">
        <v>2711</v>
      </c>
      <c r="AX195" s="3" t="s">
        <v>2711</v>
      </c>
      <c r="AY195" s="3" t="s">
        <v>2712</v>
      </c>
      <c r="AZ195" s="3" t="s">
        <v>73</v>
      </c>
      <c r="BB195" s="3" t="s">
        <v>2713</v>
      </c>
      <c r="BC195" s="3" t="s">
        <v>2714</v>
      </c>
      <c r="BD195" s="3" t="s">
        <v>2715</v>
      </c>
    </row>
    <row r="196" spans="1:56" ht="38.25" customHeight="1" x14ac:dyDescent="0.25">
      <c r="A196" s="7" t="s">
        <v>58</v>
      </c>
      <c r="B196" s="2" t="s">
        <v>2716</v>
      </c>
      <c r="C196" s="2" t="s">
        <v>2717</v>
      </c>
      <c r="D196" s="2" t="s">
        <v>2718</v>
      </c>
      <c r="F196" s="3" t="s">
        <v>58</v>
      </c>
      <c r="G196" s="3" t="s">
        <v>59</v>
      </c>
      <c r="H196" s="3" t="s">
        <v>58</v>
      </c>
      <c r="I196" s="3" t="s">
        <v>58</v>
      </c>
      <c r="J196" s="3" t="s">
        <v>60</v>
      </c>
      <c r="L196" s="2" t="s">
        <v>2719</v>
      </c>
      <c r="M196" s="3" t="s">
        <v>975</v>
      </c>
      <c r="O196" s="3" t="s">
        <v>64</v>
      </c>
      <c r="P196" s="3" t="s">
        <v>65</v>
      </c>
      <c r="Q196" s="2" t="s">
        <v>2720</v>
      </c>
      <c r="R196" s="3" t="s">
        <v>1531</v>
      </c>
      <c r="S196" s="4">
        <v>3</v>
      </c>
      <c r="T196" s="4">
        <v>3</v>
      </c>
      <c r="U196" s="5" t="s">
        <v>2557</v>
      </c>
      <c r="V196" s="5" t="s">
        <v>2557</v>
      </c>
      <c r="W196" s="5" t="s">
        <v>2611</v>
      </c>
      <c r="X196" s="5" t="s">
        <v>2611</v>
      </c>
      <c r="Y196" s="4">
        <v>692</v>
      </c>
      <c r="Z196" s="4">
        <v>542</v>
      </c>
      <c r="AA196" s="4">
        <v>544</v>
      </c>
      <c r="AB196" s="4">
        <v>5</v>
      </c>
      <c r="AC196" s="4">
        <v>5</v>
      </c>
      <c r="AD196" s="4">
        <v>23</v>
      </c>
      <c r="AE196" s="4">
        <v>23</v>
      </c>
      <c r="AF196" s="4">
        <v>8</v>
      </c>
      <c r="AG196" s="4">
        <v>8</v>
      </c>
      <c r="AH196" s="4">
        <v>4</v>
      </c>
      <c r="AI196" s="4">
        <v>4</v>
      </c>
      <c r="AJ196" s="4">
        <v>13</v>
      </c>
      <c r="AK196" s="4">
        <v>13</v>
      </c>
      <c r="AL196" s="4">
        <v>4</v>
      </c>
      <c r="AM196" s="4">
        <v>4</v>
      </c>
      <c r="AN196" s="4">
        <v>2</v>
      </c>
      <c r="AO196" s="4">
        <v>2</v>
      </c>
      <c r="AP196" s="3" t="s">
        <v>58</v>
      </c>
      <c r="AQ196" s="3" t="s">
        <v>68</v>
      </c>
      <c r="AR196" s="6" t="str">
        <f>HYPERLINK("http://catalog.hathitrust.org/Record/000251226","HathiTrust Record")</f>
        <v>HathiTrust Record</v>
      </c>
      <c r="AS196" s="6" t="str">
        <f>HYPERLINK("https://creighton-primo.hosted.exlibrisgroup.com/primo-explore/search?tab=default_tab&amp;search_scope=EVERYTHING&amp;vid=01CRU&amp;lang=en_US&amp;offset=0&amp;query=any,contains,991004313779702656","Catalog Record")</f>
        <v>Catalog Record</v>
      </c>
      <c r="AT196" s="6" t="str">
        <f>HYPERLINK("http://www.worldcat.org/oclc/3002535","WorldCat Record")</f>
        <v>WorldCat Record</v>
      </c>
      <c r="AU196" s="3" t="s">
        <v>2721</v>
      </c>
      <c r="AV196" s="3" t="s">
        <v>2722</v>
      </c>
      <c r="AW196" s="3" t="s">
        <v>2723</v>
      </c>
      <c r="AX196" s="3" t="s">
        <v>2723</v>
      </c>
      <c r="AY196" s="3" t="s">
        <v>2724</v>
      </c>
      <c r="AZ196" s="3" t="s">
        <v>73</v>
      </c>
      <c r="BB196" s="3" t="s">
        <v>2725</v>
      </c>
      <c r="BC196" s="3" t="s">
        <v>2726</v>
      </c>
      <c r="BD196" s="3" t="s">
        <v>2727</v>
      </c>
    </row>
    <row r="197" spans="1:56" ht="38.25" customHeight="1" x14ac:dyDescent="0.25">
      <c r="A197" s="7" t="s">
        <v>58</v>
      </c>
      <c r="B197" s="2" t="s">
        <v>2728</v>
      </c>
      <c r="C197" s="2" t="s">
        <v>2729</v>
      </c>
      <c r="D197" s="2" t="s">
        <v>2730</v>
      </c>
      <c r="F197" s="3" t="s">
        <v>58</v>
      </c>
      <c r="G197" s="3" t="s">
        <v>59</v>
      </c>
      <c r="H197" s="3" t="s">
        <v>58</v>
      </c>
      <c r="I197" s="3" t="s">
        <v>58</v>
      </c>
      <c r="J197" s="3" t="s">
        <v>60</v>
      </c>
      <c r="L197" s="2" t="s">
        <v>2731</v>
      </c>
      <c r="M197" s="3" t="s">
        <v>452</v>
      </c>
      <c r="O197" s="3" t="s">
        <v>64</v>
      </c>
      <c r="P197" s="3" t="s">
        <v>580</v>
      </c>
      <c r="R197" s="3" t="s">
        <v>1531</v>
      </c>
      <c r="S197" s="4">
        <v>3</v>
      </c>
      <c r="T197" s="4">
        <v>3</v>
      </c>
      <c r="U197" s="5" t="s">
        <v>2732</v>
      </c>
      <c r="V197" s="5" t="s">
        <v>2732</v>
      </c>
      <c r="W197" s="5" t="s">
        <v>2611</v>
      </c>
      <c r="X197" s="5" t="s">
        <v>2611</v>
      </c>
      <c r="Y197" s="4">
        <v>512</v>
      </c>
      <c r="Z197" s="4">
        <v>454</v>
      </c>
      <c r="AA197" s="4">
        <v>457</v>
      </c>
      <c r="AB197" s="4">
        <v>5</v>
      </c>
      <c r="AC197" s="4">
        <v>5</v>
      </c>
      <c r="AD197" s="4">
        <v>19</v>
      </c>
      <c r="AE197" s="4">
        <v>19</v>
      </c>
      <c r="AF197" s="4">
        <v>7</v>
      </c>
      <c r="AG197" s="4">
        <v>7</v>
      </c>
      <c r="AH197" s="4">
        <v>5</v>
      </c>
      <c r="AI197" s="4">
        <v>5</v>
      </c>
      <c r="AJ197" s="4">
        <v>9</v>
      </c>
      <c r="AK197" s="4">
        <v>9</v>
      </c>
      <c r="AL197" s="4">
        <v>4</v>
      </c>
      <c r="AM197" s="4">
        <v>4</v>
      </c>
      <c r="AN197" s="4">
        <v>0</v>
      </c>
      <c r="AO197" s="4">
        <v>0</v>
      </c>
      <c r="AP197" s="3" t="s">
        <v>58</v>
      </c>
      <c r="AQ197" s="3" t="s">
        <v>58</v>
      </c>
      <c r="AR197" s="6" t="str">
        <f>HYPERLINK("http://catalog.hathitrust.org/Record/001154529","HathiTrust Record")</f>
        <v>HathiTrust Record</v>
      </c>
      <c r="AS197" s="6" t="str">
        <f>HYPERLINK("https://creighton-primo.hosted.exlibrisgroup.com/primo-explore/search?tab=default_tab&amp;search_scope=EVERYTHING&amp;vid=01CRU&amp;lang=en_US&amp;offset=0&amp;query=any,contains,991002881659702656","Catalog Record")</f>
        <v>Catalog Record</v>
      </c>
      <c r="AT197" s="6" t="str">
        <f>HYPERLINK("http://www.worldcat.org/oclc/505867","WorldCat Record")</f>
        <v>WorldCat Record</v>
      </c>
      <c r="AU197" s="3" t="s">
        <v>2733</v>
      </c>
      <c r="AV197" s="3" t="s">
        <v>2734</v>
      </c>
      <c r="AW197" s="3" t="s">
        <v>2735</v>
      </c>
      <c r="AX197" s="3" t="s">
        <v>2735</v>
      </c>
      <c r="AY197" s="3" t="s">
        <v>2736</v>
      </c>
      <c r="AZ197" s="3" t="s">
        <v>73</v>
      </c>
      <c r="BC197" s="3" t="s">
        <v>2737</v>
      </c>
      <c r="BD197" s="3" t="s">
        <v>2738</v>
      </c>
    </row>
    <row r="198" spans="1:56" ht="38.25" customHeight="1" x14ac:dyDescent="0.25">
      <c r="A198" s="7" t="s">
        <v>58</v>
      </c>
      <c r="B198" s="2" t="s">
        <v>2739</v>
      </c>
      <c r="C198" s="2" t="s">
        <v>2740</v>
      </c>
      <c r="D198" s="2" t="s">
        <v>2741</v>
      </c>
      <c r="F198" s="3" t="s">
        <v>58</v>
      </c>
      <c r="G198" s="3" t="s">
        <v>59</v>
      </c>
      <c r="H198" s="3" t="s">
        <v>58</v>
      </c>
      <c r="I198" s="3" t="s">
        <v>58</v>
      </c>
      <c r="J198" s="3" t="s">
        <v>60</v>
      </c>
      <c r="K198" s="2" t="s">
        <v>2742</v>
      </c>
      <c r="L198" s="2" t="s">
        <v>2743</v>
      </c>
      <c r="M198" s="3" t="s">
        <v>365</v>
      </c>
      <c r="N198" s="2" t="s">
        <v>524</v>
      </c>
      <c r="O198" s="3" t="s">
        <v>64</v>
      </c>
      <c r="P198" s="3" t="s">
        <v>65</v>
      </c>
      <c r="R198" s="3" t="s">
        <v>1531</v>
      </c>
      <c r="S198" s="4">
        <v>1</v>
      </c>
      <c r="T198" s="4">
        <v>1</v>
      </c>
      <c r="U198" s="5" t="s">
        <v>2744</v>
      </c>
      <c r="V198" s="5" t="s">
        <v>2744</v>
      </c>
      <c r="W198" s="5" t="s">
        <v>2745</v>
      </c>
      <c r="X198" s="5" t="s">
        <v>2745</v>
      </c>
      <c r="Y198" s="4">
        <v>1033</v>
      </c>
      <c r="Z198" s="4">
        <v>956</v>
      </c>
      <c r="AA198" s="4">
        <v>982</v>
      </c>
      <c r="AB198" s="4">
        <v>6</v>
      </c>
      <c r="AC198" s="4">
        <v>6</v>
      </c>
      <c r="AD198" s="4">
        <v>31</v>
      </c>
      <c r="AE198" s="4">
        <v>32</v>
      </c>
      <c r="AF198" s="4">
        <v>12</v>
      </c>
      <c r="AG198" s="4">
        <v>13</v>
      </c>
      <c r="AH198" s="4">
        <v>7</v>
      </c>
      <c r="AI198" s="4">
        <v>7</v>
      </c>
      <c r="AJ198" s="4">
        <v>17</v>
      </c>
      <c r="AK198" s="4">
        <v>17</v>
      </c>
      <c r="AL198" s="4">
        <v>4</v>
      </c>
      <c r="AM198" s="4">
        <v>4</v>
      </c>
      <c r="AN198" s="4">
        <v>0</v>
      </c>
      <c r="AO198" s="4">
        <v>0</v>
      </c>
      <c r="AP198" s="3" t="s">
        <v>58</v>
      </c>
      <c r="AQ198" s="3" t="s">
        <v>68</v>
      </c>
      <c r="AR198" s="6" t="str">
        <f>HYPERLINK("http://catalog.hathitrust.org/Record/000325204","HathiTrust Record")</f>
        <v>HathiTrust Record</v>
      </c>
      <c r="AS198" s="6" t="str">
        <f>HYPERLINK("https://creighton-primo.hosted.exlibrisgroup.com/primo-explore/search?tab=default_tab&amp;search_scope=EVERYTHING&amp;vid=01CRU&amp;lang=en_US&amp;offset=0&amp;query=any,contains,991000384269702656","Catalog Record")</f>
        <v>Catalog Record</v>
      </c>
      <c r="AT198" s="6" t="str">
        <f>HYPERLINK("http://www.worldcat.org/oclc/10506686","WorldCat Record")</f>
        <v>WorldCat Record</v>
      </c>
      <c r="AU198" s="3" t="s">
        <v>2746</v>
      </c>
      <c r="AV198" s="3" t="s">
        <v>2747</v>
      </c>
      <c r="AW198" s="3" t="s">
        <v>2748</v>
      </c>
      <c r="AX198" s="3" t="s">
        <v>2748</v>
      </c>
      <c r="AY198" s="3" t="s">
        <v>2749</v>
      </c>
      <c r="AZ198" s="3" t="s">
        <v>73</v>
      </c>
      <c r="BB198" s="3" t="s">
        <v>2750</v>
      </c>
      <c r="BC198" s="3" t="s">
        <v>2751</v>
      </c>
      <c r="BD198" s="3" t="s">
        <v>2752</v>
      </c>
    </row>
    <row r="199" spans="1:56" ht="38.25" customHeight="1" x14ac:dyDescent="0.25">
      <c r="A199" s="7" t="s">
        <v>58</v>
      </c>
      <c r="B199" s="2" t="s">
        <v>2753</v>
      </c>
      <c r="C199" s="2" t="s">
        <v>2754</v>
      </c>
      <c r="D199" s="2" t="s">
        <v>2755</v>
      </c>
      <c r="F199" s="3" t="s">
        <v>58</v>
      </c>
      <c r="G199" s="3" t="s">
        <v>59</v>
      </c>
      <c r="H199" s="3" t="s">
        <v>58</v>
      </c>
      <c r="I199" s="3" t="s">
        <v>58</v>
      </c>
      <c r="J199" s="3" t="s">
        <v>60</v>
      </c>
      <c r="K199" s="2" t="s">
        <v>2756</v>
      </c>
      <c r="L199" s="2" t="s">
        <v>2757</v>
      </c>
      <c r="M199" s="3" t="s">
        <v>508</v>
      </c>
      <c r="O199" s="3" t="s">
        <v>64</v>
      </c>
      <c r="P199" s="3" t="s">
        <v>130</v>
      </c>
      <c r="R199" s="3" t="s">
        <v>1531</v>
      </c>
      <c r="S199" s="4">
        <v>6</v>
      </c>
      <c r="T199" s="4">
        <v>6</v>
      </c>
      <c r="U199" s="5" t="s">
        <v>2758</v>
      </c>
      <c r="V199" s="5" t="s">
        <v>2758</v>
      </c>
      <c r="W199" s="5" t="s">
        <v>2255</v>
      </c>
      <c r="X199" s="5" t="s">
        <v>2255</v>
      </c>
      <c r="Y199" s="4">
        <v>361</v>
      </c>
      <c r="Z199" s="4">
        <v>306</v>
      </c>
      <c r="AA199" s="4">
        <v>330</v>
      </c>
      <c r="AB199" s="4">
        <v>3</v>
      </c>
      <c r="AC199" s="4">
        <v>3</v>
      </c>
      <c r="AD199" s="4">
        <v>15</v>
      </c>
      <c r="AE199" s="4">
        <v>15</v>
      </c>
      <c r="AF199" s="4">
        <v>1</v>
      </c>
      <c r="AG199" s="4">
        <v>1</v>
      </c>
      <c r="AH199" s="4">
        <v>5</v>
      </c>
      <c r="AI199" s="4">
        <v>5</v>
      </c>
      <c r="AJ199" s="4">
        <v>8</v>
      </c>
      <c r="AK199" s="4">
        <v>8</v>
      </c>
      <c r="AL199" s="4">
        <v>2</v>
      </c>
      <c r="AM199" s="4">
        <v>2</v>
      </c>
      <c r="AN199" s="4">
        <v>2</v>
      </c>
      <c r="AO199" s="4">
        <v>2</v>
      </c>
      <c r="AP199" s="3" t="s">
        <v>58</v>
      </c>
      <c r="AQ199" s="3" t="s">
        <v>68</v>
      </c>
      <c r="AR199" s="6" t="str">
        <f>HYPERLINK("http://catalog.hathitrust.org/Record/002718334","HathiTrust Record")</f>
        <v>HathiTrust Record</v>
      </c>
      <c r="AS199" s="6" t="str">
        <f>HYPERLINK("https://creighton-primo.hosted.exlibrisgroup.com/primo-explore/search?tab=default_tab&amp;search_scope=EVERYTHING&amp;vid=01CRU&amp;lang=en_US&amp;offset=0&amp;query=any,contains,991002216449702656","Catalog Record")</f>
        <v>Catalog Record</v>
      </c>
      <c r="AT199" s="6" t="str">
        <f>HYPERLINK("http://www.worldcat.org/oclc/28547629","WorldCat Record")</f>
        <v>WorldCat Record</v>
      </c>
      <c r="AU199" s="3" t="s">
        <v>2759</v>
      </c>
      <c r="AV199" s="3" t="s">
        <v>2760</v>
      </c>
      <c r="AW199" s="3" t="s">
        <v>2761</v>
      </c>
      <c r="AX199" s="3" t="s">
        <v>2761</v>
      </c>
      <c r="AY199" s="3" t="s">
        <v>2762</v>
      </c>
      <c r="AZ199" s="3" t="s">
        <v>73</v>
      </c>
      <c r="BB199" s="3" t="s">
        <v>2763</v>
      </c>
      <c r="BC199" s="3" t="s">
        <v>2764</v>
      </c>
      <c r="BD199" s="3" t="s">
        <v>2765</v>
      </c>
    </row>
    <row r="200" spans="1:56" ht="38.25" customHeight="1" x14ac:dyDescent="0.25">
      <c r="A200" s="7" t="s">
        <v>58</v>
      </c>
      <c r="B200" s="2" t="s">
        <v>2766</v>
      </c>
      <c r="C200" s="2" t="s">
        <v>2767</v>
      </c>
      <c r="D200" s="2" t="s">
        <v>2768</v>
      </c>
      <c r="F200" s="3" t="s">
        <v>58</v>
      </c>
      <c r="G200" s="3" t="s">
        <v>59</v>
      </c>
      <c r="H200" s="3" t="s">
        <v>58</v>
      </c>
      <c r="I200" s="3" t="s">
        <v>58</v>
      </c>
      <c r="J200" s="3" t="s">
        <v>60</v>
      </c>
      <c r="K200" s="2" t="s">
        <v>2769</v>
      </c>
      <c r="L200" s="2" t="s">
        <v>2770</v>
      </c>
      <c r="M200" s="3" t="s">
        <v>113</v>
      </c>
      <c r="O200" s="3" t="s">
        <v>64</v>
      </c>
      <c r="P200" s="3" t="s">
        <v>277</v>
      </c>
      <c r="R200" s="3" t="s">
        <v>1531</v>
      </c>
      <c r="S200" s="4">
        <v>2</v>
      </c>
      <c r="T200" s="4">
        <v>2</v>
      </c>
      <c r="U200" s="5" t="s">
        <v>2771</v>
      </c>
      <c r="V200" s="5" t="s">
        <v>2771</v>
      </c>
      <c r="W200" s="5" t="s">
        <v>2772</v>
      </c>
      <c r="X200" s="5" t="s">
        <v>2772</v>
      </c>
      <c r="Y200" s="4">
        <v>879</v>
      </c>
      <c r="Z200" s="4">
        <v>731</v>
      </c>
      <c r="AA200" s="4">
        <v>739</v>
      </c>
      <c r="AB200" s="4">
        <v>4</v>
      </c>
      <c r="AC200" s="4">
        <v>4</v>
      </c>
      <c r="AD200" s="4">
        <v>22</v>
      </c>
      <c r="AE200" s="4">
        <v>23</v>
      </c>
      <c r="AF200" s="4">
        <v>8</v>
      </c>
      <c r="AG200" s="4">
        <v>8</v>
      </c>
      <c r="AH200" s="4">
        <v>5</v>
      </c>
      <c r="AI200" s="4">
        <v>6</v>
      </c>
      <c r="AJ200" s="4">
        <v>13</v>
      </c>
      <c r="AK200" s="4">
        <v>14</v>
      </c>
      <c r="AL200" s="4">
        <v>3</v>
      </c>
      <c r="AM200" s="4">
        <v>3</v>
      </c>
      <c r="AN200" s="4">
        <v>1</v>
      </c>
      <c r="AO200" s="4">
        <v>1</v>
      </c>
      <c r="AP200" s="3" t="s">
        <v>58</v>
      </c>
      <c r="AQ200" s="3" t="s">
        <v>58</v>
      </c>
      <c r="AS200" s="6" t="str">
        <f>HYPERLINK("https://creighton-primo.hosted.exlibrisgroup.com/primo-explore/search?tab=default_tab&amp;search_scope=EVERYTHING&amp;vid=01CRU&amp;lang=en_US&amp;offset=0&amp;query=any,contains,991005177659702656","Catalog Record")</f>
        <v>Catalog Record</v>
      </c>
      <c r="AT200" s="6" t="str">
        <f>HYPERLINK("http://www.worldcat.org/oclc/7924996","WorldCat Record")</f>
        <v>WorldCat Record</v>
      </c>
      <c r="AU200" s="3" t="s">
        <v>2773</v>
      </c>
      <c r="AV200" s="3" t="s">
        <v>2774</v>
      </c>
      <c r="AW200" s="3" t="s">
        <v>2775</v>
      </c>
      <c r="AX200" s="3" t="s">
        <v>2775</v>
      </c>
      <c r="AY200" s="3" t="s">
        <v>2776</v>
      </c>
      <c r="AZ200" s="3" t="s">
        <v>73</v>
      </c>
      <c r="BB200" s="3" t="s">
        <v>2777</v>
      </c>
      <c r="BC200" s="3" t="s">
        <v>2778</v>
      </c>
      <c r="BD200" s="3" t="s">
        <v>2779</v>
      </c>
    </row>
    <row r="201" spans="1:56" ht="38.25" customHeight="1" x14ac:dyDescent="0.25">
      <c r="A201" s="7" t="s">
        <v>58</v>
      </c>
      <c r="B201" s="2" t="s">
        <v>2780</v>
      </c>
      <c r="C201" s="2" t="s">
        <v>2781</v>
      </c>
      <c r="D201" s="2" t="s">
        <v>2782</v>
      </c>
      <c r="F201" s="3" t="s">
        <v>58</v>
      </c>
      <c r="G201" s="3" t="s">
        <v>59</v>
      </c>
      <c r="H201" s="3" t="s">
        <v>58</v>
      </c>
      <c r="I201" s="3" t="s">
        <v>58</v>
      </c>
      <c r="J201" s="3" t="s">
        <v>60</v>
      </c>
      <c r="K201" s="2" t="s">
        <v>2783</v>
      </c>
      <c r="L201" s="2" t="s">
        <v>2784</v>
      </c>
      <c r="M201" s="3" t="s">
        <v>192</v>
      </c>
      <c r="O201" s="3" t="s">
        <v>64</v>
      </c>
      <c r="P201" s="3" t="s">
        <v>65</v>
      </c>
      <c r="R201" s="3" t="s">
        <v>1531</v>
      </c>
      <c r="S201" s="4">
        <v>4</v>
      </c>
      <c r="T201" s="4">
        <v>4</v>
      </c>
      <c r="U201" s="5" t="s">
        <v>2785</v>
      </c>
      <c r="V201" s="5" t="s">
        <v>2785</v>
      </c>
      <c r="W201" s="5" t="s">
        <v>2786</v>
      </c>
      <c r="X201" s="5" t="s">
        <v>2786</v>
      </c>
      <c r="Y201" s="4">
        <v>351</v>
      </c>
      <c r="Z201" s="4">
        <v>252</v>
      </c>
      <c r="AA201" s="4">
        <v>259</v>
      </c>
      <c r="AB201" s="4">
        <v>3</v>
      </c>
      <c r="AC201" s="4">
        <v>3</v>
      </c>
      <c r="AD201" s="4">
        <v>8</v>
      </c>
      <c r="AE201" s="4">
        <v>8</v>
      </c>
      <c r="AF201" s="4">
        <v>2</v>
      </c>
      <c r="AG201" s="4">
        <v>2</v>
      </c>
      <c r="AH201" s="4">
        <v>3</v>
      </c>
      <c r="AI201" s="4">
        <v>3</v>
      </c>
      <c r="AJ201" s="4">
        <v>4</v>
      </c>
      <c r="AK201" s="4">
        <v>4</v>
      </c>
      <c r="AL201" s="4">
        <v>2</v>
      </c>
      <c r="AM201" s="4">
        <v>2</v>
      </c>
      <c r="AN201" s="4">
        <v>0</v>
      </c>
      <c r="AO201" s="4">
        <v>0</v>
      </c>
      <c r="AP201" s="3" t="s">
        <v>58</v>
      </c>
      <c r="AQ201" s="3" t="s">
        <v>68</v>
      </c>
      <c r="AR201" s="6" t="str">
        <f>HYPERLINK("http://catalog.hathitrust.org/Record/000299131","HathiTrust Record")</f>
        <v>HathiTrust Record</v>
      </c>
      <c r="AS201" s="6" t="str">
        <f>HYPERLINK("https://creighton-primo.hosted.exlibrisgroup.com/primo-explore/search?tab=default_tab&amp;search_scope=EVERYTHING&amp;vid=01CRU&amp;lang=en_US&amp;offset=0&amp;query=any,contains,991004732089702656","Catalog Record")</f>
        <v>Catalog Record</v>
      </c>
      <c r="AT201" s="6" t="str">
        <f>HYPERLINK("http://www.worldcat.org/oclc/4835259","WorldCat Record")</f>
        <v>WorldCat Record</v>
      </c>
      <c r="AU201" s="3" t="s">
        <v>2787</v>
      </c>
      <c r="AV201" s="3" t="s">
        <v>2788</v>
      </c>
      <c r="AW201" s="3" t="s">
        <v>2789</v>
      </c>
      <c r="AX201" s="3" t="s">
        <v>2789</v>
      </c>
      <c r="AY201" s="3" t="s">
        <v>2790</v>
      </c>
      <c r="AZ201" s="3" t="s">
        <v>73</v>
      </c>
      <c r="BB201" s="3" t="s">
        <v>2791</v>
      </c>
      <c r="BC201" s="3" t="s">
        <v>2792</v>
      </c>
      <c r="BD201" s="3" t="s">
        <v>2793</v>
      </c>
    </row>
    <row r="202" spans="1:56" ht="38.25" customHeight="1" x14ac:dyDescent="0.25">
      <c r="A202" s="7" t="s">
        <v>58</v>
      </c>
      <c r="B202" s="2" t="s">
        <v>2794</v>
      </c>
      <c r="C202" s="2" t="s">
        <v>2795</v>
      </c>
      <c r="D202" s="2" t="s">
        <v>2796</v>
      </c>
      <c r="F202" s="3" t="s">
        <v>58</v>
      </c>
      <c r="G202" s="3" t="s">
        <v>59</v>
      </c>
      <c r="H202" s="3" t="s">
        <v>58</v>
      </c>
      <c r="I202" s="3" t="s">
        <v>58</v>
      </c>
      <c r="J202" s="3" t="s">
        <v>60</v>
      </c>
      <c r="L202" s="2" t="s">
        <v>2797</v>
      </c>
      <c r="M202" s="3" t="s">
        <v>351</v>
      </c>
      <c r="O202" s="3" t="s">
        <v>64</v>
      </c>
      <c r="P202" s="3" t="s">
        <v>802</v>
      </c>
      <c r="R202" s="3" t="s">
        <v>1531</v>
      </c>
      <c r="S202" s="4">
        <v>4</v>
      </c>
      <c r="T202" s="4">
        <v>4</v>
      </c>
      <c r="U202" s="5" t="s">
        <v>1749</v>
      </c>
      <c r="V202" s="5" t="s">
        <v>1749</v>
      </c>
      <c r="W202" s="5" t="s">
        <v>2786</v>
      </c>
      <c r="X202" s="5" t="s">
        <v>2786</v>
      </c>
      <c r="Y202" s="4">
        <v>797</v>
      </c>
      <c r="Z202" s="4">
        <v>685</v>
      </c>
      <c r="AA202" s="4">
        <v>691</v>
      </c>
      <c r="AB202" s="4">
        <v>5</v>
      </c>
      <c r="AC202" s="4">
        <v>5</v>
      </c>
      <c r="AD202" s="4">
        <v>32</v>
      </c>
      <c r="AE202" s="4">
        <v>32</v>
      </c>
      <c r="AF202" s="4">
        <v>9</v>
      </c>
      <c r="AG202" s="4">
        <v>9</v>
      </c>
      <c r="AH202" s="4">
        <v>6</v>
      </c>
      <c r="AI202" s="4">
        <v>6</v>
      </c>
      <c r="AJ202" s="4">
        <v>15</v>
      </c>
      <c r="AK202" s="4">
        <v>15</v>
      </c>
      <c r="AL202" s="4">
        <v>4</v>
      </c>
      <c r="AM202" s="4">
        <v>4</v>
      </c>
      <c r="AN202" s="4">
        <v>5</v>
      </c>
      <c r="AO202" s="4">
        <v>5</v>
      </c>
      <c r="AP202" s="3" t="s">
        <v>58</v>
      </c>
      <c r="AQ202" s="3" t="s">
        <v>68</v>
      </c>
      <c r="AR202" s="6" t="str">
        <f>HYPERLINK("http://catalog.hathitrust.org/Record/000732335","HathiTrust Record")</f>
        <v>HathiTrust Record</v>
      </c>
      <c r="AS202" s="6" t="str">
        <f>HYPERLINK("https://creighton-primo.hosted.exlibrisgroup.com/primo-explore/search?tab=default_tab&amp;search_scope=EVERYTHING&amp;vid=01CRU&amp;lang=en_US&amp;offset=0&amp;query=any,contains,991005016479702656","Catalog Record")</f>
        <v>Catalog Record</v>
      </c>
      <c r="AT202" s="6" t="str">
        <f>HYPERLINK("http://www.worldcat.org/oclc/6626674","WorldCat Record")</f>
        <v>WorldCat Record</v>
      </c>
      <c r="AU202" s="3" t="s">
        <v>2798</v>
      </c>
      <c r="AV202" s="3" t="s">
        <v>2799</v>
      </c>
      <c r="AW202" s="3" t="s">
        <v>2800</v>
      </c>
      <c r="AX202" s="3" t="s">
        <v>2800</v>
      </c>
      <c r="AY202" s="3" t="s">
        <v>2801</v>
      </c>
      <c r="AZ202" s="3" t="s">
        <v>73</v>
      </c>
      <c r="BB202" s="3" t="s">
        <v>2802</v>
      </c>
      <c r="BC202" s="3" t="s">
        <v>2803</v>
      </c>
      <c r="BD202" s="3" t="s">
        <v>2804</v>
      </c>
    </row>
    <row r="203" spans="1:56" ht="38.25" customHeight="1" x14ac:dyDescent="0.25">
      <c r="A203" s="7" t="s">
        <v>58</v>
      </c>
      <c r="B203" s="2" t="s">
        <v>2805</v>
      </c>
      <c r="C203" s="2" t="s">
        <v>2806</v>
      </c>
      <c r="D203" s="2" t="s">
        <v>2807</v>
      </c>
      <c r="F203" s="3" t="s">
        <v>58</v>
      </c>
      <c r="G203" s="3" t="s">
        <v>59</v>
      </c>
      <c r="H203" s="3" t="s">
        <v>58</v>
      </c>
      <c r="I203" s="3" t="s">
        <v>58</v>
      </c>
      <c r="J203" s="3" t="s">
        <v>60</v>
      </c>
      <c r="K203" s="2" t="s">
        <v>2808</v>
      </c>
      <c r="L203" s="2" t="s">
        <v>2809</v>
      </c>
      <c r="M203" s="3" t="s">
        <v>276</v>
      </c>
      <c r="O203" s="3" t="s">
        <v>64</v>
      </c>
      <c r="P203" s="3" t="s">
        <v>580</v>
      </c>
      <c r="Q203" s="2" t="s">
        <v>2810</v>
      </c>
      <c r="R203" s="3" t="s">
        <v>1531</v>
      </c>
      <c r="S203" s="4">
        <v>4</v>
      </c>
      <c r="T203" s="4">
        <v>4</v>
      </c>
      <c r="U203" s="5" t="s">
        <v>2610</v>
      </c>
      <c r="V203" s="5" t="s">
        <v>2610</v>
      </c>
      <c r="W203" s="5" t="s">
        <v>2811</v>
      </c>
      <c r="X203" s="5" t="s">
        <v>2811</v>
      </c>
      <c r="Y203" s="4">
        <v>424</v>
      </c>
      <c r="Z203" s="4">
        <v>339</v>
      </c>
      <c r="AA203" s="4">
        <v>344</v>
      </c>
      <c r="AB203" s="4">
        <v>4</v>
      </c>
      <c r="AC203" s="4">
        <v>4</v>
      </c>
      <c r="AD203" s="4">
        <v>24</v>
      </c>
      <c r="AE203" s="4">
        <v>24</v>
      </c>
      <c r="AF203" s="4">
        <v>6</v>
      </c>
      <c r="AG203" s="4">
        <v>6</v>
      </c>
      <c r="AH203" s="4">
        <v>6</v>
      </c>
      <c r="AI203" s="4">
        <v>6</v>
      </c>
      <c r="AJ203" s="4">
        <v>11</v>
      </c>
      <c r="AK203" s="4">
        <v>11</v>
      </c>
      <c r="AL203" s="4">
        <v>3</v>
      </c>
      <c r="AM203" s="4">
        <v>3</v>
      </c>
      <c r="AN203" s="4">
        <v>3</v>
      </c>
      <c r="AO203" s="4">
        <v>3</v>
      </c>
      <c r="AP203" s="3" t="s">
        <v>58</v>
      </c>
      <c r="AQ203" s="3" t="s">
        <v>58</v>
      </c>
      <c r="AS203" s="6" t="str">
        <f>HYPERLINK("https://creighton-primo.hosted.exlibrisgroup.com/primo-explore/search?tab=default_tab&amp;search_scope=EVERYTHING&amp;vid=01CRU&amp;lang=en_US&amp;offset=0&amp;query=any,contains,991002728219702656","Catalog Record")</f>
        <v>Catalog Record</v>
      </c>
      <c r="AT203" s="6" t="str">
        <f>HYPERLINK("http://www.worldcat.org/oclc/35784329","WorldCat Record")</f>
        <v>WorldCat Record</v>
      </c>
      <c r="AU203" s="3" t="s">
        <v>2812</v>
      </c>
      <c r="AV203" s="3" t="s">
        <v>2813</v>
      </c>
      <c r="AW203" s="3" t="s">
        <v>2814</v>
      </c>
      <c r="AX203" s="3" t="s">
        <v>2814</v>
      </c>
      <c r="AY203" s="3" t="s">
        <v>2815</v>
      </c>
      <c r="AZ203" s="3" t="s">
        <v>73</v>
      </c>
      <c r="BB203" s="3" t="s">
        <v>2816</v>
      </c>
      <c r="BC203" s="3" t="s">
        <v>2817</v>
      </c>
      <c r="BD203" s="3" t="s">
        <v>2818</v>
      </c>
    </row>
    <row r="204" spans="1:56" ht="38.25" customHeight="1" x14ac:dyDescent="0.25">
      <c r="A204" s="7" t="s">
        <v>58</v>
      </c>
      <c r="B204" s="2" t="s">
        <v>2819</v>
      </c>
      <c r="C204" s="2" t="s">
        <v>2820</v>
      </c>
      <c r="D204" s="2" t="s">
        <v>2821</v>
      </c>
      <c r="F204" s="3" t="s">
        <v>58</v>
      </c>
      <c r="G204" s="3" t="s">
        <v>59</v>
      </c>
      <c r="H204" s="3" t="s">
        <v>58</v>
      </c>
      <c r="I204" s="3" t="s">
        <v>58</v>
      </c>
      <c r="J204" s="3" t="s">
        <v>60</v>
      </c>
      <c r="K204" s="2" t="s">
        <v>2822</v>
      </c>
      <c r="L204" s="2" t="s">
        <v>2823</v>
      </c>
      <c r="M204" s="3" t="s">
        <v>609</v>
      </c>
      <c r="O204" s="3" t="s">
        <v>64</v>
      </c>
      <c r="P204" s="3" t="s">
        <v>65</v>
      </c>
      <c r="R204" s="3" t="s">
        <v>1531</v>
      </c>
      <c r="S204" s="4">
        <v>4</v>
      </c>
      <c r="T204" s="4">
        <v>4</v>
      </c>
      <c r="U204" s="5" t="s">
        <v>2824</v>
      </c>
      <c r="V204" s="5" t="s">
        <v>2824</v>
      </c>
      <c r="W204" s="5" t="s">
        <v>2825</v>
      </c>
      <c r="X204" s="5" t="s">
        <v>2825</v>
      </c>
      <c r="Y204" s="4">
        <v>607</v>
      </c>
      <c r="Z204" s="4">
        <v>518</v>
      </c>
      <c r="AA204" s="4">
        <v>525</v>
      </c>
      <c r="AB204" s="4">
        <v>3</v>
      </c>
      <c r="AC204" s="4">
        <v>3</v>
      </c>
      <c r="AD204" s="4">
        <v>25</v>
      </c>
      <c r="AE204" s="4">
        <v>25</v>
      </c>
      <c r="AF204" s="4">
        <v>12</v>
      </c>
      <c r="AG204" s="4">
        <v>12</v>
      </c>
      <c r="AH204" s="4">
        <v>4</v>
      </c>
      <c r="AI204" s="4">
        <v>4</v>
      </c>
      <c r="AJ204" s="4">
        <v>12</v>
      </c>
      <c r="AK204" s="4">
        <v>12</v>
      </c>
      <c r="AL204" s="4">
        <v>2</v>
      </c>
      <c r="AM204" s="4">
        <v>2</v>
      </c>
      <c r="AN204" s="4">
        <v>2</v>
      </c>
      <c r="AO204" s="4">
        <v>2</v>
      </c>
      <c r="AP204" s="3" t="s">
        <v>58</v>
      </c>
      <c r="AQ204" s="3" t="s">
        <v>68</v>
      </c>
      <c r="AR204" s="6" t="str">
        <f>HYPERLINK("http://catalog.hathitrust.org/Record/001152281","HathiTrust Record")</f>
        <v>HathiTrust Record</v>
      </c>
      <c r="AS204" s="6" t="str">
        <f>HYPERLINK("https://creighton-primo.hosted.exlibrisgroup.com/primo-explore/search?tab=default_tab&amp;search_scope=EVERYTHING&amp;vid=01CRU&amp;lang=en_US&amp;offset=0&amp;query=any,contains,991003690699702656","Catalog Record")</f>
        <v>Catalog Record</v>
      </c>
      <c r="AT204" s="6" t="str">
        <f>HYPERLINK("http://www.worldcat.org/oclc/1322101","WorldCat Record")</f>
        <v>WorldCat Record</v>
      </c>
      <c r="AU204" s="3" t="s">
        <v>2826</v>
      </c>
      <c r="AV204" s="3" t="s">
        <v>2827</v>
      </c>
      <c r="AW204" s="3" t="s">
        <v>2828</v>
      </c>
      <c r="AX204" s="3" t="s">
        <v>2828</v>
      </c>
      <c r="AY204" s="3" t="s">
        <v>2829</v>
      </c>
      <c r="AZ204" s="3" t="s">
        <v>73</v>
      </c>
      <c r="BB204" s="3" t="s">
        <v>2830</v>
      </c>
      <c r="BC204" s="3" t="s">
        <v>2831</v>
      </c>
      <c r="BD204" s="3" t="s">
        <v>2832</v>
      </c>
    </row>
    <row r="205" spans="1:56" ht="38.25" customHeight="1" x14ac:dyDescent="0.25">
      <c r="A205" s="7" t="s">
        <v>58</v>
      </c>
      <c r="B205" s="2" t="s">
        <v>2833</v>
      </c>
      <c r="C205" s="2" t="s">
        <v>2834</v>
      </c>
      <c r="D205" s="2" t="s">
        <v>2835</v>
      </c>
      <c r="F205" s="3" t="s">
        <v>58</v>
      </c>
      <c r="G205" s="3" t="s">
        <v>59</v>
      </c>
      <c r="H205" s="3" t="s">
        <v>58</v>
      </c>
      <c r="I205" s="3" t="s">
        <v>58</v>
      </c>
      <c r="J205" s="3" t="s">
        <v>60</v>
      </c>
      <c r="L205" s="2" t="s">
        <v>2836</v>
      </c>
      <c r="M205" s="3" t="s">
        <v>82</v>
      </c>
      <c r="O205" s="3" t="s">
        <v>64</v>
      </c>
      <c r="P205" s="3" t="s">
        <v>65</v>
      </c>
      <c r="Q205" s="2" t="s">
        <v>2837</v>
      </c>
      <c r="R205" s="3" t="s">
        <v>2838</v>
      </c>
      <c r="S205" s="4">
        <v>1</v>
      </c>
      <c r="T205" s="4">
        <v>1</v>
      </c>
      <c r="U205" s="5" t="s">
        <v>2839</v>
      </c>
      <c r="V205" s="5" t="s">
        <v>2839</v>
      </c>
      <c r="W205" s="5" t="s">
        <v>2839</v>
      </c>
      <c r="X205" s="5" t="s">
        <v>2839</v>
      </c>
      <c r="Y205" s="4">
        <v>304</v>
      </c>
      <c r="Z205" s="4">
        <v>223</v>
      </c>
      <c r="AA205" s="4">
        <v>223</v>
      </c>
      <c r="AB205" s="4">
        <v>3</v>
      </c>
      <c r="AC205" s="4">
        <v>3</v>
      </c>
      <c r="AD205" s="4">
        <v>14</v>
      </c>
      <c r="AE205" s="4">
        <v>14</v>
      </c>
      <c r="AF205" s="4">
        <v>6</v>
      </c>
      <c r="AG205" s="4">
        <v>6</v>
      </c>
      <c r="AH205" s="4">
        <v>4</v>
      </c>
      <c r="AI205" s="4">
        <v>4</v>
      </c>
      <c r="AJ205" s="4">
        <v>6</v>
      </c>
      <c r="AK205" s="4">
        <v>6</v>
      </c>
      <c r="AL205" s="4">
        <v>2</v>
      </c>
      <c r="AM205" s="4">
        <v>2</v>
      </c>
      <c r="AN205" s="4">
        <v>0</v>
      </c>
      <c r="AO205" s="4">
        <v>0</v>
      </c>
      <c r="AP205" s="3" t="s">
        <v>58</v>
      </c>
      <c r="AQ205" s="3" t="s">
        <v>58</v>
      </c>
      <c r="AS205" s="6" t="str">
        <f>HYPERLINK("https://creighton-primo.hosted.exlibrisgroup.com/primo-explore/search?tab=default_tab&amp;search_scope=EVERYTHING&amp;vid=01CRU&amp;lang=en_US&amp;offset=0&amp;query=any,contains,991003689319702656","Catalog Record")</f>
        <v>Catalog Record</v>
      </c>
      <c r="AT205" s="6" t="str">
        <f>HYPERLINK("http://www.worldcat.org/oclc/42976868","WorldCat Record")</f>
        <v>WorldCat Record</v>
      </c>
      <c r="AU205" s="3" t="s">
        <v>2840</v>
      </c>
      <c r="AV205" s="3" t="s">
        <v>2841</v>
      </c>
      <c r="AW205" s="3" t="s">
        <v>2842</v>
      </c>
      <c r="AX205" s="3" t="s">
        <v>2842</v>
      </c>
      <c r="AY205" s="3" t="s">
        <v>2843</v>
      </c>
      <c r="AZ205" s="3" t="s">
        <v>73</v>
      </c>
      <c r="BB205" s="3" t="s">
        <v>2844</v>
      </c>
      <c r="BC205" s="3" t="s">
        <v>2845</v>
      </c>
      <c r="BD205" s="3" t="s">
        <v>2846</v>
      </c>
    </row>
    <row r="206" spans="1:56" ht="38.25" customHeight="1" x14ac:dyDescent="0.25">
      <c r="A206" s="7" t="s">
        <v>58</v>
      </c>
      <c r="B206" s="2" t="s">
        <v>2847</v>
      </c>
      <c r="C206" s="2" t="s">
        <v>2848</v>
      </c>
      <c r="D206" s="2" t="s">
        <v>2849</v>
      </c>
      <c r="F206" s="3" t="s">
        <v>58</v>
      </c>
      <c r="G206" s="3" t="s">
        <v>59</v>
      </c>
      <c r="H206" s="3" t="s">
        <v>58</v>
      </c>
      <c r="I206" s="3" t="s">
        <v>58</v>
      </c>
      <c r="J206" s="3" t="s">
        <v>60</v>
      </c>
      <c r="K206" s="2" t="s">
        <v>2850</v>
      </c>
      <c r="L206" s="2" t="s">
        <v>2851</v>
      </c>
      <c r="M206" s="3" t="s">
        <v>63</v>
      </c>
      <c r="O206" s="3" t="s">
        <v>64</v>
      </c>
      <c r="P206" s="3" t="s">
        <v>2694</v>
      </c>
      <c r="Q206" s="2" t="s">
        <v>2695</v>
      </c>
      <c r="R206" s="3" t="s">
        <v>2838</v>
      </c>
      <c r="S206" s="4">
        <v>4</v>
      </c>
      <c r="T206" s="4">
        <v>4</v>
      </c>
      <c r="U206" s="5" t="s">
        <v>2852</v>
      </c>
      <c r="V206" s="5" t="s">
        <v>2852</v>
      </c>
      <c r="W206" s="5" t="s">
        <v>2853</v>
      </c>
      <c r="X206" s="5" t="s">
        <v>2853</v>
      </c>
      <c r="Y206" s="4">
        <v>337</v>
      </c>
      <c r="Z206" s="4">
        <v>262</v>
      </c>
      <c r="AA206" s="4">
        <v>262</v>
      </c>
      <c r="AB206" s="4">
        <v>3</v>
      </c>
      <c r="AC206" s="4">
        <v>3</v>
      </c>
      <c r="AD206" s="4">
        <v>20</v>
      </c>
      <c r="AE206" s="4">
        <v>20</v>
      </c>
      <c r="AF206" s="4">
        <v>7</v>
      </c>
      <c r="AG206" s="4">
        <v>7</v>
      </c>
      <c r="AH206" s="4">
        <v>8</v>
      </c>
      <c r="AI206" s="4">
        <v>8</v>
      </c>
      <c r="AJ206" s="4">
        <v>11</v>
      </c>
      <c r="AK206" s="4">
        <v>11</v>
      </c>
      <c r="AL206" s="4">
        <v>2</v>
      </c>
      <c r="AM206" s="4">
        <v>2</v>
      </c>
      <c r="AN206" s="4">
        <v>0</v>
      </c>
      <c r="AO206" s="4">
        <v>0</v>
      </c>
      <c r="AP206" s="3" t="s">
        <v>58</v>
      </c>
      <c r="AQ206" s="3" t="s">
        <v>58</v>
      </c>
      <c r="AS206" s="6" t="str">
        <f>HYPERLINK("https://creighton-primo.hosted.exlibrisgroup.com/primo-explore/search?tab=default_tab&amp;search_scope=EVERYTHING&amp;vid=01CRU&amp;lang=en_US&amp;offset=0&amp;query=any,contains,991003476519702656","Catalog Record")</f>
        <v>Catalog Record</v>
      </c>
      <c r="AT206" s="6" t="str">
        <f>HYPERLINK("http://www.worldcat.org/oclc/40820863","WorldCat Record")</f>
        <v>WorldCat Record</v>
      </c>
      <c r="AU206" s="3" t="s">
        <v>2854</v>
      </c>
      <c r="AV206" s="3" t="s">
        <v>2855</v>
      </c>
      <c r="AW206" s="3" t="s">
        <v>2856</v>
      </c>
      <c r="AX206" s="3" t="s">
        <v>2856</v>
      </c>
      <c r="AY206" s="3" t="s">
        <v>2857</v>
      </c>
      <c r="AZ206" s="3" t="s">
        <v>73</v>
      </c>
      <c r="BB206" s="3" t="s">
        <v>2858</v>
      </c>
      <c r="BC206" s="3" t="s">
        <v>2859</v>
      </c>
      <c r="BD206" s="3" t="s">
        <v>2860</v>
      </c>
    </row>
    <row r="207" spans="1:56" ht="38.25" customHeight="1" x14ac:dyDescent="0.25">
      <c r="A207" s="7" t="s">
        <v>58</v>
      </c>
      <c r="B207" s="2" t="s">
        <v>2861</v>
      </c>
      <c r="C207" s="2" t="s">
        <v>2862</v>
      </c>
      <c r="D207" s="2" t="s">
        <v>2863</v>
      </c>
      <c r="F207" s="3" t="s">
        <v>58</v>
      </c>
      <c r="G207" s="3" t="s">
        <v>59</v>
      </c>
      <c r="H207" s="3" t="s">
        <v>58</v>
      </c>
      <c r="I207" s="3" t="s">
        <v>58</v>
      </c>
      <c r="J207" s="3" t="s">
        <v>60</v>
      </c>
      <c r="L207" s="2" t="s">
        <v>2864</v>
      </c>
      <c r="M207" s="3" t="s">
        <v>97</v>
      </c>
      <c r="O207" s="3" t="s">
        <v>64</v>
      </c>
      <c r="P207" s="3" t="s">
        <v>114</v>
      </c>
      <c r="R207" s="3" t="s">
        <v>2838</v>
      </c>
      <c r="S207" s="4">
        <v>3</v>
      </c>
      <c r="T207" s="4">
        <v>3</v>
      </c>
      <c r="U207" s="5" t="s">
        <v>2865</v>
      </c>
      <c r="V207" s="5" t="s">
        <v>2865</v>
      </c>
      <c r="W207" s="5" t="s">
        <v>2866</v>
      </c>
      <c r="X207" s="5" t="s">
        <v>2866</v>
      </c>
      <c r="Y207" s="4">
        <v>330</v>
      </c>
      <c r="Z207" s="4">
        <v>194</v>
      </c>
      <c r="AA207" s="4">
        <v>198</v>
      </c>
      <c r="AB207" s="4">
        <v>3</v>
      </c>
      <c r="AC207" s="4">
        <v>3</v>
      </c>
      <c r="AD207" s="4">
        <v>12</v>
      </c>
      <c r="AE207" s="4">
        <v>12</v>
      </c>
      <c r="AF207" s="4">
        <v>3</v>
      </c>
      <c r="AG207" s="4">
        <v>3</v>
      </c>
      <c r="AH207" s="4">
        <v>4</v>
      </c>
      <c r="AI207" s="4">
        <v>4</v>
      </c>
      <c r="AJ207" s="4">
        <v>6</v>
      </c>
      <c r="AK207" s="4">
        <v>6</v>
      </c>
      <c r="AL207" s="4">
        <v>2</v>
      </c>
      <c r="AM207" s="4">
        <v>2</v>
      </c>
      <c r="AN207" s="4">
        <v>0</v>
      </c>
      <c r="AO207" s="4">
        <v>0</v>
      </c>
      <c r="AP207" s="3" t="s">
        <v>58</v>
      </c>
      <c r="AQ207" s="3" t="s">
        <v>58</v>
      </c>
      <c r="AS207" s="6" t="str">
        <f>HYPERLINK("https://creighton-primo.hosted.exlibrisgroup.com/primo-explore/search?tab=default_tab&amp;search_scope=EVERYTHING&amp;vid=01CRU&amp;lang=en_US&amp;offset=0&amp;query=any,contains,991003916109702656","Catalog Record")</f>
        <v>Catalog Record</v>
      </c>
      <c r="AT207" s="6" t="str">
        <f>HYPERLINK("http://www.worldcat.org/oclc/46791154","WorldCat Record")</f>
        <v>WorldCat Record</v>
      </c>
      <c r="AU207" s="3" t="s">
        <v>2867</v>
      </c>
      <c r="AV207" s="3" t="s">
        <v>2868</v>
      </c>
      <c r="AW207" s="3" t="s">
        <v>2869</v>
      </c>
      <c r="AX207" s="3" t="s">
        <v>2869</v>
      </c>
      <c r="AY207" s="3" t="s">
        <v>2870</v>
      </c>
      <c r="AZ207" s="3" t="s">
        <v>73</v>
      </c>
      <c r="BB207" s="3" t="s">
        <v>2871</v>
      </c>
      <c r="BC207" s="3" t="s">
        <v>2872</v>
      </c>
      <c r="BD207" s="3" t="s">
        <v>2873</v>
      </c>
    </row>
    <row r="208" spans="1:56" ht="38.25" customHeight="1" x14ac:dyDescent="0.25">
      <c r="A208" s="7" t="s">
        <v>58</v>
      </c>
      <c r="B208" s="2" t="s">
        <v>2874</v>
      </c>
      <c r="C208" s="2" t="s">
        <v>2875</v>
      </c>
      <c r="D208" s="2" t="s">
        <v>2876</v>
      </c>
      <c r="F208" s="3" t="s">
        <v>58</v>
      </c>
      <c r="G208" s="3" t="s">
        <v>59</v>
      </c>
      <c r="H208" s="3" t="s">
        <v>58</v>
      </c>
      <c r="I208" s="3" t="s">
        <v>58</v>
      </c>
      <c r="J208" s="3" t="s">
        <v>60</v>
      </c>
      <c r="K208" s="2" t="s">
        <v>2877</v>
      </c>
      <c r="L208" s="2" t="s">
        <v>2878</v>
      </c>
      <c r="M208" s="3" t="s">
        <v>129</v>
      </c>
      <c r="O208" s="3" t="s">
        <v>64</v>
      </c>
      <c r="P208" s="3" t="s">
        <v>83</v>
      </c>
      <c r="R208" s="3" t="s">
        <v>2838</v>
      </c>
      <c r="S208" s="4">
        <v>2</v>
      </c>
      <c r="T208" s="4">
        <v>2</v>
      </c>
      <c r="U208" s="5" t="s">
        <v>2879</v>
      </c>
      <c r="V208" s="5" t="s">
        <v>2879</v>
      </c>
      <c r="W208" s="5" t="s">
        <v>2880</v>
      </c>
      <c r="X208" s="5" t="s">
        <v>2880</v>
      </c>
      <c r="Y208" s="4">
        <v>498</v>
      </c>
      <c r="Z208" s="4">
        <v>426</v>
      </c>
      <c r="AA208" s="4">
        <v>446</v>
      </c>
      <c r="AB208" s="4">
        <v>4</v>
      </c>
      <c r="AC208" s="4">
        <v>4</v>
      </c>
      <c r="AD208" s="4">
        <v>23</v>
      </c>
      <c r="AE208" s="4">
        <v>26</v>
      </c>
      <c r="AF208" s="4">
        <v>10</v>
      </c>
      <c r="AG208" s="4">
        <v>10</v>
      </c>
      <c r="AH208" s="4">
        <v>6</v>
      </c>
      <c r="AI208" s="4">
        <v>7</v>
      </c>
      <c r="AJ208" s="4">
        <v>9</v>
      </c>
      <c r="AK208" s="4">
        <v>12</v>
      </c>
      <c r="AL208" s="4">
        <v>3</v>
      </c>
      <c r="AM208" s="4">
        <v>3</v>
      </c>
      <c r="AN208" s="4">
        <v>0</v>
      </c>
      <c r="AO208" s="4">
        <v>0</v>
      </c>
      <c r="AP208" s="3" t="s">
        <v>58</v>
      </c>
      <c r="AQ208" s="3" t="s">
        <v>58</v>
      </c>
      <c r="AS208" s="6" t="str">
        <f>HYPERLINK("https://creighton-primo.hosted.exlibrisgroup.com/primo-explore/search?tab=default_tab&amp;search_scope=EVERYTHING&amp;vid=01CRU&amp;lang=en_US&amp;offset=0&amp;query=any,contains,991002867719702656","Catalog Record")</f>
        <v>Catalog Record</v>
      </c>
      <c r="AT208" s="6" t="str">
        <f>HYPERLINK("http://www.worldcat.org/oclc/37806133","WorldCat Record")</f>
        <v>WorldCat Record</v>
      </c>
      <c r="AU208" s="3" t="s">
        <v>2881</v>
      </c>
      <c r="AV208" s="3" t="s">
        <v>2882</v>
      </c>
      <c r="AW208" s="3" t="s">
        <v>2883</v>
      </c>
      <c r="AX208" s="3" t="s">
        <v>2883</v>
      </c>
      <c r="AY208" s="3" t="s">
        <v>2884</v>
      </c>
      <c r="AZ208" s="3" t="s">
        <v>73</v>
      </c>
      <c r="BB208" s="3" t="s">
        <v>2885</v>
      </c>
      <c r="BC208" s="3" t="s">
        <v>2886</v>
      </c>
      <c r="BD208" s="3" t="s">
        <v>2887</v>
      </c>
    </row>
    <row r="209" spans="1:56" ht="38.25" customHeight="1" x14ac:dyDescent="0.25">
      <c r="A209" s="7" t="s">
        <v>58</v>
      </c>
      <c r="B209" s="2" t="s">
        <v>2888</v>
      </c>
      <c r="C209" s="2" t="s">
        <v>2889</v>
      </c>
      <c r="D209" s="2" t="s">
        <v>2890</v>
      </c>
      <c r="F209" s="3" t="s">
        <v>58</v>
      </c>
      <c r="G209" s="3" t="s">
        <v>59</v>
      </c>
      <c r="H209" s="3" t="s">
        <v>58</v>
      </c>
      <c r="I209" s="3" t="s">
        <v>68</v>
      </c>
      <c r="J209" s="3" t="s">
        <v>60</v>
      </c>
      <c r="K209" s="2" t="s">
        <v>2891</v>
      </c>
      <c r="L209" s="2" t="s">
        <v>2892</v>
      </c>
      <c r="M209" s="3" t="s">
        <v>276</v>
      </c>
      <c r="O209" s="3" t="s">
        <v>64</v>
      </c>
      <c r="P209" s="3" t="s">
        <v>65</v>
      </c>
      <c r="R209" s="3" t="s">
        <v>2838</v>
      </c>
      <c r="S209" s="4">
        <v>3</v>
      </c>
      <c r="T209" s="4">
        <v>3</v>
      </c>
      <c r="U209" s="5" t="s">
        <v>2893</v>
      </c>
      <c r="V209" s="5" t="s">
        <v>2893</v>
      </c>
      <c r="W209" s="5" t="s">
        <v>2894</v>
      </c>
      <c r="X209" s="5" t="s">
        <v>2894</v>
      </c>
      <c r="Y209" s="4">
        <v>178</v>
      </c>
      <c r="Z209" s="4">
        <v>136</v>
      </c>
      <c r="AA209" s="4">
        <v>365</v>
      </c>
      <c r="AB209" s="4">
        <v>1</v>
      </c>
      <c r="AC209" s="4">
        <v>42</v>
      </c>
      <c r="AD209" s="4">
        <v>11</v>
      </c>
      <c r="AE209" s="4">
        <v>26</v>
      </c>
      <c r="AF209" s="4">
        <v>4</v>
      </c>
      <c r="AG209" s="4">
        <v>6</v>
      </c>
      <c r="AH209" s="4">
        <v>3</v>
      </c>
      <c r="AI209" s="4">
        <v>4</v>
      </c>
      <c r="AJ209" s="4">
        <v>6</v>
      </c>
      <c r="AK209" s="4">
        <v>9</v>
      </c>
      <c r="AL209" s="4">
        <v>0</v>
      </c>
      <c r="AM209" s="4">
        <v>11</v>
      </c>
      <c r="AN209" s="4">
        <v>2</v>
      </c>
      <c r="AO209" s="4">
        <v>2</v>
      </c>
      <c r="AP209" s="3" t="s">
        <v>58</v>
      </c>
      <c r="AQ209" s="3" t="s">
        <v>58</v>
      </c>
      <c r="AS209" s="6" t="str">
        <f>HYPERLINK("https://creighton-primo.hosted.exlibrisgroup.com/primo-explore/search?tab=default_tab&amp;search_scope=EVERYTHING&amp;vid=01CRU&amp;lang=en_US&amp;offset=0&amp;query=any,contains,991002746209702656","Catalog Record")</f>
        <v>Catalog Record</v>
      </c>
      <c r="AT209" s="6" t="str">
        <f>HYPERLINK("http://www.worldcat.org/oclc/36041566","WorldCat Record")</f>
        <v>WorldCat Record</v>
      </c>
      <c r="AU209" s="3" t="s">
        <v>2895</v>
      </c>
      <c r="AV209" s="3" t="s">
        <v>2896</v>
      </c>
      <c r="AW209" s="3" t="s">
        <v>2897</v>
      </c>
      <c r="AX209" s="3" t="s">
        <v>2897</v>
      </c>
      <c r="AY209" s="3" t="s">
        <v>2898</v>
      </c>
      <c r="AZ209" s="3" t="s">
        <v>73</v>
      </c>
      <c r="BB209" s="3" t="s">
        <v>2899</v>
      </c>
      <c r="BC209" s="3" t="s">
        <v>2900</v>
      </c>
      <c r="BD209" s="3" t="s">
        <v>2901</v>
      </c>
    </row>
    <row r="210" spans="1:56" ht="38.25" customHeight="1" x14ac:dyDescent="0.25">
      <c r="A210" s="7" t="s">
        <v>58</v>
      </c>
      <c r="B210" s="2" t="s">
        <v>2902</v>
      </c>
      <c r="C210" s="2" t="s">
        <v>2903</v>
      </c>
      <c r="D210" s="2" t="s">
        <v>2904</v>
      </c>
      <c r="F210" s="3" t="s">
        <v>58</v>
      </c>
      <c r="G210" s="3" t="s">
        <v>59</v>
      </c>
      <c r="H210" s="3" t="s">
        <v>58</v>
      </c>
      <c r="I210" s="3" t="s">
        <v>58</v>
      </c>
      <c r="J210" s="3" t="s">
        <v>60</v>
      </c>
      <c r="K210" s="2" t="s">
        <v>2905</v>
      </c>
      <c r="L210" s="2" t="s">
        <v>2906</v>
      </c>
      <c r="M210" s="3" t="s">
        <v>566</v>
      </c>
      <c r="O210" s="3" t="s">
        <v>64</v>
      </c>
      <c r="P210" s="3" t="s">
        <v>114</v>
      </c>
      <c r="R210" s="3" t="s">
        <v>2838</v>
      </c>
      <c r="S210" s="4">
        <v>5</v>
      </c>
      <c r="T210" s="4">
        <v>5</v>
      </c>
      <c r="U210" s="5" t="s">
        <v>2907</v>
      </c>
      <c r="V210" s="5" t="s">
        <v>2907</v>
      </c>
      <c r="W210" s="5" t="s">
        <v>2908</v>
      </c>
      <c r="X210" s="5" t="s">
        <v>2908</v>
      </c>
      <c r="Y210" s="4">
        <v>447</v>
      </c>
      <c r="Z210" s="4">
        <v>262</v>
      </c>
      <c r="AA210" s="4">
        <v>948</v>
      </c>
      <c r="AB210" s="4">
        <v>3</v>
      </c>
      <c r="AC210" s="4">
        <v>3</v>
      </c>
      <c r="AD210" s="4">
        <v>15</v>
      </c>
      <c r="AE210" s="4">
        <v>21</v>
      </c>
      <c r="AF210" s="4">
        <v>5</v>
      </c>
      <c r="AG210" s="4">
        <v>9</v>
      </c>
      <c r="AH210" s="4">
        <v>5</v>
      </c>
      <c r="AI210" s="4">
        <v>7</v>
      </c>
      <c r="AJ210" s="4">
        <v>6</v>
      </c>
      <c r="AK210" s="4">
        <v>8</v>
      </c>
      <c r="AL210" s="4">
        <v>2</v>
      </c>
      <c r="AM210" s="4">
        <v>2</v>
      </c>
      <c r="AN210" s="4">
        <v>1</v>
      </c>
      <c r="AO210" s="4">
        <v>1</v>
      </c>
      <c r="AP210" s="3" t="s">
        <v>58</v>
      </c>
      <c r="AQ210" s="3" t="s">
        <v>58</v>
      </c>
      <c r="AS210" s="6" t="str">
        <f>HYPERLINK("https://creighton-primo.hosted.exlibrisgroup.com/primo-explore/search?tab=default_tab&amp;search_scope=EVERYTHING&amp;vid=01CRU&amp;lang=en_US&amp;offset=0&amp;query=any,contains,991003364329702656","Catalog Record")</f>
        <v>Catalog Record</v>
      </c>
      <c r="AT210" s="6" t="str">
        <f>HYPERLINK("http://www.worldcat.org/oclc/40940073","WorldCat Record")</f>
        <v>WorldCat Record</v>
      </c>
      <c r="AU210" s="3" t="s">
        <v>2909</v>
      </c>
      <c r="AV210" s="3" t="s">
        <v>2910</v>
      </c>
      <c r="AW210" s="3" t="s">
        <v>2911</v>
      </c>
      <c r="AX210" s="3" t="s">
        <v>2911</v>
      </c>
      <c r="AY210" s="3" t="s">
        <v>2912</v>
      </c>
      <c r="AZ210" s="3" t="s">
        <v>73</v>
      </c>
      <c r="BB210" s="3" t="s">
        <v>2913</v>
      </c>
      <c r="BC210" s="3" t="s">
        <v>2914</v>
      </c>
      <c r="BD210" s="3" t="s">
        <v>2915</v>
      </c>
    </row>
    <row r="211" spans="1:56" ht="38.25" customHeight="1" x14ac:dyDescent="0.25">
      <c r="A211" s="7" t="s">
        <v>58</v>
      </c>
      <c r="B211" s="2" t="s">
        <v>2916</v>
      </c>
      <c r="C211" s="2" t="s">
        <v>2917</v>
      </c>
      <c r="D211" s="2" t="s">
        <v>2918</v>
      </c>
      <c r="F211" s="3" t="s">
        <v>58</v>
      </c>
      <c r="G211" s="3" t="s">
        <v>59</v>
      </c>
      <c r="H211" s="3" t="s">
        <v>58</v>
      </c>
      <c r="I211" s="3" t="s">
        <v>58</v>
      </c>
      <c r="J211" s="3" t="s">
        <v>60</v>
      </c>
      <c r="K211" s="2" t="s">
        <v>2919</v>
      </c>
      <c r="L211" s="2" t="s">
        <v>2920</v>
      </c>
      <c r="M211" s="3" t="s">
        <v>2921</v>
      </c>
      <c r="O211" s="3" t="s">
        <v>64</v>
      </c>
      <c r="P211" s="3" t="s">
        <v>114</v>
      </c>
      <c r="R211" s="3" t="s">
        <v>2838</v>
      </c>
      <c r="S211" s="4">
        <v>2</v>
      </c>
      <c r="T211" s="4">
        <v>2</v>
      </c>
      <c r="U211" s="5" t="s">
        <v>2922</v>
      </c>
      <c r="V211" s="5" t="s">
        <v>2922</v>
      </c>
      <c r="W211" s="5" t="s">
        <v>2922</v>
      </c>
      <c r="X211" s="5" t="s">
        <v>2922</v>
      </c>
      <c r="Y211" s="4">
        <v>520</v>
      </c>
      <c r="Z211" s="4">
        <v>343</v>
      </c>
      <c r="AA211" s="4">
        <v>411</v>
      </c>
      <c r="AB211" s="4">
        <v>5</v>
      </c>
      <c r="AC211" s="4">
        <v>5</v>
      </c>
      <c r="AD211" s="4">
        <v>23</v>
      </c>
      <c r="AE211" s="4">
        <v>29</v>
      </c>
      <c r="AF211" s="4">
        <v>9</v>
      </c>
      <c r="AG211" s="4">
        <v>14</v>
      </c>
      <c r="AH211" s="4">
        <v>5</v>
      </c>
      <c r="AI211" s="4">
        <v>7</v>
      </c>
      <c r="AJ211" s="4">
        <v>10</v>
      </c>
      <c r="AK211" s="4">
        <v>13</v>
      </c>
      <c r="AL211" s="4">
        <v>4</v>
      </c>
      <c r="AM211" s="4">
        <v>4</v>
      </c>
      <c r="AN211" s="4">
        <v>0</v>
      </c>
      <c r="AO211" s="4">
        <v>0</v>
      </c>
      <c r="AP211" s="3" t="s">
        <v>58</v>
      </c>
      <c r="AQ211" s="3" t="s">
        <v>58</v>
      </c>
      <c r="AS211" s="6" t="str">
        <f>HYPERLINK("https://creighton-primo.hosted.exlibrisgroup.com/primo-explore/search?tab=default_tab&amp;search_scope=EVERYTHING&amp;vid=01CRU&amp;lang=en_US&amp;offset=0&amp;query=any,contains,991004852309702656","Catalog Record")</f>
        <v>Catalog Record</v>
      </c>
      <c r="AT211" s="6" t="str">
        <f>HYPERLINK("http://www.worldcat.org/oclc/55609899","WorldCat Record")</f>
        <v>WorldCat Record</v>
      </c>
      <c r="AU211" s="3" t="s">
        <v>2923</v>
      </c>
      <c r="AV211" s="3" t="s">
        <v>2924</v>
      </c>
      <c r="AW211" s="3" t="s">
        <v>2925</v>
      </c>
      <c r="AX211" s="3" t="s">
        <v>2925</v>
      </c>
      <c r="AY211" s="3" t="s">
        <v>2926</v>
      </c>
      <c r="AZ211" s="3" t="s">
        <v>73</v>
      </c>
      <c r="BB211" s="3" t="s">
        <v>2927</v>
      </c>
      <c r="BC211" s="3" t="s">
        <v>2928</v>
      </c>
      <c r="BD211" s="3" t="s">
        <v>2929</v>
      </c>
    </row>
    <row r="212" spans="1:56" ht="38.25" customHeight="1" x14ac:dyDescent="0.25">
      <c r="A212" s="7" t="s">
        <v>58</v>
      </c>
      <c r="B212" s="2" t="s">
        <v>2930</v>
      </c>
      <c r="C212" s="2" t="s">
        <v>2931</v>
      </c>
      <c r="D212" s="2" t="s">
        <v>2932</v>
      </c>
      <c r="F212" s="3" t="s">
        <v>58</v>
      </c>
      <c r="G212" s="3" t="s">
        <v>59</v>
      </c>
      <c r="H212" s="3" t="s">
        <v>58</v>
      </c>
      <c r="I212" s="3" t="s">
        <v>58</v>
      </c>
      <c r="J212" s="3" t="s">
        <v>60</v>
      </c>
      <c r="K212" s="2" t="s">
        <v>2933</v>
      </c>
      <c r="L212" s="2" t="s">
        <v>2934</v>
      </c>
      <c r="M212" s="3" t="s">
        <v>2935</v>
      </c>
      <c r="O212" s="3" t="s">
        <v>64</v>
      </c>
      <c r="P212" s="3" t="s">
        <v>83</v>
      </c>
      <c r="R212" s="3" t="s">
        <v>2838</v>
      </c>
      <c r="S212" s="4">
        <v>1</v>
      </c>
      <c r="T212" s="4">
        <v>1</v>
      </c>
      <c r="U212" s="5" t="s">
        <v>2936</v>
      </c>
      <c r="V212" s="5" t="s">
        <v>2936</v>
      </c>
      <c r="W212" s="5" t="s">
        <v>2936</v>
      </c>
      <c r="X212" s="5" t="s">
        <v>2936</v>
      </c>
      <c r="Y212" s="4">
        <v>494</v>
      </c>
      <c r="Z212" s="4">
        <v>379</v>
      </c>
      <c r="AA212" s="4">
        <v>577</v>
      </c>
      <c r="AB212" s="4">
        <v>3</v>
      </c>
      <c r="AC212" s="4">
        <v>4</v>
      </c>
      <c r="AD212" s="4">
        <v>24</v>
      </c>
      <c r="AE212" s="4">
        <v>31</v>
      </c>
      <c r="AF212" s="4">
        <v>11</v>
      </c>
      <c r="AG212" s="4">
        <v>14</v>
      </c>
      <c r="AH212" s="4">
        <v>7</v>
      </c>
      <c r="AI212" s="4">
        <v>8</v>
      </c>
      <c r="AJ212" s="4">
        <v>9</v>
      </c>
      <c r="AK212" s="4">
        <v>13</v>
      </c>
      <c r="AL212" s="4">
        <v>2</v>
      </c>
      <c r="AM212" s="4">
        <v>3</v>
      </c>
      <c r="AN212" s="4">
        <v>1</v>
      </c>
      <c r="AO212" s="4">
        <v>1</v>
      </c>
      <c r="AP212" s="3" t="s">
        <v>58</v>
      </c>
      <c r="AQ212" s="3" t="s">
        <v>58</v>
      </c>
      <c r="AS212" s="6" t="str">
        <f>HYPERLINK("https://creighton-primo.hosted.exlibrisgroup.com/primo-explore/search?tab=default_tab&amp;search_scope=EVERYTHING&amp;vid=01CRU&amp;lang=en_US&amp;offset=0&amp;query=any,contains,991004802839702656","Catalog Record")</f>
        <v>Catalog Record</v>
      </c>
      <c r="AT212" s="6" t="str">
        <f>HYPERLINK("http://www.worldcat.org/oclc/56631975","WorldCat Record")</f>
        <v>WorldCat Record</v>
      </c>
      <c r="AU212" s="3" t="s">
        <v>2937</v>
      </c>
      <c r="AV212" s="3" t="s">
        <v>2938</v>
      </c>
      <c r="AW212" s="3" t="s">
        <v>2939</v>
      </c>
      <c r="AX212" s="3" t="s">
        <v>2939</v>
      </c>
      <c r="AY212" s="3" t="s">
        <v>2940</v>
      </c>
      <c r="AZ212" s="3" t="s">
        <v>73</v>
      </c>
      <c r="BB212" s="3" t="s">
        <v>2941</v>
      </c>
      <c r="BC212" s="3" t="s">
        <v>2942</v>
      </c>
      <c r="BD212" s="3" t="s">
        <v>2943</v>
      </c>
    </row>
    <row r="213" spans="1:56" ht="38.25" customHeight="1" x14ac:dyDescent="0.25">
      <c r="A213" s="7" t="s">
        <v>58</v>
      </c>
      <c r="B213" s="2" t="s">
        <v>2944</v>
      </c>
      <c r="C213" s="2" t="s">
        <v>2945</v>
      </c>
      <c r="D213" s="2" t="s">
        <v>2946</v>
      </c>
      <c r="F213" s="3" t="s">
        <v>58</v>
      </c>
      <c r="G213" s="3" t="s">
        <v>59</v>
      </c>
      <c r="H213" s="3" t="s">
        <v>58</v>
      </c>
      <c r="I213" s="3" t="s">
        <v>58</v>
      </c>
      <c r="J213" s="3" t="s">
        <v>60</v>
      </c>
      <c r="K213" s="2" t="s">
        <v>2947</v>
      </c>
      <c r="L213" s="2" t="s">
        <v>2948</v>
      </c>
      <c r="M213" s="3" t="s">
        <v>870</v>
      </c>
      <c r="O213" s="3" t="s">
        <v>64</v>
      </c>
      <c r="P213" s="3" t="s">
        <v>65</v>
      </c>
      <c r="R213" s="3" t="s">
        <v>2838</v>
      </c>
      <c r="S213" s="4">
        <v>2</v>
      </c>
      <c r="T213" s="4">
        <v>2</v>
      </c>
      <c r="U213" s="5" t="s">
        <v>2949</v>
      </c>
      <c r="V213" s="5" t="s">
        <v>2949</v>
      </c>
      <c r="W213" s="5" t="s">
        <v>2950</v>
      </c>
      <c r="X213" s="5" t="s">
        <v>2950</v>
      </c>
      <c r="Y213" s="4">
        <v>454</v>
      </c>
      <c r="Z213" s="4">
        <v>347</v>
      </c>
      <c r="AA213" s="4">
        <v>413</v>
      </c>
      <c r="AB213" s="4">
        <v>4</v>
      </c>
      <c r="AC213" s="4">
        <v>6</v>
      </c>
      <c r="AD213" s="4">
        <v>13</v>
      </c>
      <c r="AE213" s="4">
        <v>19</v>
      </c>
      <c r="AF213" s="4">
        <v>3</v>
      </c>
      <c r="AG213" s="4">
        <v>3</v>
      </c>
      <c r="AH213" s="4">
        <v>3</v>
      </c>
      <c r="AI213" s="4">
        <v>5</v>
      </c>
      <c r="AJ213" s="4">
        <v>7</v>
      </c>
      <c r="AK213" s="4">
        <v>10</v>
      </c>
      <c r="AL213" s="4">
        <v>2</v>
      </c>
      <c r="AM213" s="4">
        <v>4</v>
      </c>
      <c r="AN213" s="4">
        <v>0</v>
      </c>
      <c r="AO213" s="4">
        <v>0</v>
      </c>
      <c r="AP213" s="3" t="s">
        <v>58</v>
      </c>
      <c r="AQ213" s="3" t="s">
        <v>68</v>
      </c>
      <c r="AR213" s="6" t="str">
        <f>HYPERLINK("http://catalog.hathitrust.org/Record/004350540","HathiTrust Record")</f>
        <v>HathiTrust Record</v>
      </c>
      <c r="AS213" s="6" t="str">
        <f>HYPERLINK("https://creighton-primo.hosted.exlibrisgroup.com/primo-explore/search?tab=default_tab&amp;search_scope=EVERYTHING&amp;vid=01CRU&amp;lang=en_US&amp;offset=0&amp;query=any,contains,991004245679702656","Catalog Record")</f>
        <v>Catalog Record</v>
      </c>
      <c r="AT213" s="6" t="str">
        <f>HYPERLINK("http://www.worldcat.org/oclc/53252908","WorldCat Record")</f>
        <v>WorldCat Record</v>
      </c>
      <c r="AU213" s="3" t="s">
        <v>2951</v>
      </c>
      <c r="AV213" s="3" t="s">
        <v>2952</v>
      </c>
      <c r="AW213" s="3" t="s">
        <v>2953</v>
      </c>
      <c r="AX213" s="3" t="s">
        <v>2953</v>
      </c>
      <c r="AY213" s="3" t="s">
        <v>2954</v>
      </c>
      <c r="AZ213" s="3" t="s">
        <v>73</v>
      </c>
      <c r="BB213" s="3" t="s">
        <v>2955</v>
      </c>
      <c r="BC213" s="3" t="s">
        <v>2956</v>
      </c>
      <c r="BD213" s="3" t="s">
        <v>2957</v>
      </c>
    </row>
    <row r="214" spans="1:56" ht="38.25" customHeight="1" x14ac:dyDescent="0.25">
      <c r="A214" s="7" t="s">
        <v>58</v>
      </c>
      <c r="B214" s="2" t="s">
        <v>2958</v>
      </c>
      <c r="C214" s="2" t="s">
        <v>2959</v>
      </c>
      <c r="D214" s="2" t="s">
        <v>2960</v>
      </c>
      <c r="F214" s="3" t="s">
        <v>58</v>
      </c>
      <c r="G214" s="3" t="s">
        <v>59</v>
      </c>
      <c r="H214" s="3" t="s">
        <v>58</v>
      </c>
      <c r="I214" s="3" t="s">
        <v>58</v>
      </c>
      <c r="J214" s="3" t="s">
        <v>60</v>
      </c>
      <c r="L214" s="2" t="s">
        <v>2961</v>
      </c>
      <c r="M214" s="3" t="s">
        <v>1036</v>
      </c>
      <c r="O214" s="3" t="s">
        <v>64</v>
      </c>
      <c r="P214" s="3" t="s">
        <v>580</v>
      </c>
      <c r="R214" s="3" t="s">
        <v>2838</v>
      </c>
      <c r="S214" s="4">
        <v>9</v>
      </c>
      <c r="T214" s="4">
        <v>9</v>
      </c>
      <c r="U214" s="5" t="s">
        <v>2962</v>
      </c>
      <c r="V214" s="5" t="s">
        <v>2962</v>
      </c>
      <c r="W214" s="5" t="s">
        <v>1997</v>
      </c>
      <c r="X214" s="5" t="s">
        <v>1997</v>
      </c>
      <c r="Y214" s="4">
        <v>474</v>
      </c>
      <c r="Z214" s="4">
        <v>378</v>
      </c>
      <c r="AA214" s="4">
        <v>538</v>
      </c>
      <c r="AB214" s="4">
        <v>5</v>
      </c>
      <c r="AC214" s="4">
        <v>6</v>
      </c>
      <c r="AD214" s="4">
        <v>26</v>
      </c>
      <c r="AE214" s="4">
        <v>35</v>
      </c>
      <c r="AF214" s="4">
        <v>5</v>
      </c>
      <c r="AG214" s="4">
        <v>8</v>
      </c>
      <c r="AH214" s="4">
        <v>5</v>
      </c>
      <c r="AI214" s="4">
        <v>7</v>
      </c>
      <c r="AJ214" s="4">
        <v>12</v>
      </c>
      <c r="AK214" s="4">
        <v>17</v>
      </c>
      <c r="AL214" s="4">
        <v>4</v>
      </c>
      <c r="AM214" s="4">
        <v>5</v>
      </c>
      <c r="AN214" s="4">
        <v>3</v>
      </c>
      <c r="AO214" s="4">
        <v>5</v>
      </c>
      <c r="AP214" s="3" t="s">
        <v>58</v>
      </c>
      <c r="AQ214" s="3" t="s">
        <v>68</v>
      </c>
      <c r="AR214" s="6" t="str">
        <f>HYPERLINK("http://catalog.hathitrust.org/Record/001114791","HathiTrust Record")</f>
        <v>HathiTrust Record</v>
      </c>
      <c r="AS214" s="6" t="str">
        <f>HYPERLINK("https://creighton-primo.hosted.exlibrisgroup.com/primo-explore/search?tab=default_tab&amp;search_scope=EVERYTHING&amp;vid=01CRU&amp;lang=en_US&amp;offset=0&amp;query=any,contains,991000907929702656","Catalog Record")</f>
        <v>Catalog Record</v>
      </c>
      <c r="AT214" s="6" t="str">
        <f>HYPERLINK("http://www.worldcat.org/oclc/158417","WorldCat Record")</f>
        <v>WorldCat Record</v>
      </c>
      <c r="AU214" s="3" t="s">
        <v>2963</v>
      </c>
      <c r="AV214" s="3" t="s">
        <v>2964</v>
      </c>
      <c r="AW214" s="3" t="s">
        <v>2965</v>
      </c>
      <c r="AX214" s="3" t="s">
        <v>2965</v>
      </c>
      <c r="AY214" s="3" t="s">
        <v>2966</v>
      </c>
      <c r="AZ214" s="3" t="s">
        <v>73</v>
      </c>
      <c r="BC214" s="3" t="s">
        <v>2967</v>
      </c>
      <c r="BD214" s="3" t="s">
        <v>2968</v>
      </c>
    </row>
    <row r="215" spans="1:56" ht="38.25" customHeight="1" x14ac:dyDescent="0.25">
      <c r="A215" s="7" t="s">
        <v>58</v>
      </c>
      <c r="B215" s="2" t="s">
        <v>2969</v>
      </c>
      <c r="C215" s="2" t="s">
        <v>2970</v>
      </c>
      <c r="D215" s="2" t="s">
        <v>2971</v>
      </c>
      <c r="F215" s="3" t="s">
        <v>58</v>
      </c>
      <c r="G215" s="3" t="s">
        <v>59</v>
      </c>
      <c r="H215" s="3" t="s">
        <v>58</v>
      </c>
      <c r="I215" s="3" t="s">
        <v>58</v>
      </c>
      <c r="J215" s="3" t="s">
        <v>60</v>
      </c>
      <c r="L215" s="2" t="s">
        <v>2972</v>
      </c>
      <c r="M215" s="3" t="s">
        <v>870</v>
      </c>
      <c r="O215" s="3" t="s">
        <v>64</v>
      </c>
      <c r="P215" s="3" t="s">
        <v>277</v>
      </c>
      <c r="R215" s="3" t="s">
        <v>2838</v>
      </c>
      <c r="S215" s="4">
        <v>3</v>
      </c>
      <c r="T215" s="4">
        <v>3</v>
      </c>
      <c r="U215" s="5" t="s">
        <v>2973</v>
      </c>
      <c r="V215" s="5" t="s">
        <v>2973</v>
      </c>
      <c r="W215" s="5" t="s">
        <v>872</v>
      </c>
      <c r="X215" s="5" t="s">
        <v>872</v>
      </c>
      <c r="Y215" s="4">
        <v>215</v>
      </c>
      <c r="Z215" s="4">
        <v>168</v>
      </c>
      <c r="AA215" s="4">
        <v>227</v>
      </c>
      <c r="AB215" s="4">
        <v>3</v>
      </c>
      <c r="AC215" s="4">
        <v>3</v>
      </c>
      <c r="AD215" s="4">
        <v>12</v>
      </c>
      <c r="AE215" s="4">
        <v>17</v>
      </c>
      <c r="AF215" s="4">
        <v>2</v>
      </c>
      <c r="AG215" s="4">
        <v>6</v>
      </c>
      <c r="AH215" s="4">
        <v>5</v>
      </c>
      <c r="AI215" s="4">
        <v>6</v>
      </c>
      <c r="AJ215" s="4">
        <v>7</v>
      </c>
      <c r="AK215" s="4">
        <v>8</v>
      </c>
      <c r="AL215" s="4">
        <v>2</v>
      </c>
      <c r="AM215" s="4">
        <v>2</v>
      </c>
      <c r="AN215" s="4">
        <v>0</v>
      </c>
      <c r="AO215" s="4">
        <v>0</v>
      </c>
      <c r="AP215" s="3" t="s">
        <v>58</v>
      </c>
      <c r="AQ215" s="3" t="s">
        <v>58</v>
      </c>
      <c r="AS215" s="6" t="str">
        <f>HYPERLINK("https://creighton-primo.hosted.exlibrisgroup.com/primo-explore/search?tab=default_tab&amp;search_scope=EVERYTHING&amp;vid=01CRU&amp;lang=en_US&amp;offset=0&amp;query=any,contains,991004174989702656","Catalog Record")</f>
        <v>Catalog Record</v>
      </c>
      <c r="AT215" s="6" t="str">
        <f>HYPERLINK("http://www.worldcat.org/oclc/50643930","WorldCat Record")</f>
        <v>WorldCat Record</v>
      </c>
      <c r="AU215" s="3" t="s">
        <v>2974</v>
      </c>
      <c r="AV215" s="3" t="s">
        <v>2975</v>
      </c>
      <c r="AW215" s="3" t="s">
        <v>2976</v>
      </c>
      <c r="AX215" s="3" t="s">
        <v>2976</v>
      </c>
      <c r="AY215" s="3" t="s">
        <v>2977</v>
      </c>
      <c r="AZ215" s="3" t="s">
        <v>73</v>
      </c>
      <c r="BB215" s="3" t="s">
        <v>2978</v>
      </c>
      <c r="BC215" s="3" t="s">
        <v>2979</v>
      </c>
      <c r="BD215" s="3" t="s">
        <v>2980</v>
      </c>
    </row>
    <row r="216" spans="1:56" ht="38.25" customHeight="1" x14ac:dyDescent="0.25">
      <c r="A216" s="7" t="s">
        <v>58</v>
      </c>
      <c r="B216" s="2" t="s">
        <v>2981</v>
      </c>
      <c r="C216" s="2" t="s">
        <v>2982</v>
      </c>
      <c r="D216" s="2" t="s">
        <v>2983</v>
      </c>
      <c r="F216" s="3" t="s">
        <v>58</v>
      </c>
      <c r="G216" s="3" t="s">
        <v>59</v>
      </c>
      <c r="H216" s="3" t="s">
        <v>58</v>
      </c>
      <c r="I216" s="3" t="s">
        <v>58</v>
      </c>
      <c r="J216" s="3" t="s">
        <v>60</v>
      </c>
      <c r="K216" s="2" t="s">
        <v>2984</v>
      </c>
      <c r="L216" s="2" t="s">
        <v>2985</v>
      </c>
      <c r="M216" s="3" t="s">
        <v>2935</v>
      </c>
      <c r="O216" s="3" t="s">
        <v>64</v>
      </c>
      <c r="P216" s="3" t="s">
        <v>114</v>
      </c>
      <c r="R216" s="3" t="s">
        <v>2838</v>
      </c>
      <c r="S216" s="4">
        <v>2</v>
      </c>
      <c r="T216" s="4">
        <v>2</v>
      </c>
      <c r="U216" s="5" t="s">
        <v>2986</v>
      </c>
      <c r="V216" s="5" t="s">
        <v>2986</v>
      </c>
      <c r="W216" s="5" t="s">
        <v>2987</v>
      </c>
      <c r="X216" s="5" t="s">
        <v>2987</v>
      </c>
      <c r="Y216" s="4">
        <v>543</v>
      </c>
      <c r="Z216" s="4">
        <v>386</v>
      </c>
      <c r="AA216" s="4">
        <v>426</v>
      </c>
      <c r="AB216" s="4">
        <v>3</v>
      </c>
      <c r="AC216" s="4">
        <v>3</v>
      </c>
      <c r="AD216" s="4">
        <v>23</v>
      </c>
      <c r="AE216" s="4">
        <v>24</v>
      </c>
      <c r="AF216" s="4">
        <v>12</v>
      </c>
      <c r="AG216" s="4">
        <v>12</v>
      </c>
      <c r="AH216" s="4">
        <v>5</v>
      </c>
      <c r="AI216" s="4">
        <v>5</v>
      </c>
      <c r="AJ216" s="4">
        <v>10</v>
      </c>
      <c r="AK216" s="4">
        <v>11</v>
      </c>
      <c r="AL216" s="4">
        <v>2</v>
      </c>
      <c r="AM216" s="4">
        <v>2</v>
      </c>
      <c r="AN216" s="4">
        <v>1</v>
      </c>
      <c r="AO216" s="4">
        <v>1</v>
      </c>
      <c r="AP216" s="3" t="s">
        <v>58</v>
      </c>
      <c r="AQ216" s="3" t="s">
        <v>58</v>
      </c>
      <c r="AS216" s="6" t="str">
        <f>HYPERLINK("https://creighton-primo.hosted.exlibrisgroup.com/primo-explore/search?tab=default_tab&amp;search_scope=EVERYTHING&amp;vid=01CRU&amp;lang=en_US&amp;offset=0&amp;query=any,contains,991004851369702656","Catalog Record")</f>
        <v>Catalog Record</v>
      </c>
      <c r="AT216" s="6" t="str">
        <f>HYPERLINK("http://www.worldcat.org/oclc/60401678","WorldCat Record")</f>
        <v>WorldCat Record</v>
      </c>
      <c r="AU216" s="3" t="s">
        <v>2988</v>
      </c>
      <c r="AV216" s="3" t="s">
        <v>2989</v>
      </c>
      <c r="AW216" s="3" t="s">
        <v>2990</v>
      </c>
      <c r="AX216" s="3" t="s">
        <v>2990</v>
      </c>
      <c r="AY216" s="3" t="s">
        <v>2991</v>
      </c>
      <c r="AZ216" s="3" t="s">
        <v>73</v>
      </c>
      <c r="BB216" s="3" t="s">
        <v>2992</v>
      </c>
      <c r="BC216" s="3" t="s">
        <v>2993</v>
      </c>
      <c r="BD216" s="3" t="s">
        <v>2994</v>
      </c>
    </row>
    <row r="217" spans="1:56" ht="38.25" customHeight="1" x14ac:dyDescent="0.25">
      <c r="A217" s="7" t="s">
        <v>58</v>
      </c>
      <c r="B217" s="2" t="s">
        <v>2995</v>
      </c>
      <c r="C217" s="2" t="s">
        <v>2996</v>
      </c>
      <c r="D217" s="2" t="s">
        <v>2997</v>
      </c>
      <c r="F217" s="3" t="s">
        <v>58</v>
      </c>
      <c r="G217" s="3" t="s">
        <v>59</v>
      </c>
      <c r="H217" s="3" t="s">
        <v>58</v>
      </c>
      <c r="I217" s="3" t="s">
        <v>58</v>
      </c>
      <c r="J217" s="3" t="s">
        <v>60</v>
      </c>
      <c r="K217" s="2" t="s">
        <v>2998</v>
      </c>
      <c r="L217" s="2" t="s">
        <v>2999</v>
      </c>
      <c r="M217" s="3" t="s">
        <v>2921</v>
      </c>
      <c r="O217" s="3" t="s">
        <v>64</v>
      </c>
      <c r="P217" s="3" t="s">
        <v>147</v>
      </c>
      <c r="R217" s="3" t="s">
        <v>2838</v>
      </c>
      <c r="S217" s="4">
        <v>8</v>
      </c>
      <c r="T217" s="4">
        <v>8</v>
      </c>
      <c r="U217" s="5" t="s">
        <v>3000</v>
      </c>
      <c r="V217" s="5" t="s">
        <v>3000</v>
      </c>
      <c r="W217" s="5" t="s">
        <v>3001</v>
      </c>
      <c r="X217" s="5" t="s">
        <v>3001</v>
      </c>
      <c r="Y217" s="4">
        <v>532</v>
      </c>
      <c r="Z217" s="4">
        <v>375</v>
      </c>
      <c r="AA217" s="4">
        <v>384</v>
      </c>
      <c r="AB217" s="4">
        <v>5</v>
      </c>
      <c r="AC217" s="4">
        <v>5</v>
      </c>
      <c r="AD217" s="4">
        <v>23</v>
      </c>
      <c r="AE217" s="4">
        <v>23</v>
      </c>
      <c r="AF217" s="4">
        <v>8</v>
      </c>
      <c r="AG217" s="4">
        <v>8</v>
      </c>
      <c r="AH217" s="4">
        <v>4</v>
      </c>
      <c r="AI217" s="4">
        <v>4</v>
      </c>
      <c r="AJ217" s="4">
        <v>11</v>
      </c>
      <c r="AK217" s="4">
        <v>11</v>
      </c>
      <c r="AL217" s="4">
        <v>4</v>
      </c>
      <c r="AM217" s="4">
        <v>4</v>
      </c>
      <c r="AN217" s="4">
        <v>1</v>
      </c>
      <c r="AO217" s="4">
        <v>1</v>
      </c>
      <c r="AP217" s="3" t="s">
        <v>58</v>
      </c>
      <c r="AQ217" s="3" t="s">
        <v>68</v>
      </c>
      <c r="AR217" s="6" t="str">
        <f>HYPERLINK("http://catalog.hathitrust.org/Record/004337446","HathiTrust Record")</f>
        <v>HathiTrust Record</v>
      </c>
      <c r="AS217" s="6" t="str">
        <f>HYPERLINK("https://creighton-primo.hosted.exlibrisgroup.com/primo-explore/search?tab=default_tab&amp;search_scope=EVERYTHING&amp;vid=01CRU&amp;lang=en_US&amp;offset=0&amp;query=any,contains,991004175119702656","Catalog Record")</f>
        <v>Catalog Record</v>
      </c>
      <c r="AT217" s="6" t="str">
        <f>HYPERLINK("http://www.worldcat.org/oclc/51937128","WorldCat Record")</f>
        <v>WorldCat Record</v>
      </c>
      <c r="AU217" s="3" t="s">
        <v>3002</v>
      </c>
      <c r="AV217" s="3" t="s">
        <v>3003</v>
      </c>
      <c r="AW217" s="3" t="s">
        <v>3004</v>
      </c>
      <c r="AX217" s="3" t="s">
        <v>3004</v>
      </c>
      <c r="AY217" s="3" t="s">
        <v>3005</v>
      </c>
      <c r="AZ217" s="3" t="s">
        <v>73</v>
      </c>
      <c r="BB217" s="3" t="s">
        <v>3006</v>
      </c>
      <c r="BC217" s="3" t="s">
        <v>3007</v>
      </c>
      <c r="BD217" s="3" t="s">
        <v>3008</v>
      </c>
    </row>
    <row r="218" spans="1:56" ht="38.25" customHeight="1" x14ac:dyDescent="0.25">
      <c r="A218" s="7" t="s">
        <v>58</v>
      </c>
      <c r="B218" s="2" t="s">
        <v>3009</v>
      </c>
      <c r="C218" s="2" t="s">
        <v>3010</v>
      </c>
      <c r="D218" s="2" t="s">
        <v>3011</v>
      </c>
      <c r="F218" s="3" t="s">
        <v>58</v>
      </c>
      <c r="G218" s="3" t="s">
        <v>59</v>
      </c>
      <c r="H218" s="3" t="s">
        <v>58</v>
      </c>
      <c r="I218" s="3" t="s">
        <v>58</v>
      </c>
      <c r="J218" s="3" t="s">
        <v>60</v>
      </c>
      <c r="L218" s="2" t="s">
        <v>3012</v>
      </c>
      <c r="M218" s="3" t="s">
        <v>870</v>
      </c>
      <c r="O218" s="3" t="s">
        <v>64</v>
      </c>
      <c r="P218" s="3" t="s">
        <v>114</v>
      </c>
      <c r="R218" s="3" t="s">
        <v>2838</v>
      </c>
      <c r="S218" s="4">
        <v>2</v>
      </c>
      <c r="T218" s="4">
        <v>2</v>
      </c>
      <c r="U218" s="5" t="s">
        <v>3013</v>
      </c>
      <c r="V218" s="5" t="s">
        <v>3013</v>
      </c>
      <c r="W218" s="5" t="s">
        <v>3014</v>
      </c>
      <c r="X218" s="5" t="s">
        <v>3014</v>
      </c>
      <c r="Y218" s="4">
        <v>462</v>
      </c>
      <c r="Z218" s="4">
        <v>287</v>
      </c>
      <c r="AA218" s="4">
        <v>292</v>
      </c>
      <c r="AB218" s="4">
        <v>4</v>
      </c>
      <c r="AC218" s="4">
        <v>4</v>
      </c>
      <c r="AD218" s="4">
        <v>16</v>
      </c>
      <c r="AE218" s="4">
        <v>16</v>
      </c>
      <c r="AF218" s="4">
        <v>3</v>
      </c>
      <c r="AG218" s="4">
        <v>3</v>
      </c>
      <c r="AH218" s="4">
        <v>5</v>
      </c>
      <c r="AI218" s="4">
        <v>5</v>
      </c>
      <c r="AJ218" s="4">
        <v>7</v>
      </c>
      <c r="AK218" s="4">
        <v>7</v>
      </c>
      <c r="AL218" s="4">
        <v>3</v>
      </c>
      <c r="AM218" s="4">
        <v>3</v>
      </c>
      <c r="AN218" s="4">
        <v>2</v>
      </c>
      <c r="AO218" s="4">
        <v>2</v>
      </c>
      <c r="AP218" s="3" t="s">
        <v>58</v>
      </c>
      <c r="AQ218" s="3" t="s">
        <v>58</v>
      </c>
      <c r="AS218" s="6" t="str">
        <f>HYPERLINK("https://creighton-primo.hosted.exlibrisgroup.com/primo-explore/search?tab=default_tab&amp;search_scope=EVERYTHING&amp;vid=01CRU&amp;lang=en_US&amp;offset=0&amp;query=any,contains,991004368619702656","Catalog Record")</f>
        <v>Catalog Record</v>
      </c>
      <c r="AT218" s="6" t="str">
        <f>HYPERLINK("http://www.worldcat.org/oclc/50959067","WorldCat Record")</f>
        <v>WorldCat Record</v>
      </c>
      <c r="AU218" s="3" t="s">
        <v>3015</v>
      </c>
      <c r="AV218" s="3" t="s">
        <v>3016</v>
      </c>
      <c r="AW218" s="3" t="s">
        <v>3017</v>
      </c>
      <c r="AX218" s="3" t="s">
        <v>3017</v>
      </c>
      <c r="AY218" s="3" t="s">
        <v>3018</v>
      </c>
      <c r="AZ218" s="3" t="s">
        <v>73</v>
      </c>
      <c r="BB218" s="3" t="s">
        <v>3019</v>
      </c>
      <c r="BC218" s="3" t="s">
        <v>3020</v>
      </c>
      <c r="BD218" s="3" t="s">
        <v>3021</v>
      </c>
    </row>
    <row r="219" spans="1:56" ht="38.25" customHeight="1" x14ac:dyDescent="0.25">
      <c r="A219" s="7" t="s">
        <v>58</v>
      </c>
      <c r="B219" s="2" t="s">
        <v>3022</v>
      </c>
      <c r="C219" s="2" t="s">
        <v>3023</v>
      </c>
      <c r="D219" s="2" t="s">
        <v>3024</v>
      </c>
      <c r="F219" s="3" t="s">
        <v>58</v>
      </c>
      <c r="G219" s="3" t="s">
        <v>59</v>
      </c>
      <c r="H219" s="3" t="s">
        <v>58</v>
      </c>
      <c r="I219" s="3" t="s">
        <v>58</v>
      </c>
      <c r="J219" s="3" t="s">
        <v>60</v>
      </c>
      <c r="K219" s="2" t="s">
        <v>3025</v>
      </c>
      <c r="L219" s="2" t="s">
        <v>3026</v>
      </c>
      <c r="M219" s="3" t="s">
        <v>566</v>
      </c>
      <c r="O219" s="3" t="s">
        <v>64</v>
      </c>
      <c r="P219" s="3" t="s">
        <v>130</v>
      </c>
      <c r="R219" s="3" t="s">
        <v>2838</v>
      </c>
      <c r="S219" s="4">
        <v>3</v>
      </c>
      <c r="T219" s="4">
        <v>3</v>
      </c>
      <c r="U219" s="5" t="s">
        <v>3027</v>
      </c>
      <c r="V219" s="5" t="s">
        <v>3027</v>
      </c>
      <c r="W219" s="5" t="s">
        <v>3028</v>
      </c>
      <c r="X219" s="5" t="s">
        <v>3028</v>
      </c>
      <c r="Y219" s="4">
        <v>320</v>
      </c>
      <c r="Z219" s="4">
        <v>241</v>
      </c>
      <c r="AA219" s="4">
        <v>268</v>
      </c>
      <c r="AB219" s="4">
        <v>3</v>
      </c>
      <c r="AC219" s="4">
        <v>3</v>
      </c>
      <c r="AD219" s="4">
        <v>17</v>
      </c>
      <c r="AE219" s="4">
        <v>17</v>
      </c>
      <c r="AF219" s="4">
        <v>6</v>
      </c>
      <c r="AG219" s="4">
        <v>6</v>
      </c>
      <c r="AH219" s="4">
        <v>3</v>
      </c>
      <c r="AI219" s="4">
        <v>3</v>
      </c>
      <c r="AJ219" s="4">
        <v>7</v>
      </c>
      <c r="AK219" s="4">
        <v>7</v>
      </c>
      <c r="AL219" s="4">
        <v>2</v>
      </c>
      <c r="AM219" s="4">
        <v>2</v>
      </c>
      <c r="AN219" s="4">
        <v>3</v>
      </c>
      <c r="AO219" s="4">
        <v>3</v>
      </c>
      <c r="AP219" s="3" t="s">
        <v>58</v>
      </c>
      <c r="AQ219" s="3" t="s">
        <v>68</v>
      </c>
      <c r="AR219" s="6" t="str">
        <f>HYPERLINK("http://catalog.hathitrust.org/Record/003993583","HathiTrust Record")</f>
        <v>HathiTrust Record</v>
      </c>
      <c r="AS219" s="6" t="str">
        <f>HYPERLINK("https://creighton-primo.hosted.exlibrisgroup.com/primo-explore/search?tab=default_tab&amp;search_scope=EVERYTHING&amp;vid=01CRU&amp;lang=en_US&amp;offset=0&amp;query=any,contains,991002946289702656","Catalog Record")</f>
        <v>Catalog Record</v>
      </c>
      <c r="AT219" s="6" t="str">
        <f>HYPERLINK("http://www.worldcat.org/oclc/39229766","WorldCat Record")</f>
        <v>WorldCat Record</v>
      </c>
      <c r="AU219" s="3" t="s">
        <v>3029</v>
      </c>
      <c r="AV219" s="3" t="s">
        <v>3030</v>
      </c>
      <c r="AW219" s="3" t="s">
        <v>3031</v>
      </c>
      <c r="AX219" s="3" t="s">
        <v>3031</v>
      </c>
      <c r="AY219" s="3" t="s">
        <v>3032</v>
      </c>
      <c r="AZ219" s="3" t="s">
        <v>73</v>
      </c>
      <c r="BB219" s="3" t="s">
        <v>3033</v>
      </c>
      <c r="BC219" s="3" t="s">
        <v>3034</v>
      </c>
      <c r="BD219" s="3" t="s">
        <v>3035</v>
      </c>
    </row>
    <row r="220" spans="1:56" ht="38.25" customHeight="1" x14ac:dyDescent="0.25">
      <c r="A220" s="7" t="s">
        <v>58</v>
      </c>
      <c r="B220" s="2" t="s">
        <v>3036</v>
      </c>
      <c r="C220" s="2" t="s">
        <v>3037</v>
      </c>
      <c r="D220" s="2" t="s">
        <v>3038</v>
      </c>
      <c r="F220" s="3" t="s">
        <v>58</v>
      </c>
      <c r="G220" s="3" t="s">
        <v>59</v>
      </c>
      <c r="H220" s="3" t="s">
        <v>58</v>
      </c>
      <c r="I220" s="3" t="s">
        <v>58</v>
      </c>
      <c r="J220" s="3" t="s">
        <v>60</v>
      </c>
      <c r="L220" s="2" t="s">
        <v>3039</v>
      </c>
      <c r="M220" s="3" t="s">
        <v>63</v>
      </c>
      <c r="O220" s="3" t="s">
        <v>64</v>
      </c>
      <c r="P220" s="3" t="s">
        <v>802</v>
      </c>
      <c r="R220" s="3" t="s">
        <v>2838</v>
      </c>
      <c r="S220" s="4">
        <v>6</v>
      </c>
      <c r="T220" s="4">
        <v>6</v>
      </c>
      <c r="U220" s="5" t="s">
        <v>3040</v>
      </c>
      <c r="V220" s="5" t="s">
        <v>3040</v>
      </c>
      <c r="W220" s="5" t="s">
        <v>3041</v>
      </c>
      <c r="X220" s="5" t="s">
        <v>3041</v>
      </c>
      <c r="Y220" s="4">
        <v>611</v>
      </c>
      <c r="Z220" s="4">
        <v>518</v>
      </c>
      <c r="AA220" s="4">
        <v>1607</v>
      </c>
      <c r="AB220" s="4">
        <v>3</v>
      </c>
      <c r="AC220" s="4">
        <v>8</v>
      </c>
      <c r="AD220" s="4">
        <v>28</v>
      </c>
      <c r="AE220" s="4">
        <v>48</v>
      </c>
      <c r="AF220" s="4">
        <v>9</v>
      </c>
      <c r="AG220" s="4">
        <v>19</v>
      </c>
      <c r="AH220" s="4">
        <v>7</v>
      </c>
      <c r="AI220" s="4">
        <v>10</v>
      </c>
      <c r="AJ220" s="4">
        <v>16</v>
      </c>
      <c r="AK220" s="4">
        <v>20</v>
      </c>
      <c r="AL220" s="4">
        <v>2</v>
      </c>
      <c r="AM220" s="4">
        <v>7</v>
      </c>
      <c r="AN220" s="4">
        <v>2</v>
      </c>
      <c r="AO220" s="4">
        <v>3</v>
      </c>
      <c r="AP220" s="3" t="s">
        <v>58</v>
      </c>
      <c r="AQ220" s="3" t="s">
        <v>58</v>
      </c>
      <c r="AS220" s="6" t="str">
        <f>HYPERLINK("https://creighton-primo.hosted.exlibrisgroup.com/primo-explore/search?tab=default_tab&amp;search_scope=EVERYTHING&amp;vid=01CRU&amp;lang=en_US&amp;offset=0&amp;query=any,contains,991003205629702656","Catalog Record")</f>
        <v>Catalog Record</v>
      </c>
      <c r="AT220" s="6" t="str">
        <f>HYPERLINK("http://www.worldcat.org/oclc/43728891","WorldCat Record")</f>
        <v>WorldCat Record</v>
      </c>
      <c r="AU220" s="3" t="s">
        <v>3042</v>
      </c>
      <c r="AV220" s="3" t="s">
        <v>3043</v>
      </c>
      <c r="AW220" s="3" t="s">
        <v>3044</v>
      </c>
      <c r="AX220" s="3" t="s">
        <v>3044</v>
      </c>
      <c r="AY220" s="3" t="s">
        <v>3045</v>
      </c>
      <c r="AZ220" s="3" t="s">
        <v>73</v>
      </c>
      <c r="BB220" s="3" t="s">
        <v>3046</v>
      </c>
      <c r="BC220" s="3" t="s">
        <v>3047</v>
      </c>
      <c r="BD220" s="3" t="s">
        <v>3048</v>
      </c>
    </row>
    <row r="221" spans="1:56" ht="38.25" customHeight="1" x14ac:dyDescent="0.25">
      <c r="A221" s="7" t="s">
        <v>58</v>
      </c>
      <c r="B221" s="2" t="s">
        <v>3049</v>
      </c>
      <c r="C221" s="2" t="s">
        <v>3050</v>
      </c>
      <c r="D221" s="2" t="s">
        <v>3051</v>
      </c>
      <c r="F221" s="3" t="s">
        <v>58</v>
      </c>
      <c r="G221" s="3" t="s">
        <v>59</v>
      </c>
      <c r="H221" s="3" t="s">
        <v>58</v>
      </c>
      <c r="I221" s="3" t="s">
        <v>58</v>
      </c>
      <c r="J221" s="3" t="s">
        <v>60</v>
      </c>
      <c r="K221" s="2" t="s">
        <v>3052</v>
      </c>
      <c r="L221" s="2" t="s">
        <v>3053</v>
      </c>
      <c r="M221" s="3" t="s">
        <v>97</v>
      </c>
      <c r="O221" s="3" t="s">
        <v>64</v>
      </c>
      <c r="P221" s="3" t="s">
        <v>65</v>
      </c>
      <c r="R221" s="3" t="s">
        <v>2838</v>
      </c>
      <c r="S221" s="4">
        <v>7</v>
      </c>
      <c r="T221" s="4">
        <v>7</v>
      </c>
      <c r="U221" s="5" t="s">
        <v>994</v>
      </c>
      <c r="V221" s="5" t="s">
        <v>994</v>
      </c>
      <c r="W221" s="5" t="s">
        <v>3054</v>
      </c>
      <c r="X221" s="5" t="s">
        <v>3054</v>
      </c>
      <c r="Y221" s="4">
        <v>788</v>
      </c>
      <c r="Z221" s="4">
        <v>714</v>
      </c>
      <c r="AA221" s="4">
        <v>810</v>
      </c>
      <c r="AB221" s="4">
        <v>5</v>
      </c>
      <c r="AC221" s="4">
        <v>6</v>
      </c>
      <c r="AD221" s="4">
        <v>29</v>
      </c>
      <c r="AE221" s="4">
        <v>34</v>
      </c>
      <c r="AF221" s="4">
        <v>14</v>
      </c>
      <c r="AG221" s="4">
        <v>14</v>
      </c>
      <c r="AH221" s="4">
        <v>6</v>
      </c>
      <c r="AI221" s="4">
        <v>7</v>
      </c>
      <c r="AJ221" s="4">
        <v>13</v>
      </c>
      <c r="AK221" s="4">
        <v>17</v>
      </c>
      <c r="AL221" s="4">
        <v>4</v>
      </c>
      <c r="AM221" s="4">
        <v>5</v>
      </c>
      <c r="AN221" s="4">
        <v>1</v>
      </c>
      <c r="AO221" s="4">
        <v>1</v>
      </c>
      <c r="AP221" s="3" t="s">
        <v>58</v>
      </c>
      <c r="AQ221" s="3" t="s">
        <v>58</v>
      </c>
      <c r="AS221" s="6" t="str">
        <f>HYPERLINK("https://creighton-primo.hosted.exlibrisgroup.com/primo-explore/search?tab=default_tab&amp;search_scope=EVERYTHING&amp;vid=01CRU&amp;lang=en_US&amp;offset=0&amp;query=any,contains,991004078619702656","Catalog Record")</f>
        <v>Catalog Record</v>
      </c>
      <c r="AT221" s="6" t="str">
        <f>HYPERLINK("http://www.worldcat.org/oclc/48942136","WorldCat Record")</f>
        <v>WorldCat Record</v>
      </c>
      <c r="AU221" s="3" t="s">
        <v>3055</v>
      </c>
      <c r="AV221" s="3" t="s">
        <v>3056</v>
      </c>
      <c r="AW221" s="3" t="s">
        <v>3057</v>
      </c>
      <c r="AX221" s="3" t="s">
        <v>3057</v>
      </c>
      <c r="AY221" s="3" t="s">
        <v>3058</v>
      </c>
      <c r="AZ221" s="3" t="s">
        <v>73</v>
      </c>
      <c r="BB221" s="3" t="s">
        <v>3059</v>
      </c>
      <c r="BC221" s="3" t="s">
        <v>3060</v>
      </c>
      <c r="BD221" s="3" t="s">
        <v>3061</v>
      </c>
    </row>
    <row r="222" spans="1:56" ht="38.25" customHeight="1" x14ac:dyDescent="0.25">
      <c r="A222" s="7" t="s">
        <v>58</v>
      </c>
      <c r="B222" s="2" t="s">
        <v>3062</v>
      </c>
      <c r="C222" s="2" t="s">
        <v>3063</v>
      </c>
      <c r="D222" s="2" t="s">
        <v>3064</v>
      </c>
      <c r="F222" s="3" t="s">
        <v>58</v>
      </c>
      <c r="G222" s="3" t="s">
        <v>59</v>
      </c>
      <c r="H222" s="3" t="s">
        <v>58</v>
      </c>
      <c r="I222" s="3" t="s">
        <v>58</v>
      </c>
      <c r="J222" s="3" t="s">
        <v>60</v>
      </c>
      <c r="L222" s="2" t="s">
        <v>3065</v>
      </c>
      <c r="M222" s="3" t="s">
        <v>870</v>
      </c>
      <c r="O222" s="3" t="s">
        <v>64</v>
      </c>
      <c r="P222" s="3" t="s">
        <v>130</v>
      </c>
      <c r="R222" s="3" t="s">
        <v>2838</v>
      </c>
      <c r="S222" s="4">
        <v>7</v>
      </c>
      <c r="T222" s="4">
        <v>7</v>
      </c>
      <c r="U222" s="5" t="s">
        <v>3066</v>
      </c>
      <c r="V222" s="5" t="s">
        <v>3066</v>
      </c>
      <c r="W222" s="5" t="s">
        <v>3067</v>
      </c>
      <c r="X222" s="5" t="s">
        <v>3067</v>
      </c>
      <c r="Y222" s="4">
        <v>599</v>
      </c>
      <c r="Z222" s="4">
        <v>472</v>
      </c>
      <c r="AA222" s="4">
        <v>475</v>
      </c>
      <c r="AB222" s="4">
        <v>5</v>
      </c>
      <c r="AC222" s="4">
        <v>5</v>
      </c>
      <c r="AD222" s="4">
        <v>34</v>
      </c>
      <c r="AE222" s="4">
        <v>34</v>
      </c>
      <c r="AF222" s="4">
        <v>16</v>
      </c>
      <c r="AG222" s="4">
        <v>16</v>
      </c>
      <c r="AH222" s="4">
        <v>5</v>
      </c>
      <c r="AI222" s="4">
        <v>5</v>
      </c>
      <c r="AJ222" s="4">
        <v>15</v>
      </c>
      <c r="AK222" s="4">
        <v>15</v>
      </c>
      <c r="AL222" s="4">
        <v>4</v>
      </c>
      <c r="AM222" s="4">
        <v>4</v>
      </c>
      <c r="AN222" s="4">
        <v>2</v>
      </c>
      <c r="AO222" s="4">
        <v>2</v>
      </c>
      <c r="AP222" s="3" t="s">
        <v>58</v>
      </c>
      <c r="AQ222" s="3" t="s">
        <v>58</v>
      </c>
      <c r="AS222" s="6" t="str">
        <f>HYPERLINK("https://creighton-primo.hosted.exlibrisgroup.com/primo-explore/search?tab=default_tab&amp;search_scope=EVERYTHING&amp;vid=01CRU&amp;lang=en_US&amp;offset=0&amp;query=any,contains,991004003759702656","Catalog Record")</f>
        <v>Catalog Record</v>
      </c>
      <c r="AT222" s="6" t="str">
        <f>HYPERLINK("http://www.worldcat.org/oclc/50192471","WorldCat Record")</f>
        <v>WorldCat Record</v>
      </c>
      <c r="AU222" s="3" t="s">
        <v>3068</v>
      </c>
      <c r="AV222" s="3" t="s">
        <v>3069</v>
      </c>
      <c r="AW222" s="3" t="s">
        <v>3070</v>
      </c>
      <c r="AX222" s="3" t="s">
        <v>3070</v>
      </c>
      <c r="AY222" s="3" t="s">
        <v>3071</v>
      </c>
      <c r="AZ222" s="3" t="s">
        <v>73</v>
      </c>
      <c r="BB222" s="3" t="s">
        <v>3072</v>
      </c>
      <c r="BC222" s="3" t="s">
        <v>3073</v>
      </c>
      <c r="BD222" s="3" t="s">
        <v>3074</v>
      </c>
    </row>
    <row r="223" spans="1:56" ht="38.25" customHeight="1" x14ac:dyDescent="0.25">
      <c r="A223" s="7" t="s">
        <v>58</v>
      </c>
      <c r="B223" s="2" t="s">
        <v>3075</v>
      </c>
      <c r="C223" s="2" t="s">
        <v>3076</v>
      </c>
      <c r="D223" s="2" t="s">
        <v>3077</v>
      </c>
      <c r="F223" s="3" t="s">
        <v>58</v>
      </c>
      <c r="G223" s="3" t="s">
        <v>59</v>
      </c>
      <c r="H223" s="3" t="s">
        <v>58</v>
      </c>
      <c r="I223" s="3" t="s">
        <v>58</v>
      </c>
      <c r="J223" s="3" t="s">
        <v>60</v>
      </c>
      <c r="L223" s="2" t="s">
        <v>3078</v>
      </c>
      <c r="M223" s="3" t="s">
        <v>870</v>
      </c>
      <c r="O223" s="3" t="s">
        <v>64</v>
      </c>
      <c r="P223" s="3" t="s">
        <v>802</v>
      </c>
      <c r="R223" s="3" t="s">
        <v>2838</v>
      </c>
      <c r="S223" s="4">
        <v>2</v>
      </c>
      <c r="T223" s="4">
        <v>2</v>
      </c>
      <c r="U223" s="5" t="s">
        <v>3079</v>
      </c>
      <c r="V223" s="5" t="s">
        <v>3079</v>
      </c>
      <c r="W223" s="5" t="s">
        <v>3080</v>
      </c>
      <c r="X223" s="5" t="s">
        <v>3080</v>
      </c>
      <c r="Y223" s="4">
        <v>456</v>
      </c>
      <c r="Z223" s="4">
        <v>363</v>
      </c>
      <c r="AA223" s="4">
        <v>367</v>
      </c>
      <c r="AB223" s="4">
        <v>3</v>
      </c>
      <c r="AC223" s="4">
        <v>3</v>
      </c>
      <c r="AD223" s="4">
        <v>19</v>
      </c>
      <c r="AE223" s="4">
        <v>19</v>
      </c>
      <c r="AF223" s="4">
        <v>6</v>
      </c>
      <c r="AG223" s="4">
        <v>6</v>
      </c>
      <c r="AH223" s="4">
        <v>6</v>
      </c>
      <c r="AI223" s="4">
        <v>6</v>
      </c>
      <c r="AJ223" s="4">
        <v>10</v>
      </c>
      <c r="AK223" s="4">
        <v>10</v>
      </c>
      <c r="AL223" s="4">
        <v>2</v>
      </c>
      <c r="AM223" s="4">
        <v>2</v>
      </c>
      <c r="AN223" s="4">
        <v>1</v>
      </c>
      <c r="AO223" s="4">
        <v>1</v>
      </c>
      <c r="AP223" s="3" t="s">
        <v>58</v>
      </c>
      <c r="AQ223" s="3" t="s">
        <v>58</v>
      </c>
      <c r="AS223" s="6" t="str">
        <f>HYPERLINK("https://creighton-primo.hosted.exlibrisgroup.com/primo-explore/search?tab=default_tab&amp;search_scope=EVERYTHING&amp;vid=01CRU&amp;lang=en_US&amp;offset=0&amp;query=any,contains,991004462119702656","Catalog Record")</f>
        <v>Catalog Record</v>
      </c>
      <c r="AT223" s="6" t="str">
        <f>HYPERLINK("http://www.worldcat.org/oclc/51587461","WorldCat Record")</f>
        <v>WorldCat Record</v>
      </c>
      <c r="AU223" s="3" t="s">
        <v>3081</v>
      </c>
      <c r="AV223" s="3" t="s">
        <v>3082</v>
      </c>
      <c r="AW223" s="3" t="s">
        <v>3083</v>
      </c>
      <c r="AX223" s="3" t="s">
        <v>3083</v>
      </c>
      <c r="AY223" s="3" t="s">
        <v>3084</v>
      </c>
      <c r="AZ223" s="3" t="s">
        <v>73</v>
      </c>
      <c r="BB223" s="3" t="s">
        <v>3085</v>
      </c>
      <c r="BC223" s="3" t="s">
        <v>3086</v>
      </c>
      <c r="BD223" s="3" t="s">
        <v>3087</v>
      </c>
    </row>
    <row r="224" spans="1:56" ht="38.25" customHeight="1" x14ac:dyDescent="0.25">
      <c r="A224" s="7" t="s">
        <v>58</v>
      </c>
      <c r="B224" s="2" t="s">
        <v>3088</v>
      </c>
      <c r="C224" s="2" t="s">
        <v>3089</v>
      </c>
      <c r="D224" s="2" t="s">
        <v>3090</v>
      </c>
      <c r="F224" s="3" t="s">
        <v>58</v>
      </c>
      <c r="G224" s="3" t="s">
        <v>59</v>
      </c>
      <c r="H224" s="3" t="s">
        <v>58</v>
      </c>
      <c r="I224" s="3" t="s">
        <v>58</v>
      </c>
      <c r="J224" s="3" t="s">
        <v>60</v>
      </c>
      <c r="K224" s="2" t="s">
        <v>3091</v>
      </c>
      <c r="L224" s="2" t="s">
        <v>3092</v>
      </c>
      <c r="M224" s="3" t="s">
        <v>2935</v>
      </c>
      <c r="N224" s="2" t="s">
        <v>524</v>
      </c>
      <c r="O224" s="3" t="s">
        <v>64</v>
      </c>
      <c r="P224" s="3" t="s">
        <v>65</v>
      </c>
      <c r="R224" s="3" t="s">
        <v>2838</v>
      </c>
      <c r="S224" s="4">
        <v>2</v>
      </c>
      <c r="T224" s="4">
        <v>2</v>
      </c>
      <c r="U224" s="5" t="s">
        <v>3093</v>
      </c>
      <c r="V224" s="5" t="s">
        <v>3093</v>
      </c>
      <c r="W224" s="5" t="s">
        <v>3094</v>
      </c>
      <c r="X224" s="5" t="s">
        <v>3094</v>
      </c>
      <c r="Y224" s="4">
        <v>648</v>
      </c>
      <c r="Z224" s="4">
        <v>531</v>
      </c>
      <c r="AA224" s="4">
        <v>582</v>
      </c>
      <c r="AB224" s="4">
        <v>5</v>
      </c>
      <c r="AC224" s="4">
        <v>5</v>
      </c>
      <c r="AD224" s="4">
        <v>24</v>
      </c>
      <c r="AE224" s="4">
        <v>24</v>
      </c>
      <c r="AF224" s="4">
        <v>9</v>
      </c>
      <c r="AG224" s="4">
        <v>9</v>
      </c>
      <c r="AH224" s="4">
        <v>6</v>
      </c>
      <c r="AI224" s="4">
        <v>6</v>
      </c>
      <c r="AJ224" s="4">
        <v>12</v>
      </c>
      <c r="AK224" s="4">
        <v>12</v>
      </c>
      <c r="AL224" s="4">
        <v>4</v>
      </c>
      <c r="AM224" s="4">
        <v>4</v>
      </c>
      <c r="AN224" s="4">
        <v>1</v>
      </c>
      <c r="AO224" s="4">
        <v>1</v>
      </c>
      <c r="AP224" s="3" t="s">
        <v>58</v>
      </c>
      <c r="AQ224" s="3" t="s">
        <v>58</v>
      </c>
      <c r="AS224" s="6" t="str">
        <f>HYPERLINK("https://creighton-primo.hosted.exlibrisgroup.com/primo-explore/search?tab=default_tab&amp;search_scope=EVERYTHING&amp;vid=01CRU&amp;lang=en_US&amp;offset=0&amp;query=any,contains,991004652249702656","Catalog Record")</f>
        <v>Catalog Record</v>
      </c>
      <c r="AT224" s="6" t="str">
        <f>HYPERLINK("http://www.worldcat.org/oclc/60189559","WorldCat Record")</f>
        <v>WorldCat Record</v>
      </c>
      <c r="AU224" s="3" t="s">
        <v>3095</v>
      </c>
      <c r="AV224" s="3" t="s">
        <v>3096</v>
      </c>
      <c r="AW224" s="3" t="s">
        <v>3097</v>
      </c>
      <c r="AX224" s="3" t="s">
        <v>3097</v>
      </c>
      <c r="AY224" s="3" t="s">
        <v>3098</v>
      </c>
      <c r="AZ224" s="3" t="s">
        <v>73</v>
      </c>
      <c r="BB224" s="3" t="s">
        <v>3099</v>
      </c>
      <c r="BC224" s="3" t="s">
        <v>3100</v>
      </c>
      <c r="BD224" s="3" t="s">
        <v>3101</v>
      </c>
    </row>
    <row r="225" spans="1:56" ht="38.25" customHeight="1" x14ac:dyDescent="0.25">
      <c r="A225" s="7" t="s">
        <v>58</v>
      </c>
      <c r="B225" s="2" t="s">
        <v>3102</v>
      </c>
      <c r="C225" s="2" t="s">
        <v>3103</v>
      </c>
      <c r="D225" s="2" t="s">
        <v>3104</v>
      </c>
      <c r="F225" s="3" t="s">
        <v>58</v>
      </c>
      <c r="G225" s="3" t="s">
        <v>59</v>
      </c>
      <c r="H225" s="3" t="s">
        <v>58</v>
      </c>
      <c r="I225" s="3" t="s">
        <v>58</v>
      </c>
      <c r="J225" s="3" t="s">
        <v>60</v>
      </c>
      <c r="K225" s="2" t="s">
        <v>3105</v>
      </c>
      <c r="L225" s="2" t="s">
        <v>3106</v>
      </c>
      <c r="M225" s="3" t="s">
        <v>82</v>
      </c>
      <c r="O225" s="3" t="s">
        <v>64</v>
      </c>
      <c r="P225" s="3" t="s">
        <v>65</v>
      </c>
      <c r="Q225" s="2" t="s">
        <v>3107</v>
      </c>
      <c r="R225" s="3" t="s">
        <v>2838</v>
      </c>
      <c r="S225" s="4">
        <v>3</v>
      </c>
      <c r="T225" s="4">
        <v>3</v>
      </c>
      <c r="U225" s="5" t="s">
        <v>3108</v>
      </c>
      <c r="V225" s="5" t="s">
        <v>3108</v>
      </c>
      <c r="W225" s="5" t="s">
        <v>2839</v>
      </c>
      <c r="X225" s="5" t="s">
        <v>2839</v>
      </c>
      <c r="Y225" s="4">
        <v>360</v>
      </c>
      <c r="Z225" s="4">
        <v>302</v>
      </c>
      <c r="AA225" s="4">
        <v>328</v>
      </c>
      <c r="AB225" s="4">
        <v>2</v>
      </c>
      <c r="AC225" s="4">
        <v>2</v>
      </c>
      <c r="AD225" s="4">
        <v>17</v>
      </c>
      <c r="AE225" s="4">
        <v>17</v>
      </c>
      <c r="AF225" s="4">
        <v>9</v>
      </c>
      <c r="AG225" s="4">
        <v>9</v>
      </c>
      <c r="AH225" s="4">
        <v>3</v>
      </c>
      <c r="AI225" s="4">
        <v>3</v>
      </c>
      <c r="AJ225" s="4">
        <v>8</v>
      </c>
      <c r="AK225" s="4">
        <v>8</v>
      </c>
      <c r="AL225" s="4">
        <v>1</v>
      </c>
      <c r="AM225" s="4">
        <v>1</v>
      </c>
      <c r="AN225" s="4">
        <v>0</v>
      </c>
      <c r="AO225" s="4">
        <v>0</v>
      </c>
      <c r="AP225" s="3" t="s">
        <v>58</v>
      </c>
      <c r="AQ225" s="3" t="s">
        <v>58</v>
      </c>
      <c r="AS225" s="6" t="str">
        <f>HYPERLINK("https://creighton-primo.hosted.exlibrisgroup.com/primo-explore/search?tab=default_tab&amp;search_scope=EVERYTHING&amp;vid=01CRU&amp;lang=en_US&amp;offset=0&amp;query=any,contains,991003691979702656","Catalog Record")</f>
        <v>Catalog Record</v>
      </c>
      <c r="AT225" s="6" t="str">
        <f>HYPERLINK("http://www.worldcat.org/oclc/45708179","WorldCat Record")</f>
        <v>WorldCat Record</v>
      </c>
      <c r="AU225" s="3" t="s">
        <v>3109</v>
      </c>
      <c r="AV225" s="3" t="s">
        <v>3110</v>
      </c>
      <c r="AW225" s="3" t="s">
        <v>3111</v>
      </c>
      <c r="AX225" s="3" t="s">
        <v>3111</v>
      </c>
      <c r="AY225" s="3" t="s">
        <v>3112</v>
      </c>
      <c r="AZ225" s="3" t="s">
        <v>73</v>
      </c>
      <c r="BB225" s="3" t="s">
        <v>3113</v>
      </c>
      <c r="BC225" s="3" t="s">
        <v>3114</v>
      </c>
      <c r="BD225" s="3" t="s">
        <v>3115</v>
      </c>
    </row>
    <row r="226" spans="1:56" ht="38.25" customHeight="1" x14ac:dyDescent="0.25">
      <c r="A226" s="7" t="s">
        <v>58</v>
      </c>
      <c r="B226" s="2" t="s">
        <v>3116</v>
      </c>
      <c r="C226" s="2" t="s">
        <v>3117</v>
      </c>
      <c r="D226" s="2" t="s">
        <v>3118</v>
      </c>
      <c r="F226" s="3" t="s">
        <v>58</v>
      </c>
      <c r="G226" s="3" t="s">
        <v>59</v>
      </c>
      <c r="H226" s="3" t="s">
        <v>58</v>
      </c>
      <c r="I226" s="3" t="s">
        <v>58</v>
      </c>
      <c r="J226" s="3" t="s">
        <v>60</v>
      </c>
      <c r="K226" s="2" t="s">
        <v>3119</v>
      </c>
      <c r="L226" s="2" t="s">
        <v>3120</v>
      </c>
      <c r="M226" s="3" t="s">
        <v>566</v>
      </c>
      <c r="N226" s="2" t="s">
        <v>524</v>
      </c>
      <c r="O226" s="3" t="s">
        <v>64</v>
      </c>
      <c r="P226" s="3" t="s">
        <v>65</v>
      </c>
      <c r="R226" s="3" t="s">
        <v>2838</v>
      </c>
      <c r="S226" s="4">
        <v>2</v>
      </c>
      <c r="T226" s="4">
        <v>2</v>
      </c>
      <c r="U226" s="5" t="s">
        <v>3121</v>
      </c>
      <c r="V226" s="5" t="s">
        <v>3121</v>
      </c>
      <c r="W226" s="5" t="s">
        <v>3122</v>
      </c>
      <c r="X226" s="5" t="s">
        <v>3122</v>
      </c>
      <c r="Y226" s="4">
        <v>627</v>
      </c>
      <c r="Z226" s="4">
        <v>546</v>
      </c>
      <c r="AA226" s="4">
        <v>559</v>
      </c>
      <c r="AB226" s="4">
        <v>3</v>
      </c>
      <c r="AC226" s="4">
        <v>3</v>
      </c>
      <c r="AD226" s="4">
        <v>23</v>
      </c>
      <c r="AE226" s="4">
        <v>24</v>
      </c>
      <c r="AF226" s="4">
        <v>8</v>
      </c>
      <c r="AG226" s="4">
        <v>8</v>
      </c>
      <c r="AH226" s="4">
        <v>6</v>
      </c>
      <c r="AI226" s="4">
        <v>6</v>
      </c>
      <c r="AJ226" s="4">
        <v>12</v>
      </c>
      <c r="AK226" s="4">
        <v>13</v>
      </c>
      <c r="AL226" s="4">
        <v>2</v>
      </c>
      <c r="AM226" s="4">
        <v>2</v>
      </c>
      <c r="AN226" s="4">
        <v>1</v>
      </c>
      <c r="AO226" s="4">
        <v>1</v>
      </c>
      <c r="AP226" s="3" t="s">
        <v>58</v>
      </c>
      <c r="AQ226" s="3" t="s">
        <v>68</v>
      </c>
      <c r="AR226" s="6" t="str">
        <f>HYPERLINK("http://catalog.hathitrust.org/Record/004035804","HathiTrust Record")</f>
        <v>HathiTrust Record</v>
      </c>
      <c r="AS226" s="6" t="str">
        <f>HYPERLINK("https://creighton-primo.hosted.exlibrisgroup.com/primo-explore/search?tab=default_tab&amp;search_scope=EVERYTHING&amp;vid=01CRU&amp;lang=en_US&amp;offset=0&amp;query=any,contains,991003689119702656","Catalog Record")</f>
        <v>Catalog Record</v>
      </c>
      <c r="AT226" s="6" t="str">
        <f>HYPERLINK("http://www.worldcat.org/oclc/40135253","WorldCat Record")</f>
        <v>WorldCat Record</v>
      </c>
      <c r="AU226" s="3" t="s">
        <v>3123</v>
      </c>
      <c r="AV226" s="3" t="s">
        <v>3124</v>
      </c>
      <c r="AW226" s="3" t="s">
        <v>3125</v>
      </c>
      <c r="AX226" s="3" t="s">
        <v>3125</v>
      </c>
      <c r="AY226" s="3" t="s">
        <v>3126</v>
      </c>
      <c r="AZ226" s="3" t="s">
        <v>73</v>
      </c>
      <c r="BB226" s="3" t="s">
        <v>3127</v>
      </c>
      <c r="BC226" s="3" t="s">
        <v>3128</v>
      </c>
      <c r="BD226" s="3" t="s">
        <v>3129</v>
      </c>
    </row>
    <row r="227" spans="1:56" ht="38.25" customHeight="1" x14ac:dyDescent="0.25">
      <c r="A227" s="7" t="s">
        <v>58</v>
      </c>
      <c r="B227" s="2" t="s">
        <v>3130</v>
      </c>
      <c r="C227" s="2" t="s">
        <v>3131</v>
      </c>
      <c r="D227" s="2" t="s">
        <v>3132</v>
      </c>
      <c r="F227" s="3" t="s">
        <v>58</v>
      </c>
      <c r="G227" s="3" t="s">
        <v>59</v>
      </c>
      <c r="H227" s="3" t="s">
        <v>58</v>
      </c>
      <c r="I227" s="3" t="s">
        <v>58</v>
      </c>
      <c r="J227" s="3" t="s">
        <v>60</v>
      </c>
      <c r="K227" s="2" t="s">
        <v>3133</v>
      </c>
      <c r="L227" s="2" t="s">
        <v>3134</v>
      </c>
      <c r="M227" s="3" t="s">
        <v>63</v>
      </c>
      <c r="N227" s="2" t="s">
        <v>1271</v>
      </c>
      <c r="O227" s="3" t="s">
        <v>64</v>
      </c>
      <c r="P227" s="3" t="s">
        <v>130</v>
      </c>
      <c r="Q227" s="2" t="s">
        <v>3135</v>
      </c>
      <c r="R227" s="3" t="s">
        <v>2838</v>
      </c>
      <c r="S227" s="4">
        <v>2</v>
      </c>
      <c r="T227" s="4">
        <v>2</v>
      </c>
      <c r="U227" s="5" t="s">
        <v>3136</v>
      </c>
      <c r="V227" s="5" t="s">
        <v>3136</v>
      </c>
      <c r="W227" s="5" t="s">
        <v>3137</v>
      </c>
      <c r="X227" s="5" t="s">
        <v>3137</v>
      </c>
      <c r="Y227" s="4">
        <v>350</v>
      </c>
      <c r="Z227" s="4">
        <v>249</v>
      </c>
      <c r="AA227" s="4">
        <v>484</v>
      </c>
      <c r="AB227" s="4">
        <v>3</v>
      </c>
      <c r="AC227" s="4">
        <v>3</v>
      </c>
      <c r="AD227" s="4">
        <v>15</v>
      </c>
      <c r="AE227" s="4">
        <v>26</v>
      </c>
      <c r="AF227" s="4">
        <v>4</v>
      </c>
      <c r="AG227" s="4">
        <v>9</v>
      </c>
      <c r="AH227" s="4">
        <v>5</v>
      </c>
      <c r="AI227" s="4">
        <v>8</v>
      </c>
      <c r="AJ227" s="4">
        <v>6</v>
      </c>
      <c r="AK227" s="4">
        <v>11</v>
      </c>
      <c r="AL227" s="4">
        <v>2</v>
      </c>
      <c r="AM227" s="4">
        <v>2</v>
      </c>
      <c r="AN227" s="4">
        <v>1</v>
      </c>
      <c r="AO227" s="4">
        <v>2</v>
      </c>
      <c r="AP227" s="3" t="s">
        <v>58</v>
      </c>
      <c r="AQ227" s="3" t="s">
        <v>68</v>
      </c>
      <c r="AR227" s="6" t="str">
        <f>HYPERLINK("http://catalog.hathitrust.org/Record/004076300","HathiTrust Record")</f>
        <v>HathiTrust Record</v>
      </c>
      <c r="AS227" s="6" t="str">
        <f>HYPERLINK("https://creighton-primo.hosted.exlibrisgroup.com/primo-explore/search?tab=default_tab&amp;search_scope=EVERYTHING&amp;vid=01CRU&amp;lang=en_US&amp;offset=0&amp;query=any,contains,991003632649702656","Catalog Record")</f>
        <v>Catalog Record</v>
      </c>
      <c r="AT227" s="6" t="str">
        <f>HYPERLINK("http://www.worldcat.org/oclc/42454409","WorldCat Record")</f>
        <v>WorldCat Record</v>
      </c>
      <c r="AU227" s="3" t="s">
        <v>3138</v>
      </c>
      <c r="AV227" s="3" t="s">
        <v>3139</v>
      </c>
      <c r="AW227" s="3" t="s">
        <v>3140</v>
      </c>
      <c r="AX227" s="3" t="s">
        <v>3140</v>
      </c>
      <c r="AY227" s="3" t="s">
        <v>3141</v>
      </c>
      <c r="AZ227" s="3" t="s">
        <v>73</v>
      </c>
      <c r="BB227" s="3" t="s">
        <v>3142</v>
      </c>
      <c r="BC227" s="3" t="s">
        <v>3143</v>
      </c>
      <c r="BD227" s="3" t="s">
        <v>3144</v>
      </c>
    </row>
    <row r="228" spans="1:56" ht="38.25" customHeight="1" x14ac:dyDescent="0.25">
      <c r="A228" s="7" t="s">
        <v>58</v>
      </c>
      <c r="B228" s="2" t="s">
        <v>3145</v>
      </c>
      <c r="C228" s="2" t="s">
        <v>3146</v>
      </c>
      <c r="D228" s="2" t="s">
        <v>3147</v>
      </c>
      <c r="F228" s="3" t="s">
        <v>58</v>
      </c>
      <c r="G228" s="3" t="s">
        <v>59</v>
      </c>
      <c r="H228" s="3" t="s">
        <v>58</v>
      </c>
      <c r="I228" s="3" t="s">
        <v>58</v>
      </c>
      <c r="J228" s="3" t="s">
        <v>60</v>
      </c>
      <c r="K228" s="2" t="s">
        <v>3148</v>
      </c>
      <c r="L228" s="2" t="s">
        <v>3149</v>
      </c>
      <c r="M228" s="3" t="s">
        <v>566</v>
      </c>
      <c r="O228" s="3" t="s">
        <v>64</v>
      </c>
      <c r="P228" s="3" t="s">
        <v>65</v>
      </c>
      <c r="R228" s="3" t="s">
        <v>2838</v>
      </c>
      <c r="S228" s="4">
        <v>3</v>
      </c>
      <c r="T228" s="4">
        <v>3</v>
      </c>
      <c r="U228" s="5" t="s">
        <v>3150</v>
      </c>
      <c r="V228" s="5" t="s">
        <v>3150</v>
      </c>
      <c r="W228" s="5" t="s">
        <v>3151</v>
      </c>
      <c r="X228" s="5" t="s">
        <v>3151</v>
      </c>
      <c r="Y228" s="4">
        <v>647</v>
      </c>
      <c r="Z228" s="4">
        <v>527</v>
      </c>
      <c r="AA228" s="4">
        <v>531</v>
      </c>
      <c r="AB228" s="4">
        <v>3</v>
      </c>
      <c r="AC228" s="4">
        <v>3</v>
      </c>
      <c r="AD228" s="4">
        <v>24</v>
      </c>
      <c r="AE228" s="4">
        <v>24</v>
      </c>
      <c r="AF228" s="4">
        <v>12</v>
      </c>
      <c r="AG228" s="4">
        <v>12</v>
      </c>
      <c r="AH228" s="4">
        <v>5</v>
      </c>
      <c r="AI228" s="4">
        <v>5</v>
      </c>
      <c r="AJ228" s="4">
        <v>11</v>
      </c>
      <c r="AK228" s="4">
        <v>11</v>
      </c>
      <c r="AL228" s="4">
        <v>2</v>
      </c>
      <c r="AM228" s="4">
        <v>2</v>
      </c>
      <c r="AN228" s="4">
        <v>0</v>
      </c>
      <c r="AO228" s="4">
        <v>0</v>
      </c>
      <c r="AP228" s="3" t="s">
        <v>58</v>
      </c>
      <c r="AQ228" s="3" t="s">
        <v>58</v>
      </c>
      <c r="AS228" s="6" t="str">
        <f>HYPERLINK("https://creighton-primo.hosted.exlibrisgroup.com/primo-explore/search?tab=default_tab&amp;search_scope=EVERYTHING&amp;vid=01CRU&amp;lang=en_US&amp;offset=0&amp;query=any,contains,991003007089702656","Catalog Record")</f>
        <v>Catalog Record</v>
      </c>
      <c r="AT228" s="6" t="str">
        <f>HYPERLINK("http://www.worldcat.org/oclc/40764985","WorldCat Record")</f>
        <v>WorldCat Record</v>
      </c>
      <c r="AU228" s="3" t="s">
        <v>3152</v>
      </c>
      <c r="AV228" s="3" t="s">
        <v>3153</v>
      </c>
      <c r="AW228" s="3" t="s">
        <v>3154</v>
      </c>
      <c r="AX228" s="3" t="s">
        <v>3154</v>
      </c>
      <c r="AY228" s="3" t="s">
        <v>3155</v>
      </c>
      <c r="AZ228" s="3" t="s">
        <v>73</v>
      </c>
      <c r="BB228" s="3" t="s">
        <v>3156</v>
      </c>
      <c r="BC228" s="3" t="s">
        <v>3157</v>
      </c>
      <c r="BD228" s="3" t="s">
        <v>3158</v>
      </c>
    </row>
  </sheetData>
  <sheetProtection sheet="1" objects="1" scenarios="1"/>
  <protectedRanges>
    <protectedRange sqref="A2:A228" name="Range1"/>
    <protectedRange sqref="A1" name="Range1_1"/>
  </protectedRanges>
  <dataValidations count="1">
    <dataValidation type="list" allowBlank="1" showInputMessage="1" showErrorMessage="1" sqref="A2:A228" xr:uid="{FABDCBB9-5DD9-4D66-96DE-8BA0A9DD8F67}">
      <formula1>"Yes,No"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BB38ED5D0D274CB2EE2DBFB4DF27AF" ma:contentTypeVersion="16" ma:contentTypeDescription="Create a new document." ma:contentTypeScope="" ma:versionID="343be7708d3bfc8b8cd1354f85bdb4ef">
  <xsd:schema xmlns:xsd="http://www.w3.org/2001/XMLSchema" xmlns:xs="http://www.w3.org/2001/XMLSchema" xmlns:p="http://schemas.microsoft.com/office/2006/metadata/properties" xmlns:ns1="7623ea29-c77c-4024-9954-09e8d33ddb63" xmlns:ns3="a2717908-15ff-42bd-a5fc-d9ac8b8728f4" targetNamespace="http://schemas.microsoft.com/office/2006/metadata/properties" ma:root="true" ma:fieldsID="ba37602cec7d275ad63d8520a3e085f5" ns1:_="" ns3:_="">
    <xsd:import namespace="7623ea29-c77c-4024-9954-09e8d33ddb63"/>
    <xsd:import namespace="a2717908-15ff-42bd-a5fc-d9ac8b8728f4"/>
    <xsd:element name="properties">
      <xsd:complexType>
        <xsd:sequence>
          <xsd:element name="documentManagement">
            <xsd:complexType>
              <xsd:all>
                <xsd:element ref="ns1:Number" minOccurs="0"/>
                <xsd:element ref="ns1:MediaServiceMetadata" minOccurs="0"/>
                <xsd:element ref="ns1:MediaServiceFastMetadata" minOccurs="0"/>
                <xsd:element ref="ns1:MediaServiceDateTaken" minOccurs="0"/>
                <xsd:element ref="ns3:SharedWithUsers" minOccurs="0"/>
                <xsd:element ref="ns3:SharedWithDetails" minOccurs="0"/>
                <xsd:element ref="ns1:MediaServiceAutoKeyPoints" minOccurs="0"/>
                <xsd:element ref="ns1:MediaServiceKeyPoints" minOccurs="0"/>
                <xsd:element ref="ns1:MediaServiceAutoTags" minOccurs="0"/>
                <xsd:element ref="ns1:MediaServiceOCR" minOccurs="0"/>
                <xsd:element ref="ns1:MediaServiceGenerationTime" minOccurs="0"/>
                <xsd:element ref="ns1:MediaServiceEventHashCode" minOccurs="0"/>
                <xsd:element ref="ns1:MediaServiceLocation" minOccurs="0"/>
                <xsd:element ref="ns1:MediaLengthInSeconds" minOccurs="0"/>
                <xsd:element ref="ns1:statuswithucomm" minOccurs="0"/>
                <xsd:element ref="ns1:submittedtoUCO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23ea29-c77c-4024-9954-09e8d33ddb63" elementFormDefault="qualified">
    <xsd:import namespace="http://schemas.microsoft.com/office/2006/documentManagement/types"/>
    <xsd:import namespace="http://schemas.microsoft.com/office/infopath/2007/PartnerControls"/>
    <xsd:element name="Number" ma:index="0" nillable="true" ma:displayName="Number" ma:description="Sort Order" ma:format="Dropdown" ma:internalName="Number" ma:percentage="FALSE">
      <xsd:simpleType>
        <xsd:restriction base="dms:Number"/>
      </xsd:simpleType>
    </xsd:element>
    <xsd:element name="MediaServiceMetadata" ma:index="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statuswithucomm" ma:index="22" nillable="true" ma:displayName="status with ucomm" ma:format="Dropdown" ma:internalName="statuswithucomm">
      <xsd:simpleType>
        <xsd:restriction base="dms:Text">
          <xsd:maxLength value="255"/>
        </xsd:restriction>
      </xsd:simpleType>
    </xsd:element>
    <xsd:element name="submittedtoUCOm" ma:index="23" nillable="true" ma:displayName="submitted to UCOm" ma:default="0" ma:format="Dropdown" ma:internalName="submittedtoUCOm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17908-15ff-42bd-a5fc-d9ac8b8728f4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ber xmlns="7623ea29-c77c-4024-9954-09e8d33ddb63" xsi:nil="true"/>
    <SharedWithUsers xmlns="a2717908-15ff-42bd-a5fc-d9ac8b8728f4">
      <UserInfo>
        <DisplayName/>
        <AccountId xsi:nil="true"/>
        <AccountType/>
      </UserInfo>
    </SharedWithUsers>
    <MediaLengthInSeconds xmlns="7623ea29-c77c-4024-9954-09e8d33ddb63" xsi:nil="true"/>
    <submittedtoUCOm xmlns="7623ea29-c77c-4024-9954-09e8d33ddb63">false</submittedtoUCOm>
    <statuswithucomm xmlns="7623ea29-c77c-4024-9954-09e8d33ddb63" xsi:nil="true"/>
  </documentManagement>
</p:properties>
</file>

<file path=customXml/itemProps1.xml><?xml version="1.0" encoding="utf-8"?>
<ds:datastoreItem xmlns:ds="http://schemas.openxmlformats.org/officeDocument/2006/customXml" ds:itemID="{181A2A8B-A380-4BF5-B3B3-3E4DF92FFE01}"/>
</file>

<file path=customXml/itemProps2.xml><?xml version="1.0" encoding="utf-8"?>
<ds:datastoreItem xmlns:ds="http://schemas.openxmlformats.org/officeDocument/2006/customXml" ds:itemID="{161AC6D3-81FD-46FB-8816-8BE65C195887}"/>
</file>

<file path=customXml/itemProps3.xml><?xml version="1.0" encoding="utf-8"?>
<ds:datastoreItem xmlns:ds="http://schemas.openxmlformats.org/officeDocument/2006/customXml" ds:itemID="{2C658621-5E55-4A21-85D7-E90B8F9898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Elizabeth Kiscaden</dc:creator>
  <cp:lastModifiedBy>Elizabeth Kiscaden</cp:lastModifiedBy>
  <dcterms:created xsi:type="dcterms:W3CDTF">2022-03-04T01:34:17Z</dcterms:created>
  <dcterms:modified xsi:type="dcterms:W3CDTF">2022-03-04T01:35:53Z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0x0101007FBB38ED5D0D274CB2EE2DBFB4DF27AF</vt:lpwstr>
  </property>
  <property fmtid="{D5CDD505-2E9C-101B-9397-08002B2CF9AE}" pid="3" name="Order">
    <vt:r8>285700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